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Default Extension="vml" ContentType="application/vnd.openxmlformats-officedocument.vmlDrawing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60" yWindow="3020" windowWidth="12040" windowHeight="2500" tabRatio="601" activeTab="0"/>
  </bookViews>
  <sheets>
    <sheet name=" Excalibur" sheetId="1" r:id="rId1"/>
    <sheet name=" HUB " sheetId="2" r:id="rId2"/>
    <sheet name="Русская ось" sheetId="3" r:id="rId3"/>
    <sheet name="Русская рулетка" sheetId="4" r:id="rId4"/>
    <sheet name="Пауэрспорт ДК" sheetId="5" r:id="rId5"/>
    <sheet name="Пауэрспорт" sheetId="6" r:id="rId6"/>
    <sheet name="Тяга в экипировке ДК" sheetId="7" r:id="rId7"/>
    <sheet name="Тяга без экипировки ДК" sheetId="8" r:id="rId8"/>
    <sheet name="Тяга без экипировки" sheetId="9" r:id="rId9"/>
    <sheet name="Жимовое двоеборье" sheetId="10" r:id="rId10"/>
    <sheet name="Народный жим 1 вес ДК" sheetId="11" r:id="rId11"/>
    <sheet name="Народный жим 1 вес" sheetId="12" r:id="rId12"/>
    <sheet name="Народный жим 1_2 веса" sheetId="13" r:id="rId13"/>
    <sheet name="Жим лежа СФО" sheetId="14" r:id="rId14"/>
    <sheet name="Жим многослойная экипировка ДК" sheetId="15" r:id="rId15"/>
    <sheet name="Жим многослойная экипировка" sheetId="16" r:id="rId16"/>
    <sheet name="Жим однослойная экипировка ДК" sheetId="17" r:id="rId17"/>
    <sheet name="Жим однослойная экипировка" sheetId="18" r:id="rId18"/>
    <sheet name="Жим без экипировки ДК" sheetId="19" r:id="rId19"/>
    <sheet name="Жим без экипировки" sheetId="20" r:id="rId20"/>
    <sheet name="Присед без экипировки ДК" sheetId="21" r:id="rId21"/>
    <sheet name="Присед без экипировки" sheetId="22" r:id="rId22"/>
    <sheet name="Силовое двоеборье без экипы ДК" sheetId="23" r:id="rId23"/>
    <sheet name="Силовое двоеборье без экипы" sheetId="24" r:id="rId24"/>
    <sheet name="Пауэрлифтинг однослой ДК" sheetId="25" r:id="rId25"/>
    <sheet name="Пауэрлифтинг в бинтах ДК" sheetId="26" r:id="rId26"/>
    <sheet name="Пауэрлифтинг в бинтах" sheetId="27" r:id="rId27"/>
    <sheet name="Пауэрлифтинг без экипировки ДК" sheetId="28" r:id="rId28"/>
    <sheet name="Пауэрлифтинг без экипировки" sheetId="29" r:id="rId29"/>
    <sheet name="Судейская коллегия" sheetId="30" r:id="rId30"/>
  </sheets>
  <definedNames/>
  <calcPr fullCalcOnLoad="1" refMode="R1C1"/>
</workbook>
</file>

<file path=xl/sharedStrings.xml><?xml version="1.0" encoding="utf-8"?>
<sst xmlns="http://schemas.openxmlformats.org/spreadsheetml/2006/main" count="4388" uniqueCount="1383">
  <si>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</si>
  <si>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</si>
  <si>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</si>
  <si>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</si>
  <si>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</si>
  <si>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</si>
  <si>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</si>
  <si>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</si>
  <si>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</si>
  <si>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</si>
  <si>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 вес</t>
  </si>
  <si>
    <t>Resh</t>
  </si>
  <si>
    <t>ВЕСОВАЯ КАТЕГОРИЯ   75</t>
  </si>
  <si>
    <t>Копаев Виктор</t>
  </si>
  <si>
    <t>Open (02.02.1990)/25</t>
  </si>
  <si>
    <t>73,10</t>
  </si>
  <si>
    <t xml:space="preserve">Лично </t>
  </si>
  <si>
    <t xml:space="preserve">Дедовск/Московская область </t>
  </si>
  <si>
    <t>170,0</t>
  </si>
  <si>
    <t>180,0</t>
  </si>
  <si>
    <t>190,0</t>
  </si>
  <si>
    <t>135,0</t>
  </si>
  <si>
    <t>140,0</t>
  </si>
  <si>
    <t>150,0</t>
  </si>
  <si>
    <t>200,0</t>
  </si>
  <si>
    <t>207,5</t>
  </si>
  <si>
    <t>Дарда Антон</t>
  </si>
  <si>
    <t>Open (15.03.1988)/27</t>
  </si>
  <si>
    <t>74,20</t>
  </si>
  <si>
    <t>175,0</t>
  </si>
  <si>
    <t>185,0</t>
  </si>
  <si>
    <t>195,0</t>
  </si>
  <si>
    <t>130,0</t>
  </si>
  <si>
    <t xml:space="preserve">Галагуз Виктор </t>
  </si>
  <si>
    <t>ВЕСОВАЯ КАТЕГОРИЯ   82.5</t>
  </si>
  <si>
    <t>Греков Максим</t>
  </si>
  <si>
    <t>Open (09.09.1985)/29</t>
  </si>
  <si>
    <t>81,80</t>
  </si>
  <si>
    <t>230,0</t>
  </si>
  <si>
    <t>235,0</t>
  </si>
  <si>
    <t>270,0</t>
  </si>
  <si>
    <t>275,0</t>
  </si>
  <si>
    <t xml:space="preserve">самостоятельно </t>
  </si>
  <si>
    <t>Дьяков Михаил</t>
  </si>
  <si>
    <t>Open (11.10.1990)/24</t>
  </si>
  <si>
    <t>80,30</t>
  </si>
  <si>
    <t xml:space="preserve">Балашиха/Московская область </t>
  </si>
  <si>
    <t>205,0</t>
  </si>
  <si>
    <t>212,5</t>
  </si>
  <si>
    <t>145,0</t>
  </si>
  <si>
    <t>152,5</t>
  </si>
  <si>
    <t>245,0</t>
  </si>
  <si>
    <t>255,0</t>
  </si>
  <si>
    <t>260,0</t>
  </si>
  <si>
    <t>ВЕСОВАЯ КАТЕГОРИЯ   90</t>
  </si>
  <si>
    <t>Juniors 20-23 (08.03.1993)/22</t>
  </si>
  <si>
    <t>86,50</t>
  </si>
  <si>
    <t>240,0</t>
  </si>
  <si>
    <t>262,5</t>
  </si>
  <si>
    <t>160,0</t>
  </si>
  <si>
    <t>292,5</t>
  </si>
  <si>
    <t>ВЕСОВАЯ КАТЕГОРИЯ   100</t>
  </si>
  <si>
    <t>Абаев Асламбек</t>
  </si>
  <si>
    <t>Open (04.08.1959)/56</t>
  </si>
  <si>
    <t>95,90</t>
  </si>
  <si>
    <t xml:space="preserve">Моздок/Северная Осетия - Алания </t>
  </si>
  <si>
    <t>280,0</t>
  </si>
  <si>
    <t>290,0</t>
  </si>
  <si>
    <t>265,0</t>
  </si>
  <si>
    <t>Мищенко Сергей</t>
  </si>
  <si>
    <t>Open (21.07.1988)/27</t>
  </si>
  <si>
    <t>98,40</t>
  </si>
  <si>
    <t xml:space="preserve">Таурус </t>
  </si>
  <si>
    <t xml:space="preserve">Харьков/Харьковская </t>
  </si>
  <si>
    <t>210,0</t>
  </si>
  <si>
    <t>Masters 55-59 (28.06.1959)/56</t>
  </si>
  <si>
    <t>ВЕСОВАЯ КАТЕГОРИЯ   110</t>
  </si>
  <si>
    <t>Open (20.05.1961)/54</t>
  </si>
  <si>
    <t>106,40</t>
  </si>
  <si>
    <t xml:space="preserve">Астрахань/Астраханская область </t>
  </si>
  <si>
    <t>250,0</t>
  </si>
  <si>
    <t>165,0</t>
  </si>
  <si>
    <t>0.00</t>
  </si>
  <si>
    <t>Masters 50-54 (20.05.1961)/54</t>
  </si>
  <si>
    <t>ВЕСОВАЯ КАТЕГОРИЯ   125</t>
  </si>
  <si>
    <t>Устинов Сергей</t>
  </si>
  <si>
    <t>Open (23.04.1988)/27</t>
  </si>
  <si>
    <t>122,90</t>
  </si>
  <si>
    <t xml:space="preserve">Высоковск/Московская область </t>
  </si>
  <si>
    <t>300,0</t>
  </si>
  <si>
    <t xml:space="preserve">Шель Фетенгоф Денис </t>
  </si>
  <si>
    <t>ВЕСОВАЯ КАТЕГОРИЯ   140</t>
  </si>
  <si>
    <t>Лученков Сергей</t>
  </si>
  <si>
    <t>Open (24.05.1977)/38</t>
  </si>
  <si>
    <t>125,90</t>
  </si>
  <si>
    <t xml:space="preserve">Балашов/Саратовская область </t>
  </si>
  <si>
    <t>217,5</t>
  </si>
  <si>
    <t>225,0</t>
  </si>
  <si>
    <t>232,5</t>
  </si>
  <si>
    <t>320,0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</si>
  <si>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</si>
  <si>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</si>
  <si>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</si>
  <si>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</si>
  <si>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</si>
  <si>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</si>
  <si>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Resh </t>
  </si>
  <si>
    <t xml:space="preserve">90 </t>
  </si>
  <si>
    <t xml:space="preserve">Открытая </t>
  </si>
  <si>
    <t xml:space="preserve">82.5 </t>
  </si>
  <si>
    <t>680,0</t>
  </si>
  <si>
    <t>704,2080</t>
  </si>
  <si>
    <t xml:space="preserve">100 </t>
  </si>
  <si>
    <t>755,0</t>
  </si>
  <si>
    <t>703,9620</t>
  </si>
  <si>
    <t xml:space="preserve">140 </t>
  </si>
  <si>
    <t>817,5</t>
  </si>
  <si>
    <t>700,5975</t>
  </si>
  <si>
    <t xml:space="preserve">125 </t>
  </si>
  <si>
    <t>760,0</t>
  </si>
  <si>
    <t>653,6000</t>
  </si>
  <si>
    <t>610,0</t>
  </si>
  <si>
    <t>640,7440</t>
  </si>
  <si>
    <t xml:space="preserve">75 </t>
  </si>
  <si>
    <t>537,5</t>
  </si>
  <si>
    <t>615,6525</t>
  </si>
  <si>
    <t>510,0</t>
  </si>
  <si>
    <t>575,6880</t>
  </si>
  <si>
    <t>540,0</t>
  </si>
  <si>
    <t>497,5560</t>
  </si>
  <si>
    <t xml:space="preserve">Мастера </t>
  </si>
  <si>
    <t xml:space="preserve">Мастера 55 - 59 </t>
  </si>
  <si>
    <t>ВЕСОВАЯ КАТЕГОРИЯ   48</t>
  </si>
  <si>
    <t>Open (20.05.1990)/25</t>
  </si>
  <si>
    <t>47,70</t>
  </si>
  <si>
    <t xml:space="preserve">Тверь/Тверская область </t>
  </si>
  <si>
    <t>70,0</t>
  </si>
  <si>
    <t>77,5</t>
  </si>
  <si>
    <t>85,0</t>
  </si>
  <si>
    <t>50,0</t>
  </si>
  <si>
    <t>55,0</t>
  </si>
  <si>
    <t>57,5</t>
  </si>
  <si>
    <t>90,0</t>
  </si>
  <si>
    <t>100,0</t>
  </si>
  <si>
    <t>105,0</t>
  </si>
  <si>
    <t xml:space="preserve">Герасимов Николай </t>
  </si>
  <si>
    <t>ВЕСОВАЯ КАТЕГОРИЯ   52</t>
  </si>
  <si>
    <t>Салмаева Бэлла</t>
  </si>
  <si>
    <t>Open (25.06.1986)/29</t>
  </si>
  <si>
    <t>51,50</t>
  </si>
  <si>
    <t>52,5</t>
  </si>
  <si>
    <t>60,0</t>
  </si>
  <si>
    <t xml:space="preserve">Ворм Сергей </t>
  </si>
  <si>
    <t>ВЕСОВАЯ КАТЕГОРИЯ   60</t>
  </si>
  <si>
    <t>Тюрина Ольга</t>
  </si>
  <si>
    <t>Open (09.12.1977)/37</t>
  </si>
  <si>
    <t>59,90</t>
  </si>
  <si>
    <t xml:space="preserve">Авангард </t>
  </si>
  <si>
    <t xml:space="preserve">Рыбинск/Ярославская область </t>
  </si>
  <si>
    <t>110,0</t>
  </si>
  <si>
    <t>65,0</t>
  </si>
  <si>
    <t>67,5</t>
  </si>
  <si>
    <t>115,0</t>
  </si>
  <si>
    <t>Juniors 20-23 (31.05.1995)/20</t>
  </si>
  <si>
    <t>74,30</t>
  </si>
  <si>
    <t>155,0</t>
  </si>
  <si>
    <t>120,0</t>
  </si>
  <si>
    <t>125,0</t>
  </si>
  <si>
    <t>Juniors 20-23 (23.12.1991)/23</t>
  </si>
  <si>
    <t>81,30</t>
  </si>
  <si>
    <t>220,0</t>
  </si>
  <si>
    <t>267,5</t>
  </si>
  <si>
    <t xml:space="preserve">Закиров Ильдар </t>
  </si>
  <si>
    <t>Open (02.07.1979)/36</t>
  </si>
  <si>
    <t>79,10</t>
  </si>
  <si>
    <t xml:space="preserve">Нижний Новгород/Нижегородская область </t>
  </si>
  <si>
    <t>95,0</t>
  </si>
  <si>
    <t>97,5</t>
  </si>
  <si>
    <t xml:space="preserve">Гончаров Валерий </t>
  </si>
  <si>
    <t>Open (15.04.1988)/27</t>
  </si>
  <si>
    <t>89,50</t>
  </si>
  <si>
    <t>162,5</t>
  </si>
  <si>
    <t>167,5</t>
  </si>
  <si>
    <t>222,5</t>
  </si>
  <si>
    <t>Шейкин Алексей</t>
  </si>
  <si>
    <t>Open (24.03.1988)/27</t>
  </si>
  <si>
    <t>88,50</t>
  </si>
  <si>
    <t xml:space="preserve">Шумский В. </t>
  </si>
  <si>
    <t>Open (26.07.1982)/33</t>
  </si>
  <si>
    <t>87,80</t>
  </si>
  <si>
    <t>215,0</t>
  </si>
  <si>
    <t>Open (22.11.1980)/34</t>
  </si>
  <si>
    <t>121,00</t>
  </si>
  <si>
    <t xml:space="preserve">Лученков Сергей </t>
  </si>
  <si>
    <t xml:space="preserve">Женщины </t>
  </si>
  <si>
    <t xml:space="preserve">52 </t>
  </si>
  <si>
    <t xml:space="preserve">60 </t>
  </si>
  <si>
    <t>ВЕСОВАЯ КАТЕГОРИЯ   67.5</t>
  </si>
  <si>
    <t>Рек Александр</t>
  </si>
  <si>
    <t>Open (13.07.1987)/28</t>
  </si>
  <si>
    <t>65,90</t>
  </si>
  <si>
    <t>107,5</t>
  </si>
  <si>
    <t>112,5</t>
  </si>
  <si>
    <t>117,5</t>
  </si>
  <si>
    <t xml:space="preserve">самостоятелно </t>
  </si>
  <si>
    <t>Бобров Никита</t>
  </si>
  <si>
    <t>Juniors 20-23 (29.07.1994)/21</t>
  </si>
  <si>
    <t>78,70</t>
  </si>
  <si>
    <t xml:space="preserve">Звенигород/Московская область </t>
  </si>
  <si>
    <t>147,5</t>
  </si>
  <si>
    <t xml:space="preserve">Сокульский Сергей </t>
  </si>
  <si>
    <t>Емельянов Алексей</t>
  </si>
  <si>
    <t>Open (25.02.1983)/32</t>
  </si>
  <si>
    <t>78,50</t>
  </si>
  <si>
    <t xml:space="preserve">Серпухов/Московская область </t>
  </si>
  <si>
    <t>Юдкин Дмитрий</t>
  </si>
  <si>
    <t>Juniors 20-23 (28.02.1995)/20</t>
  </si>
  <si>
    <t>85,10</t>
  </si>
  <si>
    <t xml:space="preserve">Новомосковск/Тульская область </t>
  </si>
  <si>
    <t>Teen 16-17 (26.08.1997)/17</t>
  </si>
  <si>
    <t>97,80</t>
  </si>
  <si>
    <t xml:space="preserve">Ока </t>
  </si>
  <si>
    <t xml:space="preserve">Пущино/Московская область </t>
  </si>
  <si>
    <t>Белкин Юрий</t>
  </si>
  <si>
    <t>Open (05.12.1990)/24</t>
  </si>
  <si>
    <t>99,60</t>
  </si>
  <si>
    <t xml:space="preserve">Хабаровск/Хабаровский край </t>
  </si>
  <si>
    <t>345,0</t>
  </si>
  <si>
    <t>360,0</t>
  </si>
  <si>
    <t>Juniors 20-23 (17.11.1993)/21</t>
  </si>
  <si>
    <t>115,30</t>
  </si>
  <si>
    <t>172,5</t>
  </si>
  <si>
    <t>Червяков Александр</t>
  </si>
  <si>
    <t>Open (08.01.1988)/27</t>
  </si>
  <si>
    <t>126,00</t>
  </si>
  <si>
    <t>310,0</t>
  </si>
  <si>
    <t>315,0</t>
  </si>
  <si>
    <t xml:space="preserve">Гольдберг Кирилл </t>
  </si>
  <si>
    <t>645,0</t>
  </si>
  <si>
    <t>900,0</t>
  </si>
  <si>
    <t>824,9400</t>
  </si>
  <si>
    <t>691,4400</t>
  </si>
  <si>
    <t>795,0</t>
  </si>
  <si>
    <t>681,3150</t>
  </si>
  <si>
    <t xml:space="preserve">67.5 </t>
  </si>
  <si>
    <t>530,0</t>
  </si>
  <si>
    <t>673,1000</t>
  </si>
  <si>
    <t>Teen 13-15 (08.03.2000)/15</t>
  </si>
  <si>
    <t>50,30</t>
  </si>
  <si>
    <t xml:space="preserve">Богородицк-стронг </t>
  </si>
  <si>
    <t xml:space="preserve">Богородицк/Тульская область </t>
  </si>
  <si>
    <t>72,5</t>
  </si>
  <si>
    <t>82,5</t>
  </si>
  <si>
    <t>45,0</t>
  </si>
  <si>
    <t>47,5</t>
  </si>
  <si>
    <t>80,0</t>
  </si>
  <si>
    <t>87,5</t>
  </si>
  <si>
    <t>Open (27.12.1988)/26</t>
  </si>
  <si>
    <t>66,60</t>
  </si>
  <si>
    <t>132,5</t>
  </si>
  <si>
    <t xml:space="preserve">Белкин Юрий </t>
  </si>
  <si>
    <t>Кетенчиев Марат</t>
  </si>
  <si>
    <t>Open (19.07.1986)/29</t>
  </si>
  <si>
    <t>66,20</t>
  </si>
  <si>
    <t xml:space="preserve">Нальчик/Кабардино-Балкария </t>
  </si>
  <si>
    <t xml:space="preserve">Моисеев Руслан </t>
  </si>
  <si>
    <t>Серпичев Алексей</t>
  </si>
  <si>
    <t>Juniors 20-23 (21.03.1993)/22</t>
  </si>
  <si>
    <t>95,00</t>
  </si>
  <si>
    <t>307,5</t>
  </si>
  <si>
    <t>Open (15.10.1981)/33</t>
  </si>
  <si>
    <t>122,10</t>
  </si>
  <si>
    <t xml:space="preserve">Гелиос </t>
  </si>
  <si>
    <t xml:space="preserve">Воронеж/Воронежская область </t>
  </si>
  <si>
    <t>285,0</t>
  </si>
  <si>
    <t xml:space="preserve">Ольховский Александр </t>
  </si>
  <si>
    <t>Open (15.01.1979)/36</t>
  </si>
  <si>
    <t>47,10</t>
  </si>
  <si>
    <t>40,0</t>
  </si>
  <si>
    <t>42,5</t>
  </si>
  <si>
    <t>Баловнева Яна</t>
  </si>
  <si>
    <t>Open (10.06.1988)/27</t>
  </si>
  <si>
    <t>51,60</t>
  </si>
  <si>
    <t xml:space="preserve">Новиков Андрей </t>
  </si>
  <si>
    <t>ВЕСОВАЯ КАТЕГОРИЯ   56</t>
  </si>
  <si>
    <t>Open (17.02.1988)/27</t>
  </si>
  <si>
    <t>52,30</t>
  </si>
  <si>
    <t xml:space="preserve">Иваново/Ивановская область </t>
  </si>
  <si>
    <t>62,5</t>
  </si>
  <si>
    <t xml:space="preserve">Потехин Кирилл </t>
  </si>
  <si>
    <t>Open (24.01.1982)/33</t>
  </si>
  <si>
    <t>60,00</t>
  </si>
  <si>
    <t xml:space="preserve">Калита Игорь </t>
  </si>
  <si>
    <t>Серкова Мария</t>
  </si>
  <si>
    <t>Open (26.03.1982)/33</t>
  </si>
  <si>
    <t>72,40</t>
  </si>
  <si>
    <t xml:space="preserve">Гунина Ксения </t>
  </si>
  <si>
    <t>Каразия Сергей</t>
  </si>
  <si>
    <t>Open (30.11.1987)/27</t>
  </si>
  <si>
    <t>55,70</t>
  </si>
  <si>
    <t>Juniors 20-23 (19.10.1991)/23</t>
  </si>
  <si>
    <t>57,00</t>
  </si>
  <si>
    <t xml:space="preserve">Россошь/Воронежская область </t>
  </si>
  <si>
    <t>142,5</t>
  </si>
  <si>
    <t>Еремашвили Роман</t>
  </si>
  <si>
    <t>Open (27.05.1981)/34</t>
  </si>
  <si>
    <t>68,80</t>
  </si>
  <si>
    <t>Teen 18-19 (23.08.1996)/18</t>
  </si>
  <si>
    <t xml:space="preserve">Калягин Д. </t>
  </si>
  <si>
    <t>Климов Илья</t>
  </si>
  <si>
    <t>Open (10.02.1991)/24</t>
  </si>
  <si>
    <t>81,90</t>
  </si>
  <si>
    <t xml:space="preserve">Щербаков Валерий </t>
  </si>
  <si>
    <t>Можаев Сергей</t>
  </si>
  <si>
    <t>Open (16.04.1988)/27</t>
  </si>
  <si>
    <t>80,10</t>
  </si>
  <si>
    <t>137,5</t>
  </si>
  <si>
    <t xml:space="preserve">Вартабедьян Юрий </t>
  </si>
  <si>
    <t>Teen 18-19 (21.11.1995)/19</t>
  </si>
  <si>
    <t>84,00</t>
  </si>
  <si>
    <t xml:space="preserve">Кубинка/Московская область </t>
  </si>
  <si>
    <t xml:space="preserve">Сокольский Сергей </t>
  </si>
  <si>
    <t>Teen 18-19 (15.09.1996)/18</t>
  </si>
  <si>
    <t>90,00</t>
  </si>
  <si>
    <t xml:space="preserve">Еремашвили Роман </t>
  </si>
  <si>
    <t>Леонов Павел</t>
  </si>
  <si>
    <t>Open (08.11.1983)/31</t>
  </si>
  <si>
    <t>89,30</t>
  </si>
  <si>
    <t xml:space="preserve">Лосино-Петровский/Московская область </t>
  </si>
  <si>
    <t>Цикулаев Николай</t>
  </si>
  <si>
    <t>Open (12.12.1989)/25</t>
  </si>
  <si>
    <t>87,30</t>
  </si>
  <si>
    <t xml:space="preserve">Ступино/Московская область </t>
  </si>
  <si>
    <t>Аскеров Шамиль</t>
  </si>
  <si>
    <t>Open (01.04.1989)/26</t>
  </si>
  <si>
    <t>89,10</t>
  </si>
  <si>
    <t>Попов Сергей</t>
  </si>
  <si>
    <t>Masters 40-44 (31.05.1974)/41</t>
  </si>
  <si>
    <t>Teen 16-17 (11.01.1998)/17</t>
  </si>
  <si>
    <t>95,60</t>
  </si>
  <si>
    <t>Бельков Юрий</t>
  </si>
  <si>
    <t>Open (05.01.1987)/28</t>
  </si>
  <si>
    <t>99,10</t>
  </si>
  <si>
    <t>Мельников Алексей</t>
  </si>
  <si>
    <t>Open (22.10.1987)/27</t>
  </si>
  <si>
    <t>93,90</t>
  </si>
  <si>
    <t>187,5</t>
  </si>
  <si>
    <t>Masters 40-44 (13.08.1971)/43</t>
  </si>
  <si>
    <t>98,30</t>
  </si>
  <si>
    <t>Masters 45-49 (06.12.1969)/45</t>
  </si>
  <si>
    <t xml:space="preserve">Протвино/Московская область </t>
  </si>
  <si>
    <t>Juniors 20-23 (23.08.1994)/20</t>
  </si>
  <si>
    <t>106,20</t>
  </si>
  <si>
    <t xml:space="preserve">Гаврюшин Юрий </t>
  </si>
  <si>
    <t>Juniors 20-23 (11.09.1992)/22</t>
  </si>
  <si>
    <t>Гаврюшин Юрий</t>
  </si>
  <si>
    <t>Open (19.10.1983)/31</t>
  </si>
  <si>
    <t>109,00</t>
  </si>
  <si>
    <t>Спиркин Евгений</t>
  </si>
  <si>
    <t>Open (14.11.1987)/27</t>
  </si>
  <si>
    <t>107,60</t>
  </si>
  <si>
    <t>Зорин Евгений</t>
  </si>
  <si>
    <t>Open (28.10.1979)/35</t>
  </si>
  <si>
    <t>106,00</t>
  </si>
  <si>
    <t xml:space="preserve">Зорина Мария </t>
  </si>
  <si>
    <t>Бреус Руслан</t>
  </si>
  <si>
    <t>Open (14.12.1983)/31</t>
  </si>
  <si>
    <t>105,30</t>
  </si>
  <si>
    <t>Мусаев Ахмед</t>
  </si>
  <si>
    <t>Open (10.10.1980)/34</t>
  </si>
  <si>
    <t>100,50</t>
  </si>
  <si>
    <t xml:space="preserve">Махачкала/Дагестан </t>
  </si>
  <si>
    <t xml:space="preserve">Чилихин А. </t>
  </si>
  <si>
    <t>Яковлев Сергей</t>
  </si>
  <si>
    <t>Open (07.09.1983)/31</t>
  </si>
  <si>
    <t>109,10</t>
  </si>
  <si>
    <t>Гончаров Алексей</t>
  </si>
  <si>
    <t>Open (31.05.1991)/24</t>
  </si>
  <si>
    <t>108,00</t>
  </si>
  <si>
    <t xml:space="preserve">Бельков Юрий </t>
  </si>
  <si>
    <t>Juniors 20-23 (01.02.1992)/23</t>
  </si>
  <si>
    <t>120,60</t>
  </si>
  <si>
    <t xml:space="preserve">56 </t>
  </si>
  <si>
    <t xml:space="preserve">110 </t>
  </si>
  <si>
    <t>233,0730</t>
  </si>
  <si>
    <t>230,6600</t>
  </si>
  <si>
    <t>204,3885</t>
  </si>
  <si>
    <t>195,1400</t>
  </si>
  <si>
    <t>194,7200</t>
  </si>
  <si>
    <t>193,7055</t>
  </si>
  <si>
    <t>192,4860</t>
  </si>
  <si>
    <t>183,4750</t>
  </si>
  <si>
    <t>175,0710</t>
  </si>
  <si>
    <t>172,8650</t>
  </si>
  <si>
    <t>169,7040</t>
  </si>
  <si>
    <t>155,2200</t>
  </si>
  <si>
    <t>155,2100</t>
  </si>
  <si>
    <t>150,7900</t>
  </si>
  <si>
    <t>149,0750</t>
  </si>
  <si>
    <t>142,1280</t>
  </si>
  <si>
    <t>141,4040</t>
  </si>
  <si>
    <t>128,9960</t>
  </si>
  <si>
    <t xml:space="preserve">Мастера 40 - 44 </t>
  </si>
  <si>
    <t xml:space="preserve">Мастера 45 - 49 </t>
  </si>
  <si>
    <t>Михайловская Владислава</t>
  </si>
  <si>
    <t>Open (16.09.1982)/32</t>
  </si>
  <si>
    <t>51,20</t>
  </si>
  <si>
    <t xml:space="preserve">Урванов Виктор </t>
  </si>
  <si>
    <t>Черкасова Светлана</t>
  </si>
  <si>
    <t>Open (30.03.1989)/26</t>
  </si>
  <si>
    <t>55,30</t>
  </si>
  <si>
    <t xml:space="preserve">Опиченок Егор </t>
  </si>
  <si>
    <t>Степанова Светлана</t>
  </si>
  <si>
    <t>Open (17.11.1983)/31</t>
  </si>
  <si>
    <t>58,60</t>
  </si>
  <si>
    <t>92,5</t>
  </si>
  <si>
    <t xml:space="preserve">Меркушев Алексей </t>
  </si>
  <si>
    <t>Резниченко Наталья</t>
  </si>
  <si>
    <t>Open (12.04.1984)/31</t>
  </si>
  <si>
    <t>Харчук Ирина</t>
  </si>
  <si>
    <t>Open (18.02.1983)/32</t>
  </si>
  <si>
    <t>59,80</t>
  </si>
  <si>
    <t xml:space="preserve">Скворцов Михаил </t>
  </si>
  <si>
    <t>Open (02.03.1987)/28</t>
  </si>
  <si>
    <t>63,40</t>
  </si>
  <si>
    <t>75,0</t>
  </si>
  <si>
    <t>Жарова Евгения</t>
  </si>
  <si>
    <t>Open (30.04.1990)/25</t>
  </si>
  <si>
    <t>74,70</t>
  </si>
  <si>
    <t xml:space="preserve">Владимир/Владимирская область </t>
  </si>
  <si>
    <t xml:space="preserve">Парамонов Антон </t>
  </si>
  <si>
    <t>ВЕСОВАЯ КАТЕГОРИЯ   100+</t>
  </si>
  <si>
    <t>Уколова Вероника</t>
  </si>
  <si>
    <t>Teen 18-19 (17.06.1997)/18</t>
  </si>
  <si>
    <t>112,40</t>
  </si>
  <si>
    <t>Дулин Алексей</t>
  </si>
  <si>
    <t>Open (03.09.1986)/28</t>
  </si>
  <si>
    <t>51,00</t>
  </si>
  <si>
    <t>Обухов Николай</t>
  </si>
  <si>
    <t>67,30</t>
  </si>
  <si>
    <t xml:space="preserve">Алимбеков Р.Ш. </t>
  </si>
  <si>
    <t>Хван Леонид</t>
  </si>
  <si>
    <t>Juniors 20-23 (30.07.1992)/23</t>
  </si>
  <si>
    <t>73,20</t>
  </si>
  <si>
    <t xml:space="preserve">Федоров Роман </t>
  </si>
  <si>
    <t>Соков Денис</t>
  </si>
  <si>
    <t>Open (06.12.1985)/29</t>
  </si>
  <si>
    <t>74,10</t>
  </si>
  <si>
    <t xml:space="preserve">Кострома/Костромская область </t>
  </si>
  <si>
    <t>163,0</t>
  </si>
  <si>
    <t>Минасян Артур</t>
  </si>
  <si>
    <t>Open (09.02.1988)/27</t>
  </si>
  <si>
    <t>74,90</t>
  </si>
  <si>
    <t xml:space="preserve">Курицин Матвей </t>
  </si>
  <si>
    <t>Чистов Антон</t>
  </si>
  <si>
    <t>Open (27.01.1990)/25</t>
  </si>
  <si>
    <t>73,40</t>
  </si>
  <si>
    <t>Аждаров Заур</t>
  </si>
  <si>
    <t>Open (02.09.1978)/36</t>
  </si>
  <si>
    <t>73,50</t>
  </si>
  <si>
    <t xml:space="preserve">Калуга/Калужская область </t>
  </si>
  <si>
    <t>Гречишников Дмитрий</t>
  </si>
  <si>
    <t>Open (09.11.1987)/27</t>
  </si>
  <si>
    <t>71,70</t>
  </si>
  <si>
    <t xml:space="preserve">Юханов Александр </t>
  </si>
  <si>
    <t>Панкратов Илья</t>
  </si>
  <si>
    <t>Open (09.12.1986)/28</t>
  </si>
  <si>
    <t>192,5</t>
  </si>
  <si>
    <t>Опиченок Егор</t>
  </si>
  <si>
    <t>Open (25.09.1981)/33</t>
  </si>
  <si>
    <t>82,50</t>
  </si>
  <si>
    <t>Меркулов Евгений</t>
  </si>
  <si>
    <t>Open (19.03.1988)/27</t>
  </si>
  <si>
    <t>79,60</t>
  </si>
  <si>
    <t>127,5</t>
  </si>
  <si>
    <t>Juniors 20-23 (17.07.1994)/21</t>
  </si>
  <si>
    <t>Juniors 20-23 (26.06.1992)/23</t>
  </si>
  <si>
    <t>85,50</t>
  </si>
  <si>
    <t>122,5</t>
  </si>
  <si>
    <t>Романов Никита</t>
  </si>
  <si>
    <t>Juniors 20-23 (09.03.1992)/23</t>
  </si>
  <si>
    <t>88,80</t>
  </si>
  <si>
    <t xml:space="preserve">Илясов Антон </t>
  </si>
  <si>
    <t>Петров Дмитрий</t>
  </si>
  <si>
    <t>Open (29.01.1986)/29</t>
  </si>
  <si>
    <t>89,80</t>
  </si>
  <si>
    <t xml:space="preserve">Шумилов Дмитрий </t>
  </si>
  <si>
    <t>Поздняков Александр</t>
  </si>
  <si>
    <t>Open (04.07.1979)/36</t>
  </si>
  <si>
    <t>182,5</t>
  </si>
  <si>
    <t>Ларионов Сергей</t>
  </si>
  <si>
    <t>Open (14.05.1985)/30</t>
  </si>
  <si>
    <t>157,5</t>
  </si>
  <si>
    <t>Брязгунов Алексей</t>
  </si>
  <si>
    <t>Teen 16-17 (22.02.1999)/16</t>
  </si>
  <si>
    <t xml:space="preserve">Бухарин Сергей </t>
  </si>
  <si>
    <t>Абрамов Евгений</t>
  </si>
  <si>
    <t>Open (11.10.1978)/36</t>
  </si>
  <si>
    <t>Потапенко Сергей</t>
  </si>
  <si>
    <t>Open (12.11.1988)/26</t>
  </si>
  <si>
    <t>99,00</t>
  </si>
  <si>
    <t xml:space="preserve">Киров/Кировская область </t>
  </si>
  <si>
    <t>Кущев Сергей</t>
  </si>
  <si>
    <t>Open (05.02.1983)/32</t>
  </si>
  <si>
    <t>Шевалдин Константин</t>
  </si>
  <si>
    <t>Open (05.05.1982)/33</t>
  </si>
  <si>
    <t>96,50</t>
  </si>
  <si>
    <t xml:space="preserve">Волгоград/Волгоградская область </t>
  </si>
  <si>
    <t>Снетков Александр</t>
  </si>
  <si>
    <t>Open (24.01.1987)/28</t>
  </si>
  <si>
    <t xml:space="preserve">Химки/Московская область </t>
  </si>
  <si>
    <t xml:space="preserve">Курков Алексей </t>
  </si>
  <si>
    <t>Прокопов Михаил</t>
  </si>
  <si>
    <t>Masters 55-59 (10.06.1956)/59</t>
  </si>
  <si>
    <t>96,80</t>
  </si>
  <si>
    <t xml:space="preserve">Гаврилова Ольга </t>
  </si>
  <si>
    <t>Фаворский Денис</t>
  </si>
  <si>
    <t>Open (16.07.1971)/44</t>
  </si>
  <si>
    <t>108,70</t>
  </si>
  <si>
    <t xml:space="preserve">Паллада </t>
  </si>
  <si>
    <t>Masters 40-44 (16.07.1971)/44</t>
  </si>
  <si>
    <t>Лукьянов Андрей</t>
  </si>
  <si>
    <t>Masters 45-49 (29.01.1969)/46</t>
  </si>
  <si>
    <t>105,80</t>
  </si>
  <si>
    <t>Катаев Руслан</t>
  </si>
  <si>
    <t>Masters 45-49 (08.04.1969)/46</t>
  </si>
  <si>
    <t>107,20</t>
  </si>
  <si>
    <t>Куротченко Игорь</t>
  </si>
  <si>
    <t>Masters 50-54 (20.03.1962)/53</t>
  </si>
  <si>
    <t>107,50</t>
  </si>
  <si>
    <t>Грабовой Борис</t>
  </si>
  <si>
    <t>Masters 55-59 (23.01.1956)/59</t>
  </si>
  <si>
    <t>106,90</t>
  </si>
  <si>
    <t xml:space="preserve">Кривошляпин А. </t>
  </si>
  <si>
    <t>Храмцов Андрей</t>
  </si>
  <si>
    <t>Open (17.09.1984)/30</t>
  </si>
  <si>
    <t>125,00</t>
  </si>
  <si>
    <t>Чубаров Владимир</t>
  </si>
  <si>
    <t>Masters 50-54 (03.04.1964)/51</t>
  </si>
  <si>
    <t>116,30</t>
  </si>
  <si>
    <t>Богданов Константин</t>
  </si>
  <si>
    <t>Open (14.05.1976)/39</t>
  </si>
  <si>
    <t>137,80</t>
  </si>
  <si>
    <t>ВЕСОВАЯ КАТЕГОРИЯ   140+</t>
  </si>
  <si>
    <t>Иов Николай</t>
  </si>
  <si>
    <t>Open (02.09.1990)/24</t>
  </si>
  <si>
    <t>151,00</t>
  </si>
  <si>
    <t>168,2205</t>
  </si>
  <si>
    <t>126,1440</t>
  </si>
  <si>
    <t>120,5145</t>
  </si>
  <si>
    <t>115,3305</t>
  </si>
  <si>
    <t>110,9865</t>
  </si>
  <si>
    <t>106,9800</t>
  </si>
  <si>
    <t>100,5290</t>
  </si>
  <si>
    <t>95,4720</t>
  </si>
  <si>
    <t>93,8595</t>
  </si>
  <si>
    <t>187,3080</t>
  </si>
  <si>
    <t>182,3250</t>
  </si>
  <si>
    <t>180,8640</t>
  </si>
  <si>
    <t>177,6250</t>
  </si>
  <si>
    <t>175,0660</t>
  </si>
  <si>
    <t>174,5640</t>
  </si>
  <si>
    <t>170,0150</t>
  </si>
  <si>
    <t>167,2125</t>
  </si>
  <si>
    <t>160,1700</t>
  </si>
  <si>
    <t>156,6400</t>
  </si>
  <si>
    <t>156,5480</t>
  </si>
  <si>
    <t xml:space="preserve">140+ </t>
  </si>
  <si>
    <t>155,6250</t>
  </si>
  <si>
    <t>153,9810</t>
  </si>
  <si>
    <t>153,5260</t>
  </si>
  <si>
    <t>151,5150</t>
  </si>
  <si>
    <t>148,0700</t>
  </si>
  <si>
    <t>145,3500</t>
  </si>
  <si>
    <t>141,3750</t>
  </si>
  <si>
    <t>135,4505</t>
  </si>
  <si>
    <t>102,0250</t>
  </si>
  <si>
    <t>194,1421</t>
  </si>
  <si>
    <t xml:space="preserve">Мастера 50 - 54 </t>
  </si>
  <si>
    <t>169,7688</t>
  </si>
  <si>
    <t>164,1643</t>
  </si>
  <si>
    <t>164,0041</t>
  </si>
  <si>
    <t>162,6399</t>
  </si>
  <si>
    <t>162,5856</t>
  </si>
  <si>
    <t>160,6090</t>
  </si>
  <si>
    <t>153,8522</t>
  </si>
  <si>
    <t>141,4103</t>
  </si>
  <si>
    <t>Голландцев Дмитрий</t>
  </si>
  <si>
    <t>Open (29.05.1978)/37</t>
  </si>
  <si>
    <t>81,70</t>
  </si>
  <si>
    <t>Open (18.06.1991)/24</t>
  </si>
  <si>
    <t>Щенников Андрей</t>
  </si>
  <si>
    <t>Open (14.10.1974)/40</t>
  </si>
  <si>
    <t>98,80</t>
  </si>
  <si>
    <t xml:space="preserve">Рязань/Рязанская область </t>
  </si>
  <si>
    <t>Masters 40-44 (14.10.1974)/40</t>
  </si>
  <si>
    <t>Ольховский Александр</t>
  </si>
  <si>
    <t>Open (25.12.1978)/36</t>
  </si>
  <si>
    <t>110,00</t>
  </si>
  <si>
    <t>Поликарпов Дмитрий</t>
  </si>
  <si>
    <t>Open (01.08.1979)/36</t>
  </si>
  <si>
    <t>103,90</t>
  </si>
  <si>
    <t>Желябовская Анна</t>
  </si>
  <si>
    <t>Open (16.06.1978)/37</t>
  </si>
  <si>
    <t>Open (07.11.1982)/32</t>
  </si>
  <si>
    <t>102,10</t>
  </si>
  <si>
    <t xml:space="preserve">Псков/Псковская область </t>
  </si>
  <si>
    <t>227,5</t>
  </si>
  <si>
    <t>Бубырь Дмитрий</t>
  </si>
  <si>
    <t>Open (22.05.1981)/34</t>
  </si>
  <si>
    <t>103,80</t>
  </si>
  <si>
    <t>Бегалко Антон</t>
  </si>
  <si>
    <t>Open (06.11.1986)/28</t>
  </si>
  <si>
    <t>375,0</t>
  </si>
  <si>
    <t>385,0</t>
  </si>
  <si>
    <t>Чидингов Павел</t>
  </si>
  <si>
    <t>Masters 45-49 (02.07.1969)/46</t>
  </si>
  <si>
    <t xml:space="preserve">Элиста/Калмыкия </t>
  </si>
  <si>
    <t xml:space="preserve">Настынов Игорь </t>
  </si>
  <si>
    <t>Максимов Станислав</t>
  </si>
  <si>
    <t>Masters 45-49 (04.08.1968)/47</t>
  </si>
  <si>
    <t>111,30</t>
  </si>
  <si>
    <t xml:space="preserve">Курпишев Иван </t>
  </si>
  <si>
    <t>Курочкин Валерий</t>
  </si>
  <si>
    <t>Open (09.11.1978)/36</t>
  </si>
  <si>
    <t>107,00</t>
  </si>
  <si>
    <t>Конев Александр</t>
  </si>
  <si>
    <t>Open (11.02.1987)/28</t>
  </si>
  <si>
    <t>59,00</t>
  </si>
  <si>
    <t xml:space="preserve">Вологда/Вологодская область </t>
  </si>
  <si>
    <t xml:space="preserve">Балашов Николай </t>
  </si>
  <si>
    <t>Востриков Антон</t>
  </si>
  <si>
    <t>Juniors 20-23 (07.06.1995)/20</t>
  </si>
  <si>
    <t>87,70</t>
  </si>
  <si>
    <t>Аблаева Виктория</t>
  </si>
  <si>
    <t>Open (08.05.1983)/32</t>
  </si>
  <si>
    <t xml:space="preserve">Марченко Владимир </t>
  </si>
  <si>
    <t>Янковский Андрей</t>
  </si>
  <si>
    <t>Teen 13-15 (20.03.2001)/14</t>
  </si>
  <si>
    <t>55,20</t>
  </si>
  <si>
    <t xml:space="preserve">Химик </t>
  </si>
  <si>
    <t xml:space="preserve">Клин/Московская область </t>
  </si>
  <si>
    <t>Петров Никита</t>
  </si>
  <si>
    <t>Open (17.11.1988)/26</t>
  </si>
  <si>
    <t>67,20</t>
  </si>
  <si>
    <t>Иванов Александр</t>
  </si>
  <si>
    <t>Open (02.06.1988)/27</t>
  </si>
  <si>
    <t>85,80</t>
  </si>
  <si>
    <t xml:space="preserve">Команда Блинкова </t>
  </si>
  <si>
    <t xml:space="preserve">Блинков Евгений </t>
  </si>
  <si>
    <t>Барышев Алексей</t>
  </si>
  <si>
    <t>Open (07.04.1989)/26</t>
  </si>
  <si>
    <t xml:space="preserve">Домодедово/Московская область </t>
  </si>
  <si>
    <t>350,0</t>
  </si>
  <si>
    <t>357,5</t>
  </si>
  <si>
    <t xml:space="preserve">Митяев А. </t>
  </si>
  <si>
    <t>Папенков Павел</t>
  </si>
  <si>
    <t>Open (29.02.1980)/35</t>
  </si>
  <si>
    <t>Мишкин Олег</t>
  </si>
  <si>
    <t>Teen 16-17 (30.01.1998)/17</t>
  </si>
  <si>
    <t>122,30</t>
  </si>
  <si>
    <t xml:space="preserve">Лидер </t>
  </si>
  <si>
    <t xml:space="preserve">Орехово-Зуево/Московская область </t>
  </si>
  <si>
    <t>Марченко Владимир</t>
  </si>
  <si>
    <t>Open (22.04.1978)/37</t>
  </si>
  <si>
    <t>112,20</t>
  </si>
  <si>
    <t>Masters 40-44 (03.10.1973)/41</t>
  </si>
  <si>
    <t>136,60</t>
  </si>
  <si>
    <t>370,0</t>
  </si>
  <si>
    <t>380,0</t>
  </si>
  <si>
    <t>Masters 40-44 (25.05.1975)/40</t>
  </si>
  <si>
    <t>142,60</t>
  </si>
  <si>
    <t xml:space="preserve">Команда Клюшева </t>
  </si>
  <si>
    <t>330,0</t>
  </si>
  <si>
    <t xml:space="preserve">Клюшев Александр </t>
  </si>
  <si>
    <t>316,2270</t>
  </si>
  <si>
    <t>312,3400</t>
  </si>
  <si>
    <t>263,7000</t>
  </si>
  <si>
    <t>250,3200</t>
  </si>
  <si>
    <t>229,9080</t>
  </si>
  <si>
    <t>223,7040</t>
  </si>
  <si>
    <t>193,4940</t>
  </si>
  <si>
    <t>Ермолаева Дарья</t>
  </si>
  <si>
    <t>Juniors 20-23 (01.04.1993)/22</t>
  </si>
  <si>
    <t>58,50</t>
  </si>
  <si>
    <t xml:space="preserve">Смирнов Олег </t>
  </si>
  <si>
    <t>Никонова Людмила</t>
  </si>
  <si>
    <t>Open (09.04.1980)/35</t>
  </si>
  <si>
    <t>59,60</t>
  </si>
  <si>
    <t>Желудев Виталий</t>
  </si>
  <si>
    <t>Open (09.02.1985)/30</t>
  </si>
  <si>
    <t>87,00</t>
  </si>
  <si>
    <t xml:space="preserve">Евдокушин С.П. </t>
  </si>
  <si>
    <t>Коновалов Дмитрий</t>
  </si>
  <si>
    <t>Open (16.02.1991)/24</t>
  </si>
  <si>
    <t>86,60</t>
  </si>
  <si>
    <t xml:space="preserve">Груздев К. </t>
  </si>
  <si>
    <t>Скворцов Михаил</t>
  </si>
  <si>
    <t>Teen 13-15 (01.04.2000)/15</t>
  </si>
  <si>
    <t>91,60</t>
  </si>
  <si>
    <t>Таракин Александр</t>
  </si>
  <si>
    <t>Open (10.02.1986)/29</t>
  </si>
  <si>
    <t>96,00</t>
  </si>
  <si>
    <t>Мурзаков Василий</t>
  </si>
  <si>
    <t>Open (01.08.1985)/30</t>
  </si>
  <si>
    <t xml:space="preserve">Найденов Виктор </t>
  </si>
  <si>
    <t>Инютин Андрей</t>
  </si>
  <si>
    <t>Open (04.08.1975)/40</t>
  </si>
  <si>
    <t>128,90</t>
  </si>
  <si>
    <t xml:space="preserve">Брянск/Брянская область </t>
  </si>
  <si>
    <t>302,5</t>
  </si>
  <si>
    <t>Masters 40-44 (04.08.1975)/40</t>
  </si>
  <si>
    <t>128,80</t>
  </si>
  <si>
    <t>258,0325</t>
  </si>
  <si>
    <t>257,4000</t>
  </si>
  <si>
    <t>242,3200</t>
  </si>
  <si>
    <t>220,9870</t>
  </si>
  <si>
    <t>183,6390</t>
  </si>
  <si>
    <t>Open (08.09.1983)/31</t>
  </si>
  <si>
    <t xml:space="preserve">Банников Дмитрий </t>
  </si>
  <si>
    <t>Open (30.04.1987)/28</t>
  </si>
  <si>
    <t>109,70</t>
  </si>
  <si>
    <t xml:space="preserve">Вегетарианская сила </t>
  </si>
  <si>
    <t>Кулебякин Руслан</t>
  </si>
  <si>
    <t>Open (26.07.1984)/31</t>
  </si>
  <si>
    <t>102,80</t>
  </si>
  <si>
    <t xml:space="preserve">Таганрог/Ростовская область </t>
  </si>
  <si>
    <t xml:space="preserve">Стародубский Сергей </t>
  </si>
  <si>
    <t>Место</t>
  </si>
  <si>
    <t>1</t>
  </si>
  <si>
    <t>Результат</t>
  </si>
  <si>
    <t>2</t>
  </si>
  <si>
    <t>3</t>
  </si>
  <si>
    <t>Собств. вес</t>
  </si>
  <si>
    <t>Антоняк Роман</t>
  </si>
  <si>
    <t xml:space="preserve">Абаев Асламбек </t>
  </si>
  <si>
    <t xml:space="preserve">Устинов Сергей </t>
  </si>
  <si>
    <t>537.5</t>
  </si>
  <si>
    <t>510.0</t>
  </si>
  <si>
    <t>680.0</t>
  </si>
  <si>
    <t>610.0</t>
  </si>
  <si>
    <t>735.0</t>
  </si>
  <si>
    <t>755.0</t>
  </si>
  <si>
    <t>540.0</t>
  </si>
  <si>
    <t>760.0</t>
  </si>
  <si>
    <t>817.5</t>
  </si>
  <si>
    <t xml:space="preserve">Воркута/Республика Коми </t>
  </si>
  <si>
    <t>Украина /Харьков/Харьковская область</t>
  </si>
  <si>
    <t>Чемпионат Евразии GPA/IPO                                                                                                                                                                                             Пауэрлифтинг без экипировки
07 - 09 августа 2015 года</t>
  </si>
  <si>
    <t>Непряхин Алексей</t>
  </si>
  <si>
    <t>Чемпионат Евразии GPA/IPO                                                                                                                                               Пауэрлифтинг без экипировки с прохождением допинг контроля
07 - 09 августа 2015 года</t>
  </si>
  <si>
    <t>Цветкова Екатерина</t>
  </si>
  <si>
    <t xml:space="preserve">Сулейманов Владислав </t>
  </si>
  <si>
    <t>Коваль Максим</t>
  </si>
  <si>
    <t>Бурдаков Сергей</t>
  </si>
  <si>
    <t xml:space="preserve">Бессонов Антон </t>
  </si>
  <si>
    <t xml:space="preserve">Даниелян Самвел </t>
  </si>
  <si>
    <t>Головков Сергей</t>
  </si>
  <si>
    <t>Город/область</t>
  </si>
  <si>
    <t xml:space="preserve">Москва/Московская область  </t>
  </si>
  <si>
    <t>Украина/Макеевка/Донецкая область</t>
  </si>
  <si>
    <t xml:space="preserve">Украина/Донецк/Донецкая область </t>
  </si>
  <si>
    <t xml:space="preserve">Емельянов Алексей </t>
  </si>
  <si>
    <t xml:space="preserve">Герасименко Артем </t>
  </si>
  <si>
    <t>Лунин Никита</t>
  </si>
  <si>
    <t>235.0</t>
  </si>
  <si>
    <t>395.0</t>
  </si>
  <si>
    <t>535.0</t>
  </si>
  <si>
    <t>690.0</t>
  </si>
  <si>
    <t>530.0</t>
  </si>
  <si>
    <t>645.0</t>
  </si>
  <si>
    <t>900.0</t>
  </si>
  <si>
    <t>795.0</t>
  </si>
  <si>
    <t>Чемпионат Евразии GPA/IPO                                                                                                                                                   Пауэрлифтинг в бинтах
07 - 09 августа 2015 года</t>
  </si>
  <si>
    <t>самостоятельно</t>
  </si>
  <si>
    <t>Тарасова Анна</t>
  </si>
  <si>
    <t>Быстрова Алиса</t>
  </si>
  <si>
    <t>Чемпионат Евразии GPA/IPO                                                                                                                                          Пауэрлифтинг в бинтах с прохождением допинг контроля
07 - 09 августа 2015 года</t>
  </si>
  <si>
    <t>Первышин Евгений</t>
  </si>
  <si>
    <t>Извеков Андрей</t>
  </si>
  <si>
    <t>Чемпионат Евразии GPA/IPO                                                                                                                                             Пауэрлифтинг в однослойной экипировке с прохождением допинг контроля
07 - 09 августа 2015 года</t>
  </si>
  <si>
    <t>745.0</t>
  </si>
  <si>
    <t xml:space="preserve">Гаврилова Александра </t>
  </si>
  <si>
    <t>Потехина Екатерина</t>
  </si>
  <si>
    <t>Власова Надежда</t>
  </si>
  <si>
    <t>Белоусов Роман</t>
  </si>
  <si>
    <t>Жаворонков Алексей</t>
  </si>
  <si>
    <t xml:space="preserve">Можаев Сергей </t>
  </si>
  <si>
    <t xml:space="preserve">Климов Илья </t>
  </si>
  <si>
    <t>Казарян Рубен</t>
  </si>
  <si>
    <t>Чемко Андрей</t>
  </si>
  <si>
    <t xml:space="preserve">Шуст Владислав </t>
  </si>
  <si>
    <t xml:space="preserve">Чернов Валерий </t>
  </si>
  <si>
    <t xml:space="preserve">Франк Дмитрий </t>
  </si>
  <si>
    <t xml:space="preserve">Морозов Сергей </t>
  </si>
  <si>
    <t xml:space="preserve">Гончаров Алексей </t>
  </si>
  <si>
    <t xml:space="preserve">Чернов Денис </t>
  </si>
  <si>
    <t>Чемпионат Евразии GPA/IPO                                                                                                                                                            Жим лежа без экипировки
07 - 09 августа 2015 года</t>
  </si>
  <si>
    <t>Беларусь/Гродно/Гродненская область</t>
  </si>
  <si>
    <t>Беларусь/Минск/Минская область</t>
  </si>
  <si>
    <t>4</t>
  </si>
  <si>
    <t>5</t>
  </si>
  <si>
    <t>6</t>
  </si>
  <si>
    <t>7</t>
  </si>
  <si>
    <t>Козлов Виктор</t>
  </si>
  <si>
    <t>100.0</t>
  </si>
  <si>
    <t>90.0</t>
  </si>
  <si>
    <t>145.0</t>
  </si>
  <si>
    <t>140.0</t>
  </si>
  <si>
    <t>190.0</t>
  </si>
  <si>
    <t>160.0</t>
  </si>
  <si>
    <t>150.0</t>
  </si>
  <si>
    <t>135.0</t>
  </si>
  <si>
    <t>155.0</t>
  </si>
  <si>
    <t>120.0</t>
  </si>
  <si>
    <t>200.0</t>
  </si>
  <si>
    <t>175.0</t>
  </si>
  <si>
    <t>210.0</t>
  </si>
  <si>
    <t>180.0</t>
  </si>
  <si>
    <t>170.0</t>
  </si>
  <si>
    <t>220.0</t>
  </si>
  <si>
    <t>205.0</t>
  </si>
  <si>
    <t>195.0</t>
  </si>
  <si>
    <t xml:space="preserve">Салмаева Бэлла </t>
  </si>
  <si>
    <t xml:space="preserve">Черкасова Светлана </t>
  </si>
  <si>
    <t xml:space="preserve">Степанова Светлана </t>
  </si>
  <si>
    <t xml:space="preserve">Харчук Ирина </t>
  </si>
  <si>
    <t xml:space="preserve">Дулин Алексей </t>
  </si>
  <si>
    <t xml:space="preserve">Гречишников Дмитрий </t>
  </si>
  <si>
    <t xml:space="preserve">Меркулов Евгений </t>
  </si>
  <si>
    <t>Рощупкин Андрей</t>
  </si>
  <si>
    <t>Казаков Игорь</t>
  </si>
  <si>
    <t xml:space="preserve">Поздняков Александр </t>
  </si>
  <si>
    <t xml:space="preserve">Ларионов Сергей </t>
  </si>
  <si>
    <t xml:space="preserve">Бухарин Александр </t>
  </si>
  <si>
    <t xml:space="preserve">Прокопов Михаил </t>
  </si>
  <si>
    <t xml:space="preserve">Фаворский Денис </t>
  </si>
  <si>
    <t xml:space="preserve">Катаев Руслан </t>
  </si>
  <si>
    <t xml:space="preserve">Грабовой Борис </t>
  </si>
  <si>
    <t>60.0</t>
  </si>
  <si>
    <t>45.0</t>
  </si>
  <si>
    <t>65.0</t>
  </si>
  <si>
    <t>80.0</t>
  </si>
  <si>
    <t>75.0</t>
  </si>
  <si>
    <t>95.0</t>
  </si>
  <si>
    <t>130.0</t>
  </si>
  <si>
    <t>185.0</t>
  </si>
  <si>
    <t>Санкт-Петербург/Ленинградская область</t>
  </si>
  <si>
    <t>Кронштадт/Ленинградская область</t>
  </si>
  <si>
    <t xml:space="preserve">Храмцов Андрей </t>
  </si>
  <si>
    <t xml:space="preserve">Чубаров Владимир  </t>
  </si>
  <si>
    <t xml:space="preserve">Богданов Константин  </t>
  </si>
  <si>
    <t xml:space="preserve">Иов Николай </t>
  </si>
  <si>
    <t>Емелин Александр</t>
  </si>
  <si>
    <t xml:space="preserve">Ростов Великий/Ярославская область </t>
  </si>
  <si>
    <t xml:space="preserve">Кашелкин Дмитрий </t>
  </si>
  <si>
    <t>Семенин Дмитрий</t>
  </si>
  <si>
    <t xml:space="preserve">Ерохов Андрей </t>
  </si>
  <si>
    <t>Чемпионат Евразии GPA/IPO                                                                                                                                                                                    Жим лежа без экипировки с прохождением допинг контроля
07 - 09 августа 2015 года</t>
  </si>
  <si>
    <t>Чемпионат Евразии GPA/IPO                                                                                                                         Жим лежа в однослойной экипировке
07 - 09 августа 2015 года</t>
  </si>
  <si>
    <t xml:space="preserve">Рудь Антон </t>
  </si>
  <si>
    <t>250.0</t>
  </si>
  <si>
    <t xml:space="preserve">Бородий Владислав </t>
  </si>
  <si>
    <t xml:space="preserve">Шейкин Алексей </t>
  </si>
  <si>
    <t>Чемпионат Евразии GPA/IPO                                                                                                                          Жим лежа в однослойной экипировке с прохождением допинг контроля
07 - 09 августа 2015 года</t>
  </si>
  <si>
    <t>Чемпионат Евразии GPA/IPO                                                                                                             Жим лежа в многослойной экипировке
07 - 09 августа 2015 года</t>
  </si>
  <si>
    <t>Чемпионат Евразии GPA/IPO                                                                                                                                  Жим лежа в многослойной экипировке с прохождением допинг контроля
07 - 09 августа 2015 года</t>
  </si>
  <si>
    <t>Чемпионат Евразии GPA/IPO                                                                                                                        Жим лежа без экипировки среди спортсменов с физическими особенностями (СФО)
07 - 09 августа 2015 года</t>
  </si>
  <si>
    <t>110.0</t>
  </si>
  <si>
    <t>Чемпионат Евразии GPA/IPO                                                                                                                                                                                      Становая тяга без экипировки
07 - 09 августа 2015 года</t>
  </si>
  <si>
    <t xml:space="preserve">Петров Никита  </t>
  </si>
  <si>
    <t xml:space="preserve">Иванов Александр </t>
  </si>
  <si>
    <t xml:space="preserve">Белкин Юрий  </t>
  </si>
  <si>
    <t xml:space="preserve">Мищенко Сергей </t>
  </si>
  <si>
    <t xml:space="preserve">Барышев Алексей  </t>
  </si>
  <si>
    <t xml:space="preserve">Папенков Павел </t>
  </si>
  <si>
    <t xml:space="preserve">Марченко Владимир  </t>
  </si>
  <si>
    <t xml:space="preserve">Стрельцов Максим </t>
  </si>
  <si>
    <t xml:space="preserve">Лившиц Олег </t>
  </si>
  <si>
    <t>Украина/Харьков/Харьковская область</t>
  </si>
  <si>
    <t>Ахметов Ренат</t>
  </si>
  <si>
    <t>230.0</t>
  </si>
  <si>
    <t>345.0</t>
  </si>
  <si>
    <t>350.0</t>
  </si>
  <si>
    <t>280.0</t>
  </si>
  <si>
    <t>300.0</t>
  </si>
  <si>
    <t>370.0</t>
  </si>
  <si>
    <t>330.0</t>
  </si>
  <si>
    <t>Ушков Илья</t>
  </si>
  <si>
    <t>Арсентьев Иван</t>
  </si>
  <si>
    <t xml:space="preserve">Команда Длужневского </t>
  </si>
  <si>
    <t xml:space="preserve">Ермолаева Дарья </t>
  </si>
  <si>
    <t>Чемпионат Евразии GPA/IPO                                                                                                                           Становая тяга без экипировки с прохождением допинг контроля
07 - 09 августа 2015 года</t>
  </si>
  <si>
    <t>260.0</t>
  </si>
  <si>
    <t>Таракина Наталья</t>
  </si>
  <si>
    <t xml:space="preserve">Артюхов Артем  </t>
  </si>
  <si>
    <t xml:space="preserve">Самардин Алексей </t>
  </si>
  <si>
    <t xml:space="preserve">Санкт-Петербург/Ленинградская область </t>
  </si>
  <si>
    <t>Чемпионат Евразии GPA/IPO                                                                                                                            Становая тяга в экипировке с прохождением допинг контроля
07 - 09 августа 2015 года</t>
  </si>
  <si>
    <t>265.0</t>
  </si>
  <si>
    <t>Чемпионат Евразии GPA/IPO                                                                                                                                     Силовое двоеборье без экипировки
07 - 09  августа 2015 года</t>
  </si>
  <si>
    <t>225.0</t>
  </si>
  <si>
    <t>375.0</t>
  </si>
  <si>
    <t>480.0</t>
  </si>
  <si>
    <t>410.0</t>
  </si>
  <si>
    <t>Ерохов Андрей</t>
  </si>
  <si>
    <t>Чемпионат Евразии GPA/IPO                                                                                                                                        Силовое двоеборье без экипировки с прохождением допинг контроля
07 - 09 августа 2015 года</t>
  </si>
  <si>
    <t>Чемпионат Евразии GPA/IPO                                                                                                                                                                                      Присед без экипировки
07 - 09 августа 2015 года</t>
  </si>
  <si>
    <t>Чемпионат Евразии GPA/IPO                                                                                                                      Присед без экипировки с прохождением допинг контроля
07 - 09 августа 2015 года</t>
  </si>
  <si>
    <t>Чемпионат Евразии СПР                                                                                                                                      Пауэрспорт</t>
  </si>
  <si>
    <t>07 - 09 августа 2015 года</t>
  </si>
  <si>
    <t>Возрастная группа</t>
  </si>
  <si>
    <t>Дата рождения/Возраст</t>
  </si>
  <si>
    <t>Gloss</t>
  </si>
  <si>
    <t>Морыганов Дмитрий</t>
  </si>
  <si>
    <t>Open (21.05.1991)/24</t>
  </si>
  <si>
    <t>1,4266</t>
  </si>
  <si>
    <t>153,3595</t>
  </si>
  <si>
    <t>1,1454</t>
  </si>
  <si>
    <t>177,5370</t>
  </si>
  <si>
    <t>Грушин Владимир</t>
  </si>
  <si>
    <t>Open (04.12.1985)/29</t>
  </si>
  <si>
    <t>0,9752</t>
  </si>
  <si>
    <t xml:space="preserve">ФАПО </t>
  </si>
  <si>
    <t xml:space="preserve">Пенза/Пензенская область </t>
  </si>
  <si>
    <t>177,5</t>
  </si>
  <si>
    <t>173,0980</t>
  </si>
  <si>
    <t>97,90</t>
  </si>
  <si>
    <t>0,9234</t>
  </si>
  <si>
    <t>143,1270</t>
  </si>
  <si>
    <t>Лысиков Дмитрий</t>
  </si>
  <si>
    <t>Open (18.02.1987)/28</t>
  </si>
  <si>
    <t>0,8882</t>
  </si>
  <si>
    <t xml:space="preserve">Санкт-Петербург/Ленинградская область  </t>
  </si>
  <si>
    <t>142,1120</t>
  </si>
  <si>
    <t>Чемпионат Евразии СПР                                                                                                                                             Пауэрспорт с прохождением допинг контроля</t>
  </si>
  <si>
    <t>Жим стоя</t>
  </si>
  <si>
    <t>Бицепс</t>
  </si>
  <si>
    <t>Алеев Марат</t>
  </si>
  <si>
    <t>Open (08.03.1974)/41</t>
  </si>
  <si>
    <t>65,30</t>
  </si>
  <si>
    <t>1,2830</t>
  </si>
  <si>
    <t xml:space="preserve">Геркулес </t>
  </si>
  <si>
    <t xml:space="preserve">Люберцы/Московская область </t>
  </si>
  <si>
    <t>160,3750</t>
  </si>
  <si>
    <t>Сухарев Андрей</t>
  </si>
  <si>
    <t>Кениг Александр</t>
  </si>
  <si>
    <t>145,3475</t>
  </si>
  <si>
    <t>Тюпко Григорий</t>
  </si>
  <si>
    <t>Open (25.06.1990)/25</t>
  </si>
  <si>
    <t>62,70</t>
  </si>
  <si>
    <t>1,3444</t>
  </si>
  <si>
    <t xml:space="preserve">Москва/Московская область </t>
  </si>
  <si>
    <t>151,2450</t>
  </si>
  <si>
    <t>Masters 40-49 (08.03.1974)/41</t>
  </si>
  <si>
    <t>161,9787</t>
  </si>
  <si>
    <t>Masters 40-49 (04.08.1975)/40</t>
  </si>
  <si>
    <t>63,90</t>
  </si>
  <si>
    <t>1,3134</t>
  </si>
  <si>
    <t>154,3245</t>
  </si>
  <si>
    <t>1,1390</t>
  </si>
  <si>
    <t>159,4600</t>
  </si>
  <si>
    <t>Павлов Максим</t>
  </si>
  <si>
    <t>Open (26.04.1986)/29</t>
  </si>
  <si>
    <t>69,80</t>
  </si>
  <si>
    <t>1,1972</t>
  </si>
  <si>
    <t xml:space="preserve">Канаш/Чувашская республика </t>
  </si>
  <si>
    <t>155,6360</t>
  </si>
  <si>
    <t xml:space="preserve">Джомиев Ахмат </t>
  </si>
  <si>
    <t>1,0648</t>
  </si>
  <si>
    <t>122,4520</t>
  </si>
  <si>
    <t>0,9790</t>
  </si>
  <si>
    <t>102,5</t>
  </si>
  <si>
    <t>161,5350</t>
  </si>
  <si>
    <t>Асташкин Артем</t>
  </si>
  <si>
    <t>Open (12.09.1988)/26</t>
  </si>
  <si>
    <t>93,80</t>
  </si>
  <si>
    <t>0,9436</t>
  </si>
  <si>
    <t>132,1040</t>
  </si>
  <si>
    <t xml:space="preserve">Gloss </t>
  </si>
  <si>
    <t xml:space="preserve">67,5 </t>
  </si>
  <si>
    <t xml:space="preserve">82,5 </t>
  </si>
  <si>
    <t xml:space="preserve">Аблаева Виктория </t>
  </si>
  <si>
    <t>222.5</t>
  </si>
  <si>
    <t>132.5</t>
  </si>
  <si>
    <t>302.5</t>
  </si>
  <si>
    <t>192.5</t>
  </si>
  <si>
    <t>42.5</t>
  </si>
  <si>
    <t>62.5</t>
  </si>
  <si>
    <t>162.5</t>
  </si>
  <si>
    <t>217.5</t>
  </si>
  <si>
    <t>207.5</t>
  </si>
  <si>
    <t>172.5</t>
  </si>
  <si>
    <t>282.5</t>
  </si>
  <si>
    <t>307.5</t>
  </si>
  <si>
    <t>612.5</t>
  </si>
  <si>
    <t>652.5</t>
  </si>
  <si>
    <t>597.5</t>
  </si>
  <si>
    <t>552.5</t>
  </si>
  <si>
    <t>Соколов Николай</t>
  </si>
  <si>
    <t>272.5</t>
  </si>
  <si>
    <t>Чемпионат Евразии СПР                                                                                                                                 Народный жим (1/2 вес)</t>
  </si>
  <si>
    <t>Тоннаж</t>
  </si>
  <si>
    <t>Вес</t>
  </si>
  <si>
    <t>Повторы</t>
  </si>
  <si>
    <t>Teen 13-19 (20.03.2001)/14</t>
  </si>
  <si>
    <t>1,6324</t>
  </si>
  <si>
    <t>30,0</t>
  </si>
  <si>
    <t>1200</t>
  </si>
  <si>
    <t>1958,8800</t>
  </si>
  <si>
    <t xml:space="preserve">Арсентьев Иван </t>
  </si>
  <si>
    <t>Глушков Иван</t>
  </si>
  <si>
    <t>Teen 13-19 (15.04.2000)/15</t>
  </si>
  <si>
    <t>65,70</t>
  </si>
  <si>
    <t>1,2742</t>
  </si>
  <si>
    <t xml:space="preserve">Ярославль/Ярославская область </t>
  </si>
  <si>
    <t>35,0</t>
  </si>
  <si>
    <t>48,0</t>
  </si>
  <si>
    <t>1680</t>
  </si>
  <si>
    <t>2140,6559</t>
  </si>
  <si>
    <t xml:space="preserve">Хамилов Александр </t>
  </si>
  <si>
    <t>Чемпионат Евразии СПР                                                                                                                                                      Народный жим (1 вес)</t>
  </si>
  <si>
    <t>2,0972</t>
  </si>
  <si>
    <t>0,0000</t>
  </si>
  <si>
    <t>1,5752</t>
  </si>
  <si>
    <t>13,0</t>
  </si>
  <si>
    <t>942,5</t>
  </si>
  <si>
    <t>1484,6260</t>
  </si>
  <si>
    <t>Ким Александр</t>
  </si>
  <si>
    <t>66,90</t>
  </si>
  <si>
    <t>1,2484</t>
  </si>
  <si>
    <t xml:space="preserve">Уссурийск/Приморский край </t>
  </si>
  <si>
    <t>3037,5</t>
  </si>
  <si>
    <t>3792,0149</t>
  </si>
  <si>
    <t>Ким Владимир</t>
  </si>
  <si>
    <t>Макаров Вячеслав</t>
  </si>
  <si>
    <t>Masters 40-49 (07.05.1975)/40</t>
  </si>
  <si>
    <t>74,80</t>
  </si>
  <si>
    <t>1,1194</t>
  </si>
  <si>
    <t>42,0</t>
  </si>
  <si>
    <t>3150</t>
  </si>
  <si>
    <t>3526,1101</t>
  </si>
  <si>
    <t xml:space="preserve">Сухарев Андрей </t>
  </si>
  <si>
    <t>Хамилов Александр</t>
  </si>
  <si>
    <t>Masters 50-59 (23.05.1965)/50</t>
  </si>
  <si>
    <t>71,60</t>
  </si>
  <si>
    <t>1,1676</t>
  </si>
  <si>
    <t>25,0</t>
  </si>
  <si>
    <t>1812,5</t>
  </si>
  <si>
    <t>2391,3908</t>
  </si>
  <si>
    <t>Конев Денис</t>
  </si>
  <si>
    <t>Open (10.08.1989)/25</t>
  </si>
  <si>
    <t>81,60</t>
  </si>
  <si>
    <t>1,0372</t>
  </si>
  <si>
    <t xml:space="preserve">Вычегодская команда </t>
  </si>
  <si>
    <t xml:space="preserve">Котлас/Архангельская область </t>
  </si>
  <si>
    <t>41,0</t>
  </si>
  <si>
    <t>3382,5</t>
  </si>
  <si>
    <t>3508,3289</t>
  </si>
  <si>
    <t xml:space="preserve">Верещагина Полина </t>
  </si>
  <si>
    <t>Дадаханов Хасылжан</t>
  </si>
  <si>
    <t>Open (06.08.1982)/33</t>
  </si>
  <si>
    <t>85,00</t>
  </si>
  <si>
    <t>1,0060</t>
  </si>
  <si>
    <t xml:space="preserve">Волгодонск/Ростовская область </t>
  </si>
  <si>
    <t>46,0</t>
  </si>
  <si>
    <t>3910</t>
  </si>
  <si>
    <t>3933,4602</t>
  </si>
  <si>
    <t xml:space="preserve">Безуглов Павел </t>
  </si>
  <si>
    <t>Савостьянов Руслан</t>
  </si>
  <si>
    <t>Open (22.02.1985)/30</t>
  </si>
  <si>
    <t>0,9900</t>
  </si>
  <si>
    <t xml:space="preserve">Обнинск/Калужская область </t>
  </si>
  <si>
    <t>3937,5</t>
  </si>
  <si>
    <t>3898,1250</t>
  </si>
  <si>
    <t>Бардин Владимир</t>
  </si>
  <si>
    <t>Open (13.01.1985)/30</t>
  </si>
  <si>
    <t>97,10</t>
  </si>
  <si>
    <t>0,9266</t>
  </si>
  <si>
    <t>Свеженцев Андрей</t>
  </si>
  <si>
    <t>Open (08.10.1979)/35</t>
  </si>
  <si>
    <t>99,90</t>
  </si>
  <si>
    <t>0,9154</t>
  </si>
  <si>
    <t>3500</t>
  </si>
  <si>
    <t>3203,9001</t>
  </si>
  <si>
    <t>Смирнов Олег</t>
  </si>
  <si>
    <t>Open (22.01.1986)/29</t>
  </si>
  <si>
    <t>92,20</t>
  </si>
  <si>
    <t>0,9524</t>
  </si>
  <si>
    <t>31,0</t>
  </si>
  <si>
    <t>2867,5</t>
  </si>
  <si>
    <t>2731,0071</t>
  </si>
  <si>
    <t>Open (04.06.1976)/39</t>
  </si>
  <si>
    <t>111,10</t>
  </si>
  <si>
    <t>0,8816</t>
  </si>
  <si>
    <t>34,0</t>
  </si>
  <si>
    <t>3825</t>
  </si>
  <si>
    <t>3372,1201</t>
  </si>
  <si>
    <t>Верещагин Алексей</t>
  </si>
  <si>
    <t>Open (24.03.1976)/39</t>
  </si>
  <si>
    <t>110,10</t>
  </si>
  <si>
    <t>0,8846</t>
  </si>
  <si>
    <t>26,0</t>
  </si>
  <si>
    <t>2925</t>
  </si>
  <si>
    <t>2587,4550</t>
  </si>
  <si>
    <t>Евстифеев Андрей</t>
  </si>
  <si>
    <t>Masters 40-49 (17.04.1970)/45</t>
  </si>
  <si>
    <t>124,10</t>
  </si>
  <si>
    <t>0,8590</t>
  </si>
  <si>
    <t>18,0</t>
  </si>
  <si>
    <t>2250</t>
  </si>
  <si>
    <t>2039,0513</t>
  </si>
  <si>
    <t>3910,0</t>
  </si>
  <si>
    <t>3825,0</t>
  </si>
  <si>
    <t>3500,0</t>
  </si>
  <si>
    <t>2925,0</t>
  </si>
  <si>
    <t>0,00</t>
  </si>
  <si>
    <t>Чемпионат Евразии СПР                                                                                                                             Народный жим (1 вес) с прохождением допинг контроля</t>
  </si>
  <si>
    <t>1,8850</t>
  </si>
  <si>
    <t>15,0</t>
  </si>
  <si>
    <t>787,50</t>
  </si>
  <si>
    <t>1484,4375</t>
  </si>
  <si>
    <t>3037,50</t>
  </si>
  <si>
    <t>Masters 60+ (02.04.1953)/62</t>
  </si>
  <si>
    <t>1,2410</t>
  </si>
  <si>
    <t>877,50</t>
  </si>
  <si>
    <t>1516,9457</t>
  </si>
  <si>
    <t>Канаш/Чувашская республика</t>
  </si>
  <si>
    <t>4550,00</t>
  </si>
  <si>
    <t>5447,2597</t>
  </si>
  <si>
    <t>Гришеев Павел</t>
  </si>
  <si>
    <t>Open (04.08.1982)/33</t>
  </si>
  <si>
    <t>1,1208</t>
  </si>
  <si>
    <t>39,0</t>
  </si>
  <si>
    <t>2925,00</t>
  </si>
  <si>
    <t>3278,3401</t>
  </si>
  <si>
    <t xml:space="preserve">Инютин Андрей </t>
  </si>
  <si>
    <t>Христенко Валерий</t>
  </si>
  <si>
    <t>Open (10.12.1989)/25</t>
  </si>
  <si>
    <t>70,00</t>
  </si>
  <si>
    <t>1,1940</t>
  </si>
  <si>
    <t xml:space="preserve">Гаврилов-Ям/Ярославская область </t>
  </si>
  <si>
    <t>37,0</t>
  </si>
  <si>
    <t>2590,00</t>
  </si>
  <si>
    <t>3092,4600</t>
  </si>
  <si>
    <t>Сорокин Александр</t>
  </si>
  <si>
    <t>Антипов Владимир</t>
  </si>
  <si>
    <t>Juniors 20-23 (15.02.1993)/22</t>
  </si>
  <si>
    <t>79,80</t>
  </si>
  <si>
    <t>1,0564</t>
  </si>
  <si>
    <t>3200,00</t>
  </si>
  <si>
    <t>3380,4798</t>
  </si>
  <si>
    <t xml:space="preserve">Павлов Максим </t>
  </si>
  <si>
    <t>Загиров Руслан</t>
  </si>
  <si>
    <t>Open (05.09.1981)/33</t>
  </si>
  <si>
    <t>77,50</t>
  </si>
  <si>
    <t>1,0840</t>
  </si>
  <si>
    <t>22,0</t>
  </si>
  <si>
    <t>1705,00</t>
  </si>
  <si>
    <t>1848,2200</t>
  </si>
  <si>
    <t xml:space="preserve">Смольников Валерий </t>
  </si>
  <si>
    <t>Политов Илья</t>
  </si>
  <si>
    <t>Open (16.07.1980)/35</t>
  </si>
  <si>
    <t>0,9878</t>
  </si>
  <si>
    <t>2625,00</t>
  </si>
  <si>
    <t>2592,9750</t>
  </si>
  <si>
    <t xml:space="preserve">Кудимов Виктор </t>
  </si>
  <si>
    <t>Малинин Игорь</t>
  </si>
  <si>
    <t>Masters 40-49 (15.11.1974)/40</t>
  </si>
  <si>
    <t>84,50</t>
  </si>
  <si>
    <t>1,0110</t>
  </si>
  <si>
    <t xml:space="preserve">Реутов/Московская область </t>
  </si>
  <si>
    <t>23,0</t>
  </si>
  <si>
    <t>1955,00</t>
  </si>
  <si>
    <t>1976,5051</t>
  </si>
  <si>
    <t>Смольников Валерий</t>
  </si>
  <si>
    <t>Open (31.05.1976)/39</t>
  </si>
  <si>
    <t>90,30</t>
  </si>
  <si>
    <t>0,9666</t>
  </si>
  <si>
    <t>1665,00</t>
  </si>
  <si>
    <t>1609,3890</t>
  </si>
  <si>
    <t>Masters 40-49 (19.04.1970)/45</t>
  </si>
  <si>
    <t>91,50</t>
  </si>
  <si>
    <t>0,9576</t>
  </si>
  <si>
    <t>20,0</t>
  </si>
  <si>
    <t>1850,00</t>
  </si>
  <si>
    <t>1868,9958</t>
  </si>
  <si>
    <t>Open (20.03.1962)/53</t>
  </si>
  <si>
    <t>0,8910</t>
  </si>
  <si>
    <t>19,0</t>
  </si>
  <si>
    <t>2042,50</t>
  </si>
  <si>
    <t>1819,8674</t>
  </si>
  <si>
    <t>1650,00</t>
  </si>
  <si>
    <t>1465,5300</t>
  </si>
  <si>
    <t>Masters 40-49 (16.07.1971)/44</t>
  </si>
  <si>
    <t>1528,5478</t>
  </si>
  <si>
    <t>Masters 50-59 (20.03.1962)/53</t>
  </si>
  <si>
    <t>2154,7231</t>
  </si>
  <si>
    <t>4550,0</t>
  </si>
  <si>
    <t>2590,0</t>
  </si>
  <si>
    <t>2625,0</t>
  </si>
  <si>
    <t>1705,0</t>
  </si>
  <si>
    <t>2042,5</t>
  </si>
  <si>
    <t>1665,0</t>
  </si>
  <si>
    <t>787,5</t>
  </si>
  <si>
    <t>1650,0</t>
  </si>
  <si>
    <t xml:space="preserve"> Чемпионат Евразии WAA                                                                                                                     Русская рулетка</t>
  </si>
  <si>
    <t xml:space="preserve">07 - 09 августа 2015 года </t>
  </si>
  <si>
    <t>Евтихова Юлия</t>
  </si>
  <si>
    <t>Open (01.11.1992)/22</t>
  </si>
  <si>
    <t>58,30</t>
  </si>
  <si>
    <t xml:space="preserve">Пересвет Брянск </t>
  </si>
  <si>
    <t xml:space="preserve">Бояров Александр </t>
  </si>
  <si>
    <t>ВЕСОВАЯ КАТЕГОРИЯ   70</t>
  </si>
  <si>
    <t>Давыдов Андрей</t>
  </si>
  <si>
    <t>Open (24.04.1987)/28</t>
  </si>
  <si>
    <t>68,20</t>
  </si>
  <si>
    <t xml:space="preserve">Дубна/Московская область </t>
  </si>
  <si>
    <t>53,0</t>
  </si>
  <si>
    <t>ВЕСОВАЯ КАТЕГОРИЯ   80</t>
  </si>
  <si>
    <t>Середич Александр</t>
  </si>
  <si>
    <t>Open (02.01.1984)/31</t>
  </si>
  <si>
    <t>79,90</t>
  </si>
  <si>
    <t>85,5</t>
  </si>
  <si>
    <t>Урванов Виктор</t>
  </si>
  <si>
    <t>Open (30.11.1978)/36</t>
  </si>
  <si>
    <t>79,20</t>
  </si>
  <si>
    <t>80,5</t>
  </si>
  <si>
    <t>Зайцев Александр</t>
  </si>
  <si>
    <t>Open (10.01.1998)/17</t>
  </si>
  <si>
    <t xml:space="preserve">Стальной хват России </t>
  </si>
  <si>
    <t>78,0</t>
  </si>
  <si>
    <t>Талдыкин Артем</t>
  </si>
  <si>
    <t>Open (02.12.1991)/23</t>
  </si>
  <si>
    <t>78,20</t>
  </si>
  <si>
    <t>63,0</t>
  </si>
  <si>
    <t xml:space="preserve">Шевченко Сергей </t>
  </si>
  <si>
    <t>Junior (10.01.1998)/17</t>
  </si>
  <si>
    <t>Хаиров Руслан</t>
  </si>
  <si>
    <t>Junior (04.04.1994)/21</t>
  </si>
  <si>
    <t>75,40</t>
  </si>
  <si>
    <t>73,0</t>
  </si>
  <si>
    <t xml:space="preserve">Грушин Владимир </t>
  </si>
  <si>
    <t>Шевченко Сергей</t>
  </si>
  <si>
    <t>Open (30.04.1974)/41</t>
  </si>
  <si>
    <t>87,60</t>
  </si>
  <si>
    <t>88,0</t>
  </si>
  <si>
    <t>Кука Евгений</t>
  </si>
  <si>
    <t>Open (20.06.1988)/27</t>
  </si>
  <si>
    <t>85,90</t>
  </si>
  <si>
    <t>91,10</t>
  </si>
  <si>
    <t>Рыжков Сергей</t>
  </si>
  <si>
    <t>Open (29.01.1987)/28</t>
  </si>
  <si>
    <t>97,40</t>
  </si>
  <si>
    <t>Пономаренко Вадим</t>
  </si>
  <si>
    <t>Open (13.02.1980)/35</t>
  </si>
  <si>
    <t>99,20</t>
  </si>
  <si>
    <t>Фаустов Александр</t>
  </si>
  <si>
    <t>Open (21.02.1976)/39</t>
  </si>
  <si>
    <t>99,40</t>
  </si>
  <si>
    <t>68,0</t>
  </si>
  <si>
    <t>Зайцев Олег</t>
  </si>
  <si>
    <t>Open (05.01.1976)/39</t>
  </si>
  <si>
    <t>109,80</t>
  </si>
  <si>
    <t xml:space="preserve">Переславль-Залесский/Ярославская область </t>
  </si>
  <si>
    <t>Master 40+ (16.07.1971)/44</t>
  </si>
  <si>
    <t>Асиновский Александр</t>
  </si>
  <si>
    <t>Open (17.06.1978)/37</t>
  </si>
  <si>
    <t>Кириллов Александр</t>
  </si>
  <si>
    <t>Master 40+ (04.03.1973)/42</t>
  </si>
  <si>
    <t>121,80</t>
  </si>
  <si>
    <t>Чемпионат Евразии WAA                                                                                                                      Русская ось</t>
  </si>
  <si>
    <t>Зайцева Татьяна</t>
  </si>
  <si>
    <t>Open (12.12.1981)/33</t>
  </si>
  <si>
    <t>59,5</t>
  </si>
  <si>
    <t>54,30</t>
  </si>
  <si>
    <t>63,30</t>
  </si>
  <si>
    <t>Цыбульников Алексей</t>
  </si>
  <si>
    <t>Open (05.10.1978)/36</t>
  </si>
  <si>
    <t>89,00</t>
  </si>
  <si>
    <t>Устинов Евгений</t>
  </si>
  <si>
    <t>Open (08.12.1992)/22</t>
  </si>
  <si>
    <t>88,40</t>
  </si>
  <si>
    <t>Master 40+ (30.04.1974)/41</t>
  </si>
  <si>
    <t>Кулясов Сергей</t>
  </si>
  <si>
    <t>Open (11.09.1982)/32</t>
  </si>
  <si>
    <t>101,70</t>
  </si>
  <si>
    <t>Чемпионат Евразии WAA                                                                                                                 HUB</t>
  </si>
  <si>
    <t>АБСОЛЮТНАЯ КАТЕГОРИЯ</t>
  </si>
  <si>
    <t>Евстюхова Юлия</t>
  </si>
  <si>
    <t>Бояров Александр</t>
  </si>
  <si>
    <t>Open (21.07.1986)/29</t>
  </si>
  <si>
    <t>92,90</t>
  </si>
  <si>
    <t>32,5</t>
  </si>
  <si>
    <t xml:space="preserve">Виткевич Николай </t>
  </si>
  <si>
    <t>Open (04.03.1973)/42</t>
  </si>
  <si>
    <t>Чемпионат Евразии WAA                                                                                                                        Excalibur</t>
  </si>
  <si>
    <t>Панин Алексей</t>
  </si>
  <si>
    <t>Open (26.06.1985)/30</t>
  </si>
  <si>
    <t>100,00</t>
  </si>
  <si>
    <t xml:space="preserve">Первомайск/Тамбовская область </t>
  </si>
  <si>
    <t>снят врачем</t>
  </si>
  <si>
    <t>Masters 60-64 (02.04.1953)/62</t>
  </si>
  <si>
    <t xml:space="preserve">Шелково/Московская область </t>
  </si>
  <si>
    <t>Шапкин Александр</t>
  </si>
  <si>
    <t>Open (30.07.1985)/30</t>
  </si>
  <si>
    <t>69,00</t>
  </si>
  <si>
    <t>Лично</t>
  </si>
  <si>
    <t>38,0</t>
  </si>
  <si>
    <t>Беларусь/Бобруйск/Могилевская область</t>
  </si>
  <si>
    <t>Таурус</t>
  </si>
  <si>
    <t>ФАПО</t>
  </si>
  <si>
    <t xml:space="preserve">Мурашкин Вадим </t>
  </si>
  <si>
    <t>4095,0</t>
  </si>
  <si>
    <t>3794,4270</t>
  </si>
  <si>
    <t>Главный судья соревнований: Длужневский Сергей/Вологда МК</t>
  </si>
  <si>
    <t>Помощник главного секретаря: Ермолаева Дарья/Санкт Петербург</t>
  </si>
  <si>
    <t>Аппеляционное жюри: Длужневская Эльвира/Вологда МК, Длужневский Сергей/Вологда МК, Новиков Степан/Вологда МК</t>
  </si>
  <si>
    <t>Москва, 07-09 августа 2015 года</t>
  </si>
  <si>
    <t>Состав судейской коллегии на Чемпионате Евразии по пауэрлифтингу, его отдельным движениям, народному жиму, пауэрспорту, жимовому двоеборью и армлифтингу по версиям федераций GPA/IPO/WAA/ФЖД и "Союз пауэрлифтеров России"</t>
  </si>
  <si>
    <t>Центральный судья на помосте: Длужневская Эльвира/Вологда МК, Новиков Степан/Вологда МК, Ольховский Александр/Воронеж НК, Туманов Александр/Серпухов НК, Смирнов Олег/Санкт Петербург НК</t>
  </si>
  <si>
    <t>Главный секретарь соревнований: Новиков Степан/Вологда МК</t>
  </si>
  <si>
    <t xml:space="preserve">Боковые судьи на помосте: Смирнов Олег/Санкт Петербург НК, Лысиков Дмитрий/Cанкт Петербург НК, Гунина Ксения/Москва НК, </t>
  </si>
  <si>
    <t>Чарикова Ольга/Воронеж РК, Извеков Андрей/Воронеж РК, Рудь Антон/Воронеж РК, Голландцев Дмитрий/Воронеж РК.</t>
  </si>
  <si>
    <t>Паллада</t>
  </si>
  <si>
    <t>Команда Блинкова</t>
  </si>
  <si>
    <t>Год рождения/Возраст</t>
  </si>
  <si>
    <t>Жим/первое упражнение</t>
  </si>
  <si>
    <t>Жим/второе упражнение</t>
  </si>
  <si>
    <t>Сумма баллов</t>
  </si>
  <si>
    <t>Мужчины - любители с прохождением допинг контроля</t>
  </si>
  <si>
    <t>40</t>
  </si>
  <si>
    <t>Женщины - любители</t>
  </si>
  <si>
    <t>Касимов/Рязанская область</t>
  </si>
  <si>
    <t>Прохина Полина</t>
  </si>
  <si>
    <t>Бакеев Адиль</t>
  </si>
  <si>
    <t>Мужчины - любители</t>
  </si>
  <si>
    <t>Суставов Юрий</t>
  </si>
  <si>
    <t>Open (02.10.1974)/40</t>
  </si>
  <si>
    <t>ВЕСОВАЯ КАТЕГОРИЯ   120</t>
  </si>
  <si>
    <t>ВЕСОВАЯ КАТЕГОРИЯ   130</t>
  </si>
  <si>
    <t>Мужчины - облегченная экипировка</t>
  </si>
  <si>
    <t>Лосино Петровский/Московская область</t>
  </si>
  <si>
    <t>ВЕСОВАЯ КАТЕГОРИЯ  110</t>
  </si>
  <si>
    <t>ВЕСОВАЯ КАТЕГОРИЯ  100</t>
  </si>
  <si>
    <t>Мужчины - военный жим</t>
  </si>
  <si>
    <t>Чемпионат Евразии                                                                                                                                                                                              Жимовое двоеборье
07 - 09 августа 2015 года</t>
  </si>
  <si>
    <t>Женщины - любители с прохождением допинг контроля</t>
  </si>
  <si>
    <t>Залуцкая Светлана</t>
  </si>
  <si>
    <t>Open (19.03.1979)/36</t>
  </si>
  <si>
    <t xml:space="preserve">Раменское/Московская область </t>
  </si>
  <si>
    <t>37,5</t>
  </si>
  <si>
    <t>25</t>
  </si>
  <si>
    <t>Залуцкий Роман</t>
  </si>
  <si>
    <t>Хорхордин Игорь</t>
  </si>
  <si>
    <t>Masters 45-50 (15.06.1967)/48</t>
  </si>
  <si>
    <t>87,8</t>
  </si>
  <si>
    <t>49,4</t>
  </si>
  <si>
    <t>91,3</t>
  </si>
  <si>
    <t>Куротченков Игорь</t>
  </si>
  <si>
    <t>107,2</t>
  </si>
  <si>
    <t>Masters 50-55 (20.03.1962)/53</t>
  </si>
  <si>
    <t>ВЕСОВАЯ КАТЕГОРИЯ   СВЫШЕ 90</t>
  </si>
  <si>
    <t>Masters 40-45 (31.07.1970)/45</t>
  </si>
  <si>
    <t>95,80</t>
  </si>
  <si>
    <t>99,9</t>
  </si>
  <si>
    <t>101,5</t>
  </si>
  <si>
    <t>Заднев Константин</t>
  </si>
  <si>
    <t>Open (16.06.1982)/33</t>
  </si>
  <si>
    <t>104,5</t>
  </si>
  <si>
    <t>Люберцы/Московская область</t>
  </si>
  <si>
    <t>Open (09.12.1983)/31</t>
  </si>
  <si>
    <t>114,0</t>
  </si>
  <si>
    <t>Open (31.01.1979)/36</t>
  </si>
  <si>
    <t>126,20</t>
  </si>
  <si>
    <t>ВЕСОВАЯ КАТЕГОРИЯ  90</t>
  </si>
  <si>
    <t>89,3</t>
  </si>
  <si>
    <t>96,0</t>
  </si>
  <si>
    <t>Волгоград/Волгоградская область</t>
  </si>
  <si>
    <t>Родиков Юрий</t>
  </si>
  <si>
    <t>Masters 40-45 (31.03.1974)/40</t>
  </si>
  <si>
    <t>99,1</t>
  </si>
  <si>
    <t>Каморина Юлия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</si>
</sst>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6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 Cyr"/>
      <family val="0"/>
    </font>
    <font>
      <sz val="10"/>
      <color indexed="21"/>
      <name val="Arial Cyr"/>
      <family val="0"/>
    </font>
    <font>
      <sz val="10"/>
      <color indexed="10"/>
      <name val="Arial Cyr"/>
      <family val="0"/>
    </font>
    <font>
      <strike/>
      <sz val="10"/>
      <color indexed="21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  <font>
      <sz val="10"/>
      <color rgb="FF00B050"/>
      <name val="Arial Cyr"/>
      <family val="0"/>
    </font>
    <font>
      <sz val="10"/>
      <color rgb="FFFF0000"/>
      <name val="Arial Cyr"/>
      <family val="0"/>
    </font>
    <font>
      <strike/>
      <sz val="10"/>
      <color rgb="FF00B050"/>
      <name val="Arial Cyr"/>
      <family val="0"/>
    </font>
    <font>
      <b/>
      <sz val="10"/>
      <color rgb="FFFF0000"/>
      <name val="Arial Cyr"/>
      <family val="0"/>
    </font>
    <font>
      <sz val="10"/>
      <color rgb="FF008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>
        <color rgb="FF000000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49" fontId="0" fillId="0" borderId="10">
      <alignment horizontal="center"/>
      <protection/>
    </xf>
    <xf numFmtId="0" fontId="0" fillId="0" borderId="0">
      <alignment/>
      <protection/>
    </xf>
    <xf numFmtId="49" fontId="8" fillId="0" borderId="10">
      <alignment horizontal="center"/>
      <protection/>
    </xf>
    <xf numFmtId="49" fontId="8" fillId="0" borderId="10">
      <alignment horizontal="center"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6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56" fillId="0" borderId="13" xfId="0" applyNumberFormat="1" applyFont="1" applyBorder="1" applyAlignment="1">
      <alignment/>
    </xf>
    <xf numFmtId="49" fontId="56" fillId="0" borderId="12" xfId="0" applyNumberFormat="1" applyFont="1" applyBorder="1" applyAlignment="1">
      <alignment/>
    </xf>
    <xf numFmtId="49" fontId="57" fillId="0" borderId="12" xfId="0" applyNumberFormat="1" applyFont="1" applyBorder="1" applyAlignment="1">
      <alignment/>
    </xf>
    <xf numFmtId="49" fontId="57" fillId="0" borderId="13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/>
    </xf>
    <xf numFmtId="49" fontId="56" fillId="0" borderId="14" xfId="0" applyNumberFormat="1" applyFont="1" applyBorder="1" applyAlignment="1">
      <alignment/>
    </xf>
    <xf numFmtId="49" fontId="57" fillId="0" borderId="14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56" fillId="0" borderId="13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13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60" fillId="0" borderId="1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0" xfId="0" applyNumberFormat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8" fillId="0" borderId="17" xfId="0" applyNumberFormat="1" applyFont="1" applyBorder="1" applyAlignment="1">
      <alignment/>
    </xf>
    <xf numFmtId="49" fontId="0" fillId="0" borderId="17" xfId="0" applyNumberForma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left"/>
    </xf>
    <xf numFmtId="49" fontId="0" fillId="0" borderId="22" xfId="0" applyNumberFormat="1" applyBorder="1" applyAlignment="1">
      <alignment horizontal="center" wrapText="1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indent="1"/>
    </xf>
    <xf numFmtId="49" fontId="0" fillId="0" borderId="23" xfId="0" applyNumberFormat="1" applyBorder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44" fontId="1" fillId="0" borderId="34" xfId="0" applyNumberFormat="1" applyFont="1" applyBorder="1" applyAlignment="1">
      <alignment horizontal="center" vertical="center" wrapText="1"/>
    </xf>
    <xf numFmtId="44" fontId="1" fillId="0" borderId="35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36" xfId="0" applyNumberFormat="1" applyFont="1" applyBorder="1" applyAlignment="1">
      <alignment horizontal="center" vertical="center" wrapText="1"/>
    </xf>
    <xf numFmtId="44" fontId="1" fillId="0" borderId="38" xfId="0" applyNumberFormat="1" applyFont="1" applyBorder="1" applyAlignment="1">
      <alignment horizontal="center" vertical="center" wrapText="1"/>
    </xf>
    <xf numFmtId="44" fontId="1" fillId="0" borderId="3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14" xfId="0" applyNumberFormat="1" applyFill="1" applyBorder="1" applyAlignment="1">
      <alignment/>
    </xf>
    <xf numFmtId="49" fontId="0" fillId="0" borderId="0" xfId="0" applyNumberFormat="1" applyFill="1" applyAlignment="1">
      <alignment horizontal="left" indent="1"/>
    </xf>
    <xf numFmtId="49" fontId="6" fillId="0" borderId="0" xfId="0" applyNumberFormat="1" applyFont="1" applyFill="1" applyAlignment="1">
      <alignment horizontal="center"/>
    </xf>
    <xf numFmtId="49" fontId="0" fillId="0" borderId="10" xfId="0" applyNumberForma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12" xfId="0" applyNumberFormat="1" applyFill="1" applyBorder="1" applyAlignment="1">
      <alignment/>
    </xf>
    <xf numFmtId="49" fontId="56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57" fillId="0" borderId="14" xfId="0" applyNumberFormat="1" applyFont="1" applyFill="1" applyBorder="1" applyAlignment="1">
      <alignment/>
    </xf>
    <xf numFmtId="49" fontId="56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57" fillId="0" borderId="13" xfId="0" applyNumberFormat="1" applyFont="1" applyFill="1" applyBorder="1" applyAlignment="1">
      <alignment/>
    </xf>
    <xf numFmtId="49" fontId="56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left"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wrapText="1"/>
    </xf>
    <xf numFmtId="49" fontId="0" fillId="0" borderId="22" xfId="0" applyNumberFormat="1" applyFill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0" fillId="0" borderId="61" xfId="0" applyNumberFormat="1" applyFill="1" applyBorder="1" applyAlignment="1">
      <alignment horizontal="center"/>
    </xf>
    <xf numFmtId="172" fontId="56" fillId="0" borderId="17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49" fontId="0" fillId="0" borderId="61" xfId="0" applyNumberFormat="1" applyFill="1" applyBorder="1" applyAlignment="1">
      <alignment horizontal="right"/>
    </xf>
    <xf numFmtId="172" fontId="0" fillId="0" borderId="62" xfId="0" applyNumberFormat="1" applyFill="1" applyBorder="1" applyAlignment="1">
      <alignment horizontal="right"/>
    </xf>
    <xf numFmtId="172" fontId="0" fillId="0" borderId="63" xfId="0" applyNumberFormat="1" applyFill="1" applyBorder="1" applyAlignment="1">
      <alignment horizontal="right"/>
    </xf>
    <xf numFmtId="0" fontId="0" fillId="0" borderId="0" xfId="0" applyFill="1" applyAlignment="1">
      <alignment/>
    </xf>
    <xf numFmtId="172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62" xfId="0" applyNumberForma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12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0" fillId="0" borderId="17" xfId="0" applyNumberFormat="1" applyFill="1" applyBorder="1" applyAlignment="1">
      <alignment horizontal="left" wrapText="1"/>
    </xf>
    <xf numFmtId="49" fontId="57" fillId="0" borderId="17" xfId="0" applyNumberFormat="1" applyFont="1" applyFill="1" applyBorder="1" applyAlignment="1">
      <alignment horizontal="left"/>
    </xf>
    <xf numFmtId="49" fontId="56" fillId="0" borderId="17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57" fillId="0" borderId="18" xfId="0" applyNumberFormat="1" applyFont="1" applyFill="1" applyBorder="1" applyAlignment="1">
      <alignment horizontal="left"/>
    </xf>
    <xf numFmtId="49" fontId="56" fillId="0" borderId="18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59" fillId="0" borderId="18" xfId="0" applyNumberFormat="1" applyFont="1" applyFill="1" applyBorder="1" applyAlignment="1">
      <alignment horizontal="left"/>
    </xf>
    <xf numFmtId="49" fontId="57" fillId="0" borderId="0" xfId="0" applyNumberFormat="1" applyFont="1" applyFill="1" applyAlignment="1">
      <alignment horizontal="left"/>
    </xf>
    <xf numFmtId="49" fontId="57" fillId="0" borderId="21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49" fontId="56" fillId="0" borderId="21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/>
    </xf>
    <xf numFmtId="49" fontId="56" fillId="0" borderId="17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49" fontId="57" fillId="0" borderId="22" xfId="0" applyNumberFormat="1" applyFont="1" applyFill="1" applyBorder="1" applyAlignment="1">
      <alignment/>
    </xf>
    <xf numFmtId="49" fontId="56" fillId="0" borderId="22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57" fillId="0" borderId="18" xfId="0" applyNumberFormat="1" applyFont="1" applyFill="1" applyBorder="1" applyAlignment="1">
      <alignment/>
    </xf>
    <xf numFmtId="49" fontId="56" fillId="0" borderId="18" xfId="0" applyNumberFormat="1" applyFont="1" applyFill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59" fillId="0" borderId="21" xfId="0" applyNumberFormat="1" applyFont="1" applyFill="1" applyBorder="1" applyAlignment="1">
      <alignment/>
    </xf>
    <xf numFmtId="49" fontId="59" fillId="0" borderId="17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Стиль 1" xfId="57"/>
    <cellStyle name="Стиль 2" xfId="58"/>
    <cellStyle name="Стиль 3" xfId="59"/>
    <cellStyle name="Стиль 4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26">
      <selection activeCell="C32" sqref="C32"/>
    </sheetView>
  </sheetViews>
  <sheetFormatPr defaultColWidth="11.00390625" defaultRowHeight="12.75"/>
  <cols>
    <col min="1" max="1" width="20.25390625" style="0" customWidth="1"/>
    <col min="2" max="2" width="22.375" style="0" customWidth="1"/>
    <col min="3" max="3" width="12.125" style="0" customWidth="1"/>
    <col min="4" max="4" width="21.125" style="0" customWidth="1"/>
    <col min="5" max="5" width="27.125" style="0" customWidth="1"/>
    <col min="7" max="7" width="21.125" style="0" customWidth="1"/>
  </cols>
  <sheetData>
    <row r="1" spans="1:9" ht="57.75" customHeight="1">
      <c r="A1" s="146"/>
      <c r="B1" s="148" t="s">
        <v>1296</v>
      </c>
      <c r="C1" s="148"/>
      <c r="D1" s="148"/>
      <c r="E1" s="148"/>
      <c r="F1" s="148"/>
      <c r="G1" s="148"/>
      <c r="H1" s="150"/>
      <c r="I1" s="150"/>
    </row>
    <row r="2" spans="1:9" ht="28.5">
      <c r="A2" s="146"/>
      <c r="B2" s="148"/>
      <c r="C2" s="148"/>
      <c r="D2" s="148"/>
      <c r="E2" s="148"/>
      <c r="F2" s="148"/>
      <c r="G2" s="148"/>
      <c r="H2" s="150"/>
      <c r="I2" s="150"/>
    </row>
    <row r="3" spans="1:9" ht="30" thickBot="1">
      <c r="A3" s="147"/>
      <c r="B3" s="149" t="s">
        <v>910</v>
      </c>
      <c r="C3" s="149"/>
      <c r="D3" s="149"/>
      <c r="E3" s="149"/>
      <c r="F3" s="149"/>
      <c r="G3" s="149"/>
      <c r="H3" s="150"/>
      <c r="I3" s="150"/>
    </row>
    <row r="4" spans="1:9" ht="13.5">
      <c r="A4" s="154" t="s">
        <v>0</v>
      </c>
      <c r="B4" s="137" t="s">
        <v>911</v>
      </c>
      <c r="C4" s="156" t="s">
        <v>733</v>
      </c>
      <c r="D4" s="158" t="s">
        <v>7</v>
      </c>
      <c r="E4" s="158" t="s">
        <v>758</v>
      </c>
      <c r="F4" s="156" t="s">
        <v>730</v>
      </c>
      <c r="G4" s="160" t="s">
        <v>5</v>
      </c>
      <c r="H4" s="151"/>
      <c r="I4" s="152"/>
    </row>
    <row r="5" spans="1:9" ht="15" thickBot="1">
      <c r="A5" s="155"/>
      <c r="B5" s="138" t="s">
        <v>912</v>
      </c>
      <c r="C5" s="157"/>
      <c r="D5" s="159"/>
      <c r="E5" s="159"/>
      <c r="F5" s="157"/>
      <c r="G5" s="161"/>
      <c r="H5" s="151"/>
      <c r="I5" s="152"/>
    </row>
    <row r="6" spans="1:7" ht="15.75">
      <c r="A6" s="337" t="s">
        <v>1288</v>
      </c>
      <c r="B6" s="337"/>
      <c r="C6" s="337"/>
      <c r="D6" s="337"/>
      <c r="E6" s="337"/>
      <c r="F6" s="337"/>
      <c r="G6" s="337"/>
    </row>
    <row r="7" spans="1:7" ht="12.75">
      <c r="A7" s="225" t="s">
        <v>1208</v>
      </c>
      <c r="B7" s="249" t="s">
        <v>1209</v>
      </c>
      <c r="C7" s="249" t="s">
        <v>1210</v>
      </c>
      <c r="D7" s="249" t="s">
        <v>16</v>
      </c>
      <c r="E7" s="249" t="s">
        <v>709</v>
      </c>
      <c r="F7" s="323" t="s">
        <v>151</v>
      </c>
      <c r="G7" s="249" t="s">
        <v>1212</v>
      </c>
    </row>
    <row r="8" spans="1:7" ht="12.75">
      <c r="A8" s="229"/>
      <c r="B8" s="229"/>
      <c r="C8" s="229"/>
      <c r="D8" s="229"/>
      <c r="E8" s="229"/>
      <c r="F8" s="230"/>
      <c r="G8" s="229"/>
    </row>
    <row r="9" spans="1:7" ht="15.75">
      <c r="A9" s="252" t="s">
        <v>1288</v>
      </c>
      <c r="B9" s="252"/>
      <c r="C9" s="252"/>
      <c r="D9" s="252"/>
      <c r="E9" s="252"/>
      <c r="F9" s="252"/>
      <c r="G9" s="252"/>
    </row>
    <row r="10" spans="1:7" ht="12.75">
      <c r="A10" s="225" t="s">
        <v>1268</v>
      </c>
      <c r="B10" s="249" t="s">
        <v>1295</v>
      </c>
      <c r="C10" s="249" t="s">
        <v>1270</v>
      </c>
      <c r="D10" s="249" t="s">
        <v>1230</v>
      </c>
      <c r="E10" s="249" t="s">
        <v>218</v>
      </c>
      <c r="F10" s="323" t="s">
        <v>144</v>
      </c>
      <c r="G10" s="249" t="s">
        <v>42</v>
      </c>
    </row>
    <row r="11" spans="1:7" ht="12.75">
      <c r="A11" s="234" t="s">
        <v>1290</v>
      </c>
      <c r="B11" s="324" t="s">
        <v>1291</v>
      </c>
      <c r="C11" s="324" t="s">
        <v>1292</v>
      </c>
      <c r="D11" s="324" t="s">
        <v>16</v>
      </c>
      <c r="E11" s="324" t="s">
        <v>709</v>
      </c>
      <c r="F11" s="328" t="s">
        <v>142</v>
      </c>
      <c r="G11" s="324" t="s">
        <v>1294</v>
      </c>
    </row>
    <row r="12" spans="1:7" ht="12.75">
      <c r="A12" s="225" t="s">
        <v>1254</v>
      </c>
      <c r="B12" s="249" t="s">
        <v>1255</v>
      </c>
      <c r="C12" s="249" t="s">
        <v>1256</v>
      </c>
      <c r="D12" s="249" t="s">
        <v>1311</v>
      </c>
      <c r="E12" s="249" t="s">
        <v>924</v>
      </c>
      <c r="F12" s="323" t="s">
        <v>142</v>
      </c>
      <c r="G12" s="249" t="s">
        <v>1242</v>
      </c>
    </row>
    <row r="13" spans="1:7" ht="12.75">
      <c r="A13" s="234" t="s">
        <v>1297</v>
      </c>
      <c r="B13" s="324" t="s">
        <v>1298</v>
      </c>
      <c r="C13" s="324" t="s">
        <v>1299</v>
      </c>
      <c r="D13" s="324" t="s">
        <v>1230</v>
      </c>
      <c r="E13" s="324" t="s">
        <v>218</v>
      </c>
      <c r="F13" s="328" t="s">
        <v>142</v>
      </c>
      <c r="G13" s="324" t="s">
        <v>1268</v>
      </c>
    </row>
    <row r="14" spans="1:7" ht="12.75">
      <c r="A14" s="32" t="s">
        <v>1266</v>
      </c>
      <c r="B14" s="106" t="s">
        <v>1267</v>
      </c>
      <c r="C14" s="106" t="s">
        <v>1093</v>
      </c>
      <c r="D14" s="106" t="s">
        <v>16</v>
      </c>
      <c r="E14" s="99" t="s">
        <v>759</v>
      </c>
      <c r="F14" s="108" t="s">
        <v>142</v>
      </c>
      <c r="G14" s="106" t="s">
        <v>42</v>
      </c>
    </row>
    <row r="15" spans="1:7" ht="12.75">
      <c r="A15" s="30" t="s">
        <v>1257</v>
      </c>
      <c r="B15" s="109" t="s">
        <v>1258</v>
      </c>
      <c r="C15" s="109" t="s">
        <v>1259</v>
      </c>
      <c r="D15" s="109" t="s">
        <v>1230</v>
      </c>
      <c r="E15" s="118" t="s">
        <v>218</v>
      </c>
      <c r="F15" s="112" t="s">
        <v>255</v>
      </c>
      <c r="G15" s="109" t="s">
        <v>42</v>
      </c>
    </row>
    <row r="16" spans="1:7" ht="12.75">
      <c r="A16" s="48"/>
      <c r="B16" s="29"/>
      <c r="C16" s="29"/>
      <c r="D16" s="29"/>
      <c r="E16" s="48"/>
      <c r="F16" s="29"/>
      <c r="G16" s="48"/>
    </row>
    <row r="17" spans="1:7" ht="12.75">
      <c r="A17" s="48"/>
      <c r="B17" s="29"/>
      <c r="C17" s="29"/>
      <c r="D17" s="29"/>
      <c r="E17" s="48"/>
      <c r="F17" s="29"/>
      <c r="G17" s="48"/>
    </row>
    <row r="18" spans="1:7" ht="12.75">
      <c r="A18" s="48"/>
      <c r="B18" s="29"/>
      <c r="C18" s="29"/>
      <c r="D18" s="29"/>
      <c r="E18" s="48"/>
      <c r="F18" s="29"/>
      <c r="G18" s="48"/>
    </row>
    <row r="19" spans="1:7" ht="12.75">
      <c r="A19" s="48"/>
      <c r="B19" s="29"/>
      <c r="C19" s="29"/>
      <c r="D19" s="29"/>
      <c r="E19" s="48"/>
      <c r="F19" s="29"/>
      <c r="G19" s="48"/>
    </row>
    <row r="20" spans="1:7" ht="12.75">
      <c r="A20" s="48"/>
      <c r="B20" s="29"/>
      <c r="C20" s="29"/>
      <c r="D20" s="29"/>
      <c r="E20" s="29"/>
      <c r="F20" s="29"/>
      <c r="G20" s="48"/>
    </row>
    <row r="21" spans="1:7" ht="12.75">
      <c r="A21" s="48"/>
      <c r="B21" s="29"/>
      <c r="C21" s="29"/>
      <c r="D21" s="29"/>
      <c r="E21" s="29"/>
      <c r="F21" s="29"/>
      <c r="G21" s="48"/>
    </row>
    <row r="22" spans="1:7" ht="12.75">
      <c r="A22" s="48"/>
      <c r="B22" s="29"/>
      <c r="C22" s="29"/>
      <c r="D22" s="29"/>
      <c r="E22" s="29"/>
      <c r="F22" s="29"/>
      <c r="G22" s="48"/>
    </row>
    <row r="23" spans="1:7" ht="12.75">
      <c r="A23" s="48"/>
      <c r="B23" s="29"/>
      <c r="C23" s="29"/>
      <c r="D23" s="29"/>
      <c r="E23" s="29"/>
      <c r="F23" s="29"/>
      <c r="G23" s="48"/>
    </row>
    <row r="24" spans="1:7" ht="12.75">
      <c r="A24" s="48"/>
      <c r="B24" s="29"/>
      <c r="C24" s="29"/>
      <c r="D24" s="29"/>
      <c r="E24" s="29"/>
      <c r="F24" s="29"/>
      <c r="G24" s="48"/>
    </row>
    <row r="25" spans="1:7" ht="12.75">
      <c r="A25" s="48"/>
      <c r="B25" s="29"/>
      <c r="C25" s="29"/>
      <c r="D25" s="29"/>
      <c r="E25" s="48"/>
      <c r="F25" s="29"/>
      <c r="G25" s="48"/>
    </row>
    <row r="26" spans="1:7" ht="12.75">
      <c r="A26" s="48"/>
      <c r="B26" s="29"/>
      <c r="C26" s="29"/>
      <c r="D26" s="29"/>
      <c r="E26" s="48"/>
      <c r="F26" s="29"/>
      <c r="G26" s="48"/>
    </row>
    <row r="27" spans="1:7" ht="12.75">
      <c r="A27" s="48"/>
      <c r="B27" s="29"/>
      <c r="C27" s="29"/>
      <c r="D27" s="29"/>
      <c r="E27" s="48"/>
      <c r="F27" s="29"/>
      <c r="G27" s="48"/>
    </row>
    <row r="28" spans="1:7" ht="12.75">
      <c r="A28" s="48"/>
      <c r="B28" s="29"/>
      <c r="C28" s="29"/>
      <c r="D28" s="29"/>
      <c r="E28" s="48"/>
      <c r="F28" s="29"/>
      <c r="G28" s="48"/>
    </row>
    <row r="29" spans="1:7" ht="12.75">
      <c r="A29" s="48"/>
      <c r="B29" s="29"/>
      <c r="C29" s="29"/>
      <c r="D29" s="29"/>
      <c r="E29" s="29"/>
      <c r="F29" s="29"/>
      <c r="G29" s="48"/>
    </row>
  </sheetData>
  <sheetProtection/>
  <mergeCells count="16">
    <mergeCell ref="H4:H5"/>
    <mergeCell ref="I4:I5"/>
    <mergeCell ref="A6:G6"/>
    <mergeCell ref="A9:G9"/>
    <mergeCell ref="A4:A5"/>
    <mergeCell ref="C4:C5"/>
    <mergeCell ref="D4:D5"/>
    <mergeCell ref="E4:E5"/>
    <mergeCell ref="F4:F5"/>
    <mergeCell ref="G4:G5"/>
    <mergeCell ref="A1:A3"/>
    <mergeCell ref="B1:G1"/>
    <mergeCell ref="B2:G2"/>
    <mergeCell ref="B3:G3"/>
    <mergeCell ref="H1:H3"/>
    <mergeCell ref="I1:I3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2">
      <selection activeCell="B4" sqref="B4:S40"/>
    </sheetView>
  </sheetViews>
  <sheetFormatPr defaultColWidth="11.00390625" defaultRowHeight="12.75"/>
  <cols>
    <col min="1" max="1" width="3.375" style="0" customWidth="1"/>
    <col min="2" max="2" width="18.875" style="0" customWidth="1"/>
    <col min="3" max="3" width="25.00390625" style="0" customWidth="1"/>
    <col min="4" max="4" width="11.25390625" style="0" customWidth="1"/>
    <col min="5" max="5" width="11.00390625" style="0" customWidth="1"/>
    <col min="6" max="6" width="31.125" style="0" customWidth="1"/>
    <col min="14" max="14" width="0.12890625" style="0" customWidth="1"/>
    <col min="15" max="15" width="13.625" style="0" customWidth="1"/>
    <col min="16" max="16" width="18.25390625" style="0" customWidth="1"/>
  </cols>
  <sheetData>
    <row r="1" spans="1:16" ht="121.5" customHeight="1" thickBot="1">
      <c r="A1" s="48"/>
      <c r="B1" s="164" t="s">
        <v>1346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</row>
    <row r="2" spans="1:16" ht="13.5">
      <c r="A2" s="94"/>
      <c r="B2" s="154" t="s">
        <v>0</v>
      </c>
      <c r="C2" s="104" t="s">
        <v>911</v>
      </c>
      <c r="D2" s="158" t="s">
        <v>733</v>
      </c>
      <c r="E2" s="158" t="s">
        <v>7</v>
      </c>
      <c r="F2" s="158" t="s">
        <v>758</v>
      </c>
      <c r="G2" s="187" t="s">
        <v>1327</v>
      </c>
      <c r="H2" s="188"/>
      <c r="I2" s="188"/>
      <c r="J2" s="208"/>
      <c r="K2" s="209" t="s">
        <v>1328</v>
      </c>
      <c r="L2" s="188"/>
      <c r="M2" s="188"/>
      <c r="N2" s="189"/>
      <c r="O2" s="190" t="s">
        <v>1329</v>
      </c>
      <c r="P2" s="160" t="s">
        <v>5</v>
      </c>
    </row>
    <row r="3" spans="1:16" ht="15" thickBot="1">
      <c r="A3" s="94"/>
      <c r="B3" s="155"/>
      <c r="C3" s="103" t="s">
        <v>1326</v>
      </c>
      <c r="D3" s="159"/>
      <c r="E3" s="159"/>
      <c r="F3" s="159"/>
      <c r="G3" s="97" t="s">
        <v>729</v>
      </c>
      <c r="H3" s="97" t="s">
        <v>731</v>
      </c>
      <c r="I3" s="97" t="s">
        <v>732</v>
      </c>
      <c r="J3" s="97" t="s">
        <v>730</v>
      </c>
      <c r="K3" s="97" t="s">
        <v>1003</v>
      </c>
      <c r="L3" s="97" t="s">
        <v>730</v>
      </c>
      <c r="M3" s="210" t="s">
        <v>1002</v>
      </c>
      <c r="N3" s="211"/>
      <c r="O3" s="185"/>
      <c r="P3" s="161"/>
    </row>
    <row r="4" spans="1:19" ht="15.75">
      <c r="A4" s="94"/>
      <c r="B4" s="224" t="s">
        <v>1347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19" ht="12.75">
      <c r="A5" s="145" t="s">
        <v>729</v>
      </c>
      <c r="B5" s="225" t="s">
        <v>1348</v>
      </c>
      <c r="C5" s="249" t="s">
        <v>1349</v>
      </c>
      <c r="D5" s="249" t="s">
        <v>1357</v>
      </c>
      <c r="E5" s="249" t="s">
        <v>16</v>
      </c>
      <c r="F5" s="249" t="s">
        <v>1350</v>
      </c>
      <c r="G5" s="282" t="s">
        <v>1016</v>
      </c>
      <c r="H5" s="15" t="s">
        <v>1351</v>
      </c>
      <c r="I5" s="283">
        <v>40</v>
      </c>
      <c r="J5" s="250" t="s">
        <v>1351</v>
      </c>
      <c r="K5" s="284" t="s">
        <v>1047</v>
      </c>
      <c r="L5" s="285" t="s">
        <v>1352</v>
      </c>
      <c r="M5" s="286">
        <v>625</v>
      </c>
      <c r="N5" s="287"/>
      <c r="O5" s="284" t="s">
        <v>1331</v>
      </c>
      <c r="P5" s="253" t="s">
        <v>1353</v>
      </c>
      <c r="Q5" s="288"/>
      <c r="R5" s="288"/>
      <c r="S5" s="288"/>
    </row>
    <row r="6" spans="2:19" ht="15.75">
      <c r="B6" s="224" t="s">
        <v>1330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</row>
    <row r="7" spans="2:19" ht="15.75">
      <c r="B7" s="224" t="s">
        <v>54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</row>
    <row r="8" spans="1:19" ht="12.75">
      <c r="A8" s="144">
        <v>1</v>
      </c>
      <c r="B8" s="225" t="s">
        <v>1354</v>
      </c>
      <c r="C8" s="249" t="s">
        <v>1355</v>
      </c>
      <c r="D8" s="249" t="s">
        <v>1356</v>
      </c>
      <c r="E8" s="249" t="s">
        <v>16</v>
      </c>
      <c r="F8" s="249" t="s">
        <v>952</v>
      </c>
      <c r="G8" s="289">
        <v>130</v>
      </c>
      <c r="H8" s="283">
        <v>140</v>
      </c>
      <c r="I8" s="290">
        <v>140</v>
      </c>
      <c r="J8" s="291">
        <v>140</v>
      </c>
      <c r="K8" s="289">
        <v>90</v>
      </c>
      <c r="L8" s="291">
        <v>23</v>
      </c>
      <c r="M8" s="286">
        <v>2070</v>
      </c>
      <c r="N8" s="287"/>
      <c r="O8" s="292">
        <v>40</v>
      </c>
      <c r="P8" s="293" t="s">
        <v>774</v>
      </c>
      <c r="Q8" s="288"/>
      <c r="R8" s="288"/>
      <c r="S8" s="288"/>
    </row>
    <row r="9" spans="2:19" ht="15.75">
      <c r="B9" s="224" t="s">
        <v>61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ht="12.75">
      <c r="A10" s="144">
        <v>1</v>
      </c>
      <c r="B10" s="225" t="s">
        <v>1175</v>
      </c>
      <c r="C10" s="249" t="s">
        <v>1176</v>
      </c>
      <c r="D10" s="249" t="s">
        <v>1358</v>
      </c>
      <c r="E10" s="249" t="s">
        <v>1324</v>
      </c>
      <c r="F10" s="249" t="s">
        <v>952</v>
      </c>
      <c r="G10" s="289">
        <v>120</v>
      </c>
      <c r="H10" s="291">
        <v>130</v>
      </c>
      <c r="I10" s="283">
        <v>140</v>
      </c>
      <c r="J10" s="291">
        <v>130</v>
      </c>
      <c r="K10" s="289">
        <v>100</v>
      </c>
      <c r="L10" s="291">
        <v>20</v>
      </c>
      <c r="M10" s="286">
        <v>2000</v>
      </c>
      <c r="N10" s="287"/>
      <c r="O10" s="292">
        <v>40</v>
      </c>
      <c r="P10" s="293" t="s">
        <v>774</v>
      </c>
      <c r="Q10" s="288"/>
      <c r="R10" s="288"/>
      <c r="S10" s="288"/>
    </row>
    <row r="11" spans="2:19" ht="15.75">
      <c r="B11" s="224" t="s">
        <v>76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9" ht="12.75">
      <c r="A12" s="144">
        <v>1</v>
      </c>
      <c r="B12" s="225" t="s">
        <v>1359</v>
      </c>
      <c r="C12" s="249" t="s">
        <v>1187</v>
      </c>
      <c r="D12" s="249" t="s">
        <v>201</v>
      </c>
      <c r="E12" s="249" t="s">
        <v>1307</v>
      </c>
      <c r="F12" s="249" t="s">
        <v>952</v>
      </c>
      <c r="G12" s="289">
        <v>140</v>
      </c>
      <c r="H12" s="294">
        <v>150</v>
      </c>
      <c r="I12" s="289">
        <v>152.5</v>
      </c>
      <c r="J12" s="289">
        <v>152.5</v>
      </c>
      <c r="K12" s="289">
        <v>110</v>
      </c>
      <c r="L12" s="291">
        <v>18</v>
      </c>
      <c r="M12" s="286">
        <v>1980</v>
      </c>
      <c r="N12" s="287"/>
      <c r="O12" s="292">
        <v>40</v>
      </c>
      <c r="P12" s="293" t="s">
        <v>774</v>
      </c>
      <c r="Q12" s="288"/>
      <c r="R12" s="288"/>
      <c r="S12" s="288"/>
    </row>
    <row r="13" spans="1:19" ht="12.75">
      <c r="A13" s="144">
        <v>2</v>
      </c>
      <c r="B13" s="240" t="s">
        <v>516</v>
      </c>
      <c r="C13" s="255" t="s">
        <v>517</v>
      </c>
      <c r="D13" s="255" t="s">
        <v>1360</v>
      </c>
      <c r="E13" s="255" t="s">
        <v>1324</v>
      </c>
      <c r="F13" s="249" t="s">
        <v>952</v>
      </c>
      <c r="G13" s="295">
        <v>140</v>
      </c>
      <c r="H13" s="295">
        <v>147.5</v>
      </c>
      <c r="I13" s="295"/>
      <c r="J13" s="295">
        <v>147.5</v>
      </c>
      <c r="K13" s="295">
        <v>110</v>
      </c>
      <c r="L13" s="296">
        <v>13</v>
      </c>
      <c r="M13" s="286">
        <v>1430</v>
      </c>
      <c r="N13" s="287"/>
      <c r="O13" s="297">
        <v>36</v>
      </c>
      <c r="P13" s="298" t="s">
        <v>774</v>
      </c>
      <c r="Q13" s="288"/>
      <c r="R13" s="288"/>
      <c r="S13" s="288"/>
    </row>
    <row r="14" spans="1:19" ht="12.75">
      <c r="A14" s="144">
        <v>1</v>
      </c>
      <c r="B14" s="225" t="s">
        <v>1359</v>
      </c>
      <c r="C14" s="249" t="s">
        <v>1361</v>
      </c>
      <c r="D14" s="249" t="s">
        <v>201</v>
      </c>
      <c r="E14" s="249" t="s">
        <v>1307</v>
      </c>
      <c r="F14" s="249" t="s">
        <v>952</v>
      </c>
      <c r="G14" s="289">
        <v>140</v>
      </c>
      <c r="H14" s="294">
        <v>150</v>
      </c>
      <c r="I14" s="289">
        <v>152.5</v>
      </c>
      <c r="J14" s="289">
        <v>152.5</v>
      </c>
      <c r="K14" s="289">
        <v>110</v>
      </c>
      <c r="L14" s="291">
        <v>18</v>
      </c>
      <c r="M14" s="286">
        <v>1980</v>
      </c>
      <c r="N14" s="287"/>
      <c r="O14" s="292">
        <v>40</v>
      </c>
      <c r="P14" s="293" t="s">
        <v>774</v>
      </c>
      <c r="Q14" s="288"/>
      <c r="R14" s="288"/>
      <c r="S14" s="288"/>
    </row>
    <row r="15" spans="2:19" ht="15.75">
      <c r="B15" s="224" t="s">
        <v>1332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</row>
    <row r="16" spans="2:19" ht="15.75">
      <c r="B16" s="224" t="s">
        <v>1362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</row>
    <row r="17" spans="1:19" ht="12.75">
      <c r="A17" s="144">
        <v>1</v>
      </c>
      <c r="B17" s="225" t="s">
        <v>1334</v>
      </c>
      <c r="C17" s="249" t="s">
        <v>1363</v>
      </c>
      <c r="D17" s="249" t="s">
        <v>1364</v>
      </c>
      <c r="E17" s="249" t="s">
        <v>1307</v>
      </c>
      <c r="F17" s="249" t="s">
        <v>1333</v>
      </c>
      <c r="G17" s="289">
        <v>75</v>
      </c>
      <c r="H17" s="289">
        <v>80</v>
      </c>
      <c r="I17" s="283">
        <v>82.5</v>
      </c>
      <c r="J17" s="289">
        <v>80</v>
      </c>
      <c r="K17" s="289">
        <v>50</v>
      </c>
      <c r="L17" s="291">
        <v>22</v>
      </c>
      <c r="M17" s="286">
        <v>1150</v>
      </c>
      <c r="N17" s="287"/>
      <c r="O17" s="292">
        <v>40</v>
      </c>
      <c r="P17" s="293" t="s">
        <v>1335</v>
      </c>
      <c r="Q17" s="288"/>
      <c r="R17" s="288"/>
      <c r="S17" s="288"/>
    </row>
    <row r="18" spans="1:19" ht="15.75">
      <c r="A18" s="144"/>
      <c r="B18" s="224" t="s">
        <v>1336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</row>
    <row r="19" spans="2:19" ht="15.75">
      <c r="B19" s="224" t="s">
        <v>1344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</row>
    <row r="20" spans="1:19" ht="12.75">
      <c r="A20" s="144">
        <v>1</v>
      </c>
      <c r="B20" s="225" t="s">
        <v>1079</v>
      </c>
      <c r="C20" s="249" t="s">
        <v>1080</v>
      </c>
      <c r="D20" s="249" t="s">
        <v>1365</v>
      </c>
      <c r="E20" s="249" t="s">
        <v>1307</v>
      </c>
      <c r="F20" s="249" t="s">
        <v>952</v>
      </c>
      <c r="G20" s="289">
        <v>185</v>
      </c>
      <c r="H20" s="289">
        <v>195</v>
      </c>
      <c r="I20" s="283">
        <v>205</v>
      </c>
      <c r="J20" s="289">
        <v>195</v>
      </c>
      <c r="K20" s="289">
        <v>100</v>
      </c>
      <c r="L20" s="291">
        <v>33</v>
      </c>
      <c r="M20" s="286">
        <v>3300</v>
      </c>
      <c r="N20" s="287"/>
      <c r="O20" s="292">
        <v>40</v>
      </c>
      <c r="P20" s="293" t="s">
        <v>774</v>
      </c>
      <c r="Q20" s="288"/>
      <c r="R20" s="288"/>
      <c r="S20" s="288"/>
    </row>
    <row r="21" spans="2:19" ht="15.75">
      <c r="B21" s="224" t="s">
        <v>1343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</row>
    <row r="22" spans="1:19" ht="12.75">
      <c r="A22" s="144">
        <v>1</v>
      </c>
      <c r="B22" s="225" t="s">
        <v>1337</v>
      </c>
      <c r="C22" s="249" t="s">
        <v>1338</v>
      </c>
      <c r="D22" s="249" t="s">
        <v>1366</v>
      </c>
      <c r="E22" s="249" t="s">
        <v>1307</v>
      </c>
      <c r="F22" s="249" t="s">
        <v>1333</v>
      </c>
      <c r="G22" s="289">
        <v>190</v>
      </c>
      <c r="H22" s="289">
        <v>195</v>
      </c>
      <c r="I22" s="289">
        <v>200</v>
      </c>
      <c r="J22" s="289">
        <v>200</v>
      </c>
      <c r="K22" s="289">
        <v>110</v>
      </c>
      <c r="L22" s="291">
        <v>32</v>
      </c>
      <c r="M22" s="286">
        <v>3520</v>
      </c>
      <c r="N22" s="287"/>
      <c r="O22" s="292">
        <v>40</v>
      </c>
      <c r="P22" s="293" t="s">
        <v>774</v>
      </c>
      <c r="Q22" s="288"/>
      <c r="R22" s="288"/>
      <c r="S22" s="288"/>
    </row>
    <row r="23" spans="1:19" ht="12.75">
      <c r="A23" s="144">
        <v>2</v>
      </c>
      <c r="B23" s="225" t="s">
        <v>1367</v>
      </c>
      <c r="C23" s="249" t="s">
        <v>1368</v>
      </c>
      <c r="D23" s="249" t="s">
        <v>1369</v>
      </c>
      <c r="E23" s="249" t="s">
        <v>1307</v>
      </c>
      <c r="F23" s="249" t="s">
        <v>1370</v>
      </c>
      <c r="G23" s="289">
        <v>155</v>
      </c>
      <c r="H23" s="289">
        <v>165</v>
      </c>
      <c r="I23" s="283">
        <v>177.5</v>
      </c>
      <c r="J23" s="289">
        <v>165</v>
      </c>
      <c r="K23" s="289">
        <v>110</v>
      </c>
      <c r="L23" s="291">
        <v>18</v>
      </c>
      <c r="M23" s="286">
        <v>1980</v>
      </c>
      <c r="N23" s="287"/>
      <c r="O23" s="292">
        <v>36</v>
      </c>
      <c r="P23" s="293" t="s">
        <v>774</v>
      </c>
      <c r="Q23" s="288"/>
      <c r="R23" s="288"/>
      <c r="S23" s="288"/>
    </row>
    <row r="24" spans="2:19" ht="15.75">
      <c r="B24" s="224" t="s">
        <v>1339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</row>
    <row r="25" spans="1:19" ht="12.75">
      <c r="A25" s="144">
        <v>1</v>
      </c>
      <c r="B25" s="299" t="s">
        <v>856</v>
      </c>
      <c r="C25" s="225" t="s">
        <v>1371</v>
      </c>
      <c r="D25" s="249" t="s">
        <v>1372</v>
      </c>
      <c r="E25" s="249" t="s">
        <v>1307</v>
      </c>
      <c r="F25" s="249" t="s">
        <v>952</v>
      </c>
      <c r="G25" s="289">
        <v>195</v>
      </c>
      <c r="H25" s="289">
        <v>210</v>
      </c>
      <c r="I25" s="283">
        <v>212.5</v>
      </c>
      <c r="J25" s="289">
        <v>210</v>
      </c>
      <c r="K25" s="289">
        <v>120</v>
      </c>
      <c r="L25" s="291">
        <v>24</v>
      </c>
      <c r="M25" s="286">
        <v>2880</v>
      </c>
      <c r="N25" s="287"/>
      <c r="O25" s="292">
        <v>40</v>
      </c>
      <c r="P25" s="293" t="s">
        <v>774</v>
      </c>
      <c r="Q25" s="288"/>
      <c r="R25" s="288"/>
      <c r="S25" s="288"/>
    </row>
    <row r="26" spans="2:19" ht="15.75">
      <c r="B26" s="224" t="s">
        <v>1340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ht="12.75">
      <c r="A27" s="144">
        <v>1</v>
      </c>
      <c r="B27" s="225" t="s">
        <v>1353</v>
      </c>
      <c r="C27" s="249" t="s">
        <v>1373</v>
      </c>
      <c r="D27" s="249" t="s">
        <v>1374</v>
      </c>
      <c r="E27" s="249" t="s">
        <v>1307</v>
      </c>
      <c r="F27" s="249" t="s">
        <v>1350</v>
      </c>
      <c r="G27" s="289">
        <v>180</v>
      </c>
      <c r="H27" s="289">
        <v>192.5</v>
      </c>
      <c r="I27" s="289">
        <v>202.5</v>
      </c>
      <c r="J27" s="289">
        <v>202.5</v>
      </c>
      <c r="K27" s="289">
        <v>130</v>
      </c>
      <c r="L27" s="291">
        <v>17</v>
      </c>
      <c r="M27" s="286">
        <v>2210</v>
      </c>
      <c r="N27" s="287"/>
      <c r="O27" s="292">
        <v>40</v>
      </c>
      <c r="P27" s="293" t="s">
        <v>774</v>
      </c>
      <c r="Q27" s="288"/>
      <c r="R27" s="288"/>
      <c r="S27" s="288"/>
    </row>
    <row r="28" spans="2:19" ht="15.75">
      <c r="B28" s="224" t="s">
        <v>1341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2:19" ht="15.75">
      <c r="B29" s="224" t="s">
        <v>1375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1:19" ht="12.75">
      <c r="A30">
        <v>1</v>
      </c>
      <c r="B30" s="299" t="s">
        <v>325</v>
      </c>
      <c r="C30" s="225" t="s">
        <v>326</v>
      </c>
      <c r="D30" s="249" t="s">
        <v>1376</v>
      </c>
      <c r="E30" s="249" t="s">
        <v>1307</v>
      </c>
      <c r="F30" s="249" t="s">
        <v>1342</v>
      </c>
      <c r="G30" s="289">
        <v>280</v>
      </c>
      <c r="H30" s="289">
        <v>300</v>
      </c>
      <c r="I30" s="283">
        <v>310</v>
      </c>
      <c r="J30" s="289">
        <v>300</v>
      </c>
      <c r="K30" s="289">
        <v>135</v>
      </c>
      <c r="L30" s="291">
        <v>41</v>
      </c>
      <c r="M30" s="286">
        <v>5535</v>
      </c>
      <c r="N30" s="287"/>
      <c r="O30" s="292">
        <v>40</v>
      </c>
      <c r="P30" s="293" t="s">
        <v>774</v>
      </c>
      <c r="Q30" s="288"/>
      <c r="R30" s="288"/>
      <c r="S30" s="288"/>
    </row>
    <row r="31" spans="2:19" ht="15.75">
      <c r="B31" s="224" t="s">
        <v>1340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</row>
    <row r="32" spans="1:19" ht="12.75">
      <c r="A32">
        <v>1</v>
      </c>
      <c r="B32" s="225" t="s">
        <v>1353</v>
      </c>
      <c r="C32" s="249" t="s">
        <v>1373</v>
      </c>
      <c r="D32" s="249" t="s">
        <v>1374</v>
      </c>
      <c r="E32" s="249" t="s">
        <v>1307</v>
      </c>
      <c r="F32" s="249" t="s">
        <v>1350</v>
      </c>
      <c r="G32" s="289">
        <v>287.5</v>
      </c>
      <c r="H32" s="289">
        <v>302.5</v>
      </c>
      <c r="I32" s="289">
        <v>310</v>
      </c>
      <c r="J32" s="289">
        <v>310</v>
      </c>
      <c r="K32" s="289">
        <v>195</v>
      </c>
      <c r="L32" s="291">
        <v>24</v>
      </c>
      <c r="M32" s="286">
        <v>4680</v>
      </c>
      <c r="N32" s="287"/>
      <c r="O32" s="292">
        <v>40</v>
      </c>
      <c r="P32" s="293" t="s">
        <v>774</v>
      </c>
      <c r="Q32" s="288"/>
      <c r="R32" s="288"/>
      <c r="S32" s="288"/>
    </row>
    <row r="33" spans="2:19" ht="15.75">
      <c r="B33" s="224" t="s">
        <v>1345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</row>
    <row r="34" spans="2:19" ht="15.75">
      <c r="B34" s="224" t="s">
        <v>1344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1:19" ht="12.75">
      <c r="A35" s="144">
        <v>1</v>
      </c>
      <c r="B35" s="299" t="s">
        <v>504</v>
      </c>
      <c r="C35" s="249" t="s">
        <v>505</v>
      </c>
      <c r="D35" s="249" t="s">
        <v>1377</v>
      </c>
      <c r="E35" s="249" t="s">
        <v>1307</v>
      </c>
      <c r="F35" s="249" t="s">
        <v>1378</v>
      </c>
      <c r="G35" s="289">
        <v>145</v>
      </c>
      <c r="H35" s="283">
        <v>150</v>
      </c>
      <c r="I35" s="289">
        <v>150</v>
      </c>
      <c r="J35" s="289">
        <v>150</v>
      </c>
      <c r="K35" s="289">
        <v>100</v>
      </c>
      <c r="L35" s="291">
        <v>16</v>
      </c>
      <c r="M35" s="286">
        <v>1600</v>
      </c>
      <c r="N35" s="287"/>
      <c r="O35" s="292">
        <v>40</v>
      </c>
      <c r="P35" s="293" t="s">
        <v>774</v>
      </c>
      <c r="Q35" s="288"/>
      <c r="R35" s="288"/>
      <c r="S35" s="288"/>
    </row>
    <row r="36" spans="1:19" ht="12.75">
      <c r="A36" s="144"/>
      <c r="B36" s="299" t="s">
        <v>1379</v>
      </c>
      <c r="C36" s="249" t="s">
        <v>1380</v>
      </c>
      <c r="D36" s="249" t="s">
        <v>1381</v>
      </c>
      <c r="E36" s="249" t="s">
        <v>1307</v>
      </c>
      <c r="F36" s="249" t="s">
        <v>952</v>
      </c>
      <c r="G36" s="283">
        <v>195</v>
      </c>
      <c r="H36" s="283">
        <v>195</v>
      </c>
      <c r="I36" s="283">
        <v>195</v>
      </c>
      <c r="J36" s="289"/>
      <c r="K36" s="289"/>
      <c r="L36" s="291"/>
      <c r="M36" s="286"/>
      <c r="N36" s="287"/>
      <c r="O36" s="292"/>
      <c r="P36" s="293" t="s">
        <v>774</v>
      </c>
      <c r="Q36" s="288"/>
      <c r="R36" s="288"/>
      <c r="S36" s="288"/>
    </row>
    <row r="37" spans="1:19" ht="15.75">
      <c r="A37" s="144"/>
      <c r="B37" s="224" t="s">
        <v>1343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1:19" ht="12.75">
      <c r="A38" s="144">
        <v>1</v>
      </c>
      <c r="B38" s="225" t="s">
        <v>1359</v>
      </c>
      <c r="C38" s="249" t="s">
        <v>1361</v>
      </c>
      <c r="D38" s="249" t="s">
        <v>201</v>
      </c>
      <c r="E38" s="249" t="s">
        <v>1307</v>
      </c>
      <c r="F38" s="249" t="s">
        <v>952</v>
      </c>
      <c r="G38" s="289">
        <v>140</v>
      </c>
      <c r="H38" s="294">
        <v>145</v>
      </c>
      <c r="I38" s="289"/>
      <c r="J38" s="294">
        <v>145</v>
      </c>
      <c r="K38" s="289">
        <v>100</v>
      </c>
      <c r="L38" s="291">
        <v>21</v>
      </c>
      <c r="M38" s="286">
        <v>2100</v>
      </c>
      <c r="N38" s="287"/>
      <c r="O38" s="292">
        <v>40</v>
      </c>
      <c r="P38" s="293" t="s">
        <v>774</v>
      </c>
      <c r="Q38" s="288"/>
      <c r="R38" s="288"/>
      <c r="S38" s="288"/>
    </row>
    <row r="39" spans="2:19" ht="12.75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</row>
    <row r="40" spans="2:19" ht="12.75"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</row>
  </sheetData>
  <sheetProtection/>
  <mergeCells count="45">
    <mergeCell ref="B6:S6"/>
    <mergeCell ref="B7:S7"/>
    <mergeCell ref="B4:S4"/>
    <mergeCell ref="M5:N5"/>
    <mergeCell ref="B1:P1"/>
    <mergeCell ref="B2:B3"/>
    <mergeCell ref="D2:D3"/>
    <mergeCell ref="E2:E3"/>
    <mergeCell ref="F2:F3"/>
    <mergeCell ref="G2:J2"/>
    <mergeCell ref="K2:N2"/>
    <mergeCell ref="O2:O3"/>
    <mergeCell ref="P2:P3"/>
    <mergeCell ref="M3:N3"/>
    <mergeCell ref="B15:S15"/>
    <mergeCell ref="B11:S11"/>
    <mergeCell ref="M12:N12"/>
    <mergeCell ref="M13:N13"/>
    <mergeCell ref="M14:N14"/>
    <mergeCell ref="M8:N8"/>
    <mergeCell ref="B9:S9"/>
    <mergeCell ref="M10:N10"/>
    <mergeCell ref="B21:S21"/>
    <mergeCell ref="M22:N22"/>
    <mergeCell ref="M23:N23"/>
    <mergeCell ref="B24:S24"/>
    <mergeCell ref="B16:S16"/>
    <mergeCell ref="M17:N17"/>
    <mergeCell ref="B18:S18"/>
    <mergeCell ref="B19:S19"/>
    <mergeCell ref="M20:N20"/>
    <mergeCell ref="M25:N25"/>
    <mergeCell ref="B26:S26"/>
    <mergeCell ref="M27:N27"/>
    <mergeCell ref="B28:S28"/>
    <mergeCell ref="B29:S29"/>
    <mergeCell ref="M30:N30"/>
    <mergeCell ref="B31:S31"/>
    <mergeCell ref="M32:N32"/>
    <mergeCell ref="M38:N38"/>
    <mergeCell ref="M35:N35"/>
    <mergeCell ref="M36:N36"/>
    <mergeCell ref="B37:S37"/>
    <mergeCell ref="B33:S33"/>
    <mergeCell ref="B34:S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3">
      <selection activeCell="B6" sqref="B6:K43"/>
    </sheetView>
  </sheetViews>
  <sheetFormatPr defaultColWidth="11.00390625" defaultRowHeight="12.75"/>
  <cols>
    <col min="1" max="1" width="7.00390625" style="0" customWidth="1"/>
    <col min="2" max="2" width="16.25390625" style="0" customWidth="1"/>
    <col min="3" max="3" width="24.125" style="0" customWidth="1"/>
    <col min="4" max="4" width="11.75390625" style="0" customWidth="1"/>
    <col min="7" max="7" width="23.125" style="0" customWidth="1"/>
    <col min="12" max="12" width="18.125" style="0" customWidth="1"/>
  </cols>
  <sheetData>
    <row r="1" spans="1:12" ht="57.75" customHeight="1">
      <c r="A1" s="150"/>
      <c r="B1" s="165" t="s">
        <v>1117</v>
      </c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28.5">
      <c r="A2" s="15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69"/>
    </row>
    <row r="3" spans="1:12" ht="30" thickBot="1">
      <c r="A3" s="83"/>
      <c r="B3" s="168" t="s">
        <v>910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2" ht="13.5">
      <c r="A4" s="154" t="s">
        <v>728</v>
      </c>
      <c r="B4" s="158" t="s">
        <v>0</v>
      </c>
      <c r="C4" s="104" t="s">
        <v>911</v>
      </c>
      <c r="D4" s="156" t="s">
        <v>733</v>
      </c>
      <c r="E4" s="158" t="s">
        <v>913</v>
      </c>
      <c r="F4" s="158" t="s">
        <v>7</v>
      </c>
      <c r="G4" s="158" t="s">
        <v>758</v>
      </c>
      <c r="H4" s="187" t="s">
        <v>2</v>
      </c>
      <c r="I4" s="189"/>
      <c r="J4" s="158" t="s">
        <v>1002</v>
      </c>
      <c r="K4" s="158" t="s">
        <v>6</v>
      </c>
      <c r="L4" s="160" t="s">
        <v>5</v>
      </c>
    </row>
    <row r="5" spans="1:12" ht="15" thickBot="1">
      <c r="A5" s="155"/>
      <c r="B5" s="159"/>
      <c r="C5" s="103" t="s">
        <v>912</v>
      </c>
      <c r="D5" s="157"/>
      <c r="E5" s="159"/>
      <c r="F5" s="159"/>
      <c r="G5" s="159"/>
      <c r="H5" s="126" t="s">
        <v>1003</v>
      </c>
      <c r="I5" s="126" t="s">
        <v>1004</v>
      </c>
      <c r="J5" s="159"/>
      <c r="K5" s="159"/>
      <c r="L5" s="161"/>
    </row>
    <row r="6" spans="1:12" ht="15.75">
      <c r="A6" s="83"/>
      <c r="B6" s="252" t="s">
        <v>146</v>
      </c>
      <c r="C6" s="252"/>
      <c r="D6" s="252"/>
      <c r="E6" s="252"/>
      <c r="F6" s="252"/>
      <c r="G6" s="252"/>
      <c r="H6" s="252"/>
      <c r="I6" s="252"/>
      <c r="J6" s="252"/>
      <c r="K6" s="252"/>
      <c r="L6" s="82"/>
    </row>
    <row r="7" spans="1:12" ht="12.75">
      <c r="A7" s="98" t="s">
        <v>729</v>
      </c>
      <c r="B7" s="253" t="s">
        <v>435</v>
      </c>
      <c r="C7" s="250" t="s">
        <v>436</v>
      </c>
      <c r="D7" s="264" t="s">
        <v>437</v>
      </c>
      <c r="E7" s="250" t="s">
        <v>1118</v>
      </c>
      <c r="F7" s="253" t="s">
        <v>221</v>
      </c>
      <c r="G7" s="253" t="s">
        <v>222</v>
      </c>
      <c r="H7" s="250" t="s">
        <v>150</v>
      </c>
      <c r="I7" s="250" t="s">
        <v>1119</v>
      </c>
      <c r="J7" s="253" t="s">
        <v>1120</v>
      </c>
      <c r="K7" s="250" t="s">
        <v>1121</v>
      </c>
      <c r="L7" s="99" t="s">
        <v>407</v>
      </c>
    </row>
    <row r="8" spans="1:12" ht="12.75">
      <c r="A8" s="100"/>
      <c r="B8" s="265"/>
      <c r="C8" s="251"/>
      <c r="D8" s="266"/>
      <c r="E8" s="251"/>
      <c r="F8" s="267"/>
      <c r="G8" s="267"/>
      <c r="H8" s="251"/>
      <c r="I8" s="251"/>
      <c r="J8" s="267"/>
      <c r="K8" s="251"/>
      <c r="L8" s="82"/>
    </row>
    <row r="9" spans="1:12" ht="15.75">
      <c r="A9" s="83"/>
      <c r="B9" s="252" t="s">
        <v>197</v>
      </c>
      <c r="C9" s="252"/>
      <c r="D9" s="252"/>
      <c r="E9" s="252"/>
      <c r="F9" s="252"/>
      <c r="G9" s="252"/>
      <c r="H9" s="252"/>
      <c r="I9" s="252"/>
      <c r="J9" s="252"/>
      <c r="K9" s="252"/>
      <c r="L9" s="82"/>
    </row>
    <row r="10" spans="1:12" ht="12.75">
      <c r="A10" s="98" t="s">
        <v>729</v>
      </c>
      <c r="B10" s="253" t="s">
        <v>1028</v>
      </c>
      <c r="C10" s="250" t="s">
        <v>270</v>
      </c>
      <c r="D10" s="264" t="s">
        <v>1029</v>
      </c>
      <c r="E10" s="250" t="s">
        <v>1030</v>
      </c>
      <c r="F10" s="253" t="s">
        <v>16</v>
      </c>
      <c r="G10" s="253" t="s">
        <v>1031</v>
      </c>
      <c r="H10" s="250" t="s">
        <v>161</v>
      </c>
      <c r="I10" s="250" t="s">
        <v>253</v>
      </c>
      <c r="J10" s="253" t="s">
        <v>1122</v>
      </c>
      <c r="K10" s="250" t="s">
        <v>1033</v>
      </c>
      <c r="L10" s="99" t="s">
        <v>1034</v>
      </c>
    </row>
    <row r="11" spans="1:12" ht="12.75">
      <c r="A11" s="117" t="s">
        <v>729</v>
      </c>
      <c r="B11" s="256" t="s">
        <v>438</v>
      </c>
      <c r="C11" s="268" t="s">
        <v>1123</v>
      </c>
      <c r="D11" s="269" t="s">
        <v>439</v>
      </c>
      <c r="E11" s="268" t="s">
        <v>1124</v>
      </c>
      <c r="F11" s="256" t="s">
        <v>16</v>
      </c>
      <c r="G11" s="256" t="s">
        <v>759</v>
      </c>
      <c r="H11" s="268" t="s">
        <v>161</v>
      </c>
      <c r="I11" s="268" t="s">
        <v>1025</v>
      </c>
      <c r="J11" s="256" t="s">
        <v>1125</v>
      </c>
      <c r="K11" s="268" t="s">
        <v>1126</v>
      </c>
      <c r="L11" s="101" t="s">
        <v>440</v>
      </c>
    </row>
    <row r="12" spans="1:12" ht="12.75">
      <c r="A12" s="100"/>
      <c r="B12" s="265"/>
      <c r="C12" s="251"/>
      <c r="D12" s="266"/>
      <c r="E12" s="251"/>
      <c r="F12" s="267"/>
      <c r="G12" s="267"/>
      <c r="H12" s="251"/>
      <c r="I12" s="251"/>
      <c r="J12" s="267"/>
      <c r="K12" s="251"/>
      <c r="L12" s="82"/>
    </row>
    <row r="13" spans="1:12" ht="15.75">
      <c r="A13" s="83"/>
      <c r="B13" s="252" t="s">
        <v>12</v>
      </c>
      <c r="C13" s="252"/>
      <c r="D13" s="252"/>
      <c r="E13" s="252"/>
      <c r="F13" s="252"/>
      <c r="G13" s="252"/>
      <c r="H13" s="252"/>
      <c r="I13" s="252"/>
      <c r="J13" s="252"/>
      <c r="K13" s="252"/>
      <c r="L13" s="82"/>
    </row>
    <row r="14" spans="1:12" ht="12.75">
      <c r="A14" s="105" t="s">
        <v>729</v>
      </c>
      <c r="B14" s="270" t="s">
        <v>962</v>
      </c>
      <c r="C14" s="271" t="s">
        <v>963</v>
      </c>
      <c r="D14" s="272" t="s">
        <v>964</v>
      </c>
      <c r="E14" s="271" t="s">
        <v>965</v>
      </c>
      <c r="F14" s="270" t="s">
        <v>16</v>
      </c>
      <c r="G14" s="270" t="s">
        <v>1127</v>
      </c>
      <c r="H14" s="271" t="s">
        <v>136</v>
      </c>
      <c r="I14" s="271" t="s">
        <v>160</v>
      </c>
      <c r="J14" s="270" t="s">
        <v>1128</v>
      </c>
      <c r="K14" s="271" t="s">
        <v>1129</v>
      </c>
      <c r="L14" s="129" t="s">
        <v>968</v>
      </c>
    </row>
    <row r="15" spans="1:12" ht="12.75">
      <c r="A15" s="98" t="s">
        <v>731</v>
      </c>
      <c r="B15" s="253" t="s">
        <v>1130</v>
      </c>
      <c r="C15" s="250" t="s">
        <v>1131</v>
      </c>
      <c r="D15" s="264" t="s">
        <v>428</v>
      </c>
      <c r="E15" s="250" t="s">
        <v>1132</v>
      </c>
      <c r="F15" s="253" t="s">
        <v>16</v>
      </c>
      <c r="G15" s="253" t="s">
        <v>709</v>
      </c>
      <c r="H15" s="250" t="s">
        <v>425</v>
      </c>
      <c r="I15" s="250" t="s">
        <v>1133</v>
      </c>
      <c r="J15" s="253" t="s">
        <v>1134</v>
      </c>
      <c r="K15" s="250" t="s">
        <v>1135</v>
      </c>
      <c r="L15" s="99" t="s">
        <v>1136</v>
      </c>
    </row>
    <row r="16" spans="1:12" ht="12.75">
      <c r="A16" s="117" t="s">
        <v>732</v>
      </c>
      <c r="B16" s="256" t="s">
        <v>1137</v>
      </c>
      <c r="C16" s="268" t="s">
        <v>1138</v>
      </c>
      <c r="D16" s="269" t="s">
        <v>1139</v>
      </c>
      <c r="E16" s="268" t="s">
        <v>1140</v>
      </c>
      <c r="F16" s="256" t="s">
        <v>16</v>
      </c>
      <c r="G16" s="256" t="s">
        <v>1141</v>
      </c>
      <c r="H16" s="268" t="s">
        <v>136</v>
      </c>
      <c r="I16" s="268" t="s">
        <v>1142</v>
      </c>
      <c r="J16" s="256" t="s">
        <v>1143</v>
      </c>
      <c r="K16" s="268" t="s">
        <v>1144</v>
      </c>
      <c r="L16" s="101" t="s">
        <v>1145</v>
      </c>
    </row>
    <row r="17" spans="1:12" ht="12.75">
      <c r="A17" s="82"/>
      <c r="B17" s="267"/>
      <c r="C17" s="251"/>
      <c r="D17" s="266"/>
      <c r="E17" s="251"/>
      <c r="F17" s="267"/>
      <c r="G17" s="267"/>
      <c r="H17" s="251"/>
      <c r="I17" s="251"/>
      <c r="J17" s="267"/>
      <c r="K17" s="251"/>
      <c r="L17" s="82"/>
    </row>
    <row r="18" spans="1:12" ht="15.75">
      <c r="A18" s="83"/>
      <c r="B18" s="252" t="s">
        <v>34</v>
      </c>
      <c r="C18" s="252"/>
      <c r="D18" s="252"/>
      <c r="E18" s="252"/>
      <c r="F18" s="252"/>
      <c r="G18" s="252"/>
      <c r="H18" s="252"/>
      <c r="I18" s="252"/>
      <c r="J18" s="252"/>
      <c r="K18" s="252"/>
      <c r="L18" s="82"/>
    </row>
    <row r="19" spans="1:12" ht="12.75">
      <c r="A19" s="105" t="s">
        <v>729</v>
      </c>
      <c r="B19" s="270" t="s">
        <v>1146</v>
      </c>
      <c r="C19" s="271" t="s">
        <v>1147</v>
      </c>
      <c r="D19" s="272" t="s">
        <v>1148</v>
      </c>
      <c r="E19" s="271" t="s">
        <v>1149</v>
      </c>
      <c r="F19" s="270" t="s">
        <v>16</v>
      </c>
      <c r="G19" s="270" t="s">
        <v>1127</v>
      </c>
      <c r="H19" s="271" t="s">
        <v>255</v>
      </c>
      <c r="I19" s="271" t="s">
        <v>278</v>
      </c>
      <c r="J19" s="270" t="s">
        <v>1150</v>
      </c>
      <c r="K19" s="271" t="s">
        <v>1151</v>
      </c>
      <c r="L19" s="129" t="s">
        <v>1152</v>
      </c>
    </row>
    <row r="20" spans="1:12" ht="12.75">
      <c r="A20" s="98" t="s">
        <v>729</v>
      </c>
      <c r="B20" s="253" t="s">
        <v>1153</v>
      </c>
      <c r="C20" s="250" t="s">
        <v>1154</v>
      </c>
      <c r="D20" s="264" t="s">
        <v>1155</v>
      </c>
      <c r="E20" s="250" t="s">
        <v>1156</v>
      </c>
      <c r="F20" s="253" t="s">
        <v>519</v>
      </c>
      <c r="G20" s="253" t="s">
        <v>759</v>
      </c>
      <c r="H20" s="250" t="s">
        <v>137</v>
      </c>
      <c r="I20" s="250" t="s">
        <v>1157</v>
      </c>
      <c r="J20" s="253" t="s">
        <v>1158</v>
      </c>
      <c r="K20" s="250" t="s">
        <v>1159</v>
      </c>
      <c r="L20" s="99" t="s">
        <v>1160</v>
      </c>
    </row>
    <row r="21" spans="1:12" ht="12.75">
      <c r="A21" s="100"/>
      <c r="B21" s="265"/>
      <c r="C21" s="251"/>
      <c r="D21" s="266"/>
      <c r="E21" s="251"/>
      <c r="F21" s="267"/>
      <c r="G21" s="267"/>
      <c r="H21" s="251"/>
      <c r="I21" s="251"/>
      <c r="J21" s="267"/>
      <c r="K21" s="251"/>
      <c r="L21" s="82"/>
    </row>
    <row r="22" spans="1:12" ht="15.75">
      <c r="A22" s="83"/>
      <c r="B22" s="252" t="s">
        <v>54</v>
      </c>
      <c r="C22" s="252"/>
      <c r="D22" s="252"/>
      <c r="E22" s="252"/>
      <c r="F22" s="252"/>
      <c r="G22" s="252"/>
      <c r="H22" s="252"/>
      <c r="I22" s="252"/>
      <c r="J22" s="252"/>
      <c r="K22" s="252"/>
      <c r="L22" s="82"/>
    </row>
    <row r="23" spans="1:12" ht="12.75">
      <c r="A23" s="105" t="s">
        <v>729</v>
      </c>
      <c r="B23" s="270" t="s">
        <v>1161</v>
      </c>
      <c r="C23" s="271" t="s">
        <v>1162</v>
      </c>
      <c r="D23" s="272" t="s">
        <v>331</v>
      </c>
      <c r="E23" s="271" t="s">
        <v>1163</v>
      </c>
      <c r="F23" s="270" t="s">
        <v>16</v>
      </c>
      <c r="G23" s="270" t="s">
        <v>759</v>
      </c>
      <c r="H23" s="271" t="s">
        <v>256</v>
      </c>
      <c r="I23" s="271" t="s">
        <v>1007</v>
      </c>
      <c r="J23" s="270" t="s">
        <v>1164</v>
      </c>
      <c r="K23" s="271" t="s">
        <v>1165</v>
      </c>
      <c r="L23" s="129" t="s">
        <v>1166</v>
      </c>
    </row>
    <row r="24" spans="1:12" ht="12.75">
      <c r="A24" s="98" t="s">
        <v>729</v>
      </c>
      <c r="B24" s="253" t="s">
        <v>1167</v>
      </c>
      <c r="C24" s="250" t="s">
        <v>1168</v>
      </c>
      <c r="D24" s="264" t="s">
        <v>1169</v>
      </c>
      <c r="E24" s="250" t="s">
        <v>1170</v>
      </c>
      <c r="F24" s="253" t="s">
        <v>16</v>
      </c>
      <c r="G24" s="253" t="s">
        <v>1171</v>
      </c>
      <c r="H24" s="250" t="s">
        <v>138</v>
      </c>
      <c r="I24" s="250" t="s">
        <v>1172</v>
      </c>
      <c r="J24" s="253" t="s">
        <v>1173</v>
      </c>
      <c r="K24" s="250" t="s">
        <v>1174</v>
      </c>
      <c r="L24" s="99" t="s">
        <v>1152</v>
      </c>
    </row>
    <row r="25" spans="1:12" ht="12.75">
      <c r="A25" s="100"/>
      <c r="B25" s="265"/>
      <c r="C25" s="251"/>
      <c r="D25" s="266"/>
      <c r="E25" s="251"/>
      <c r="F25" s="267"/>
      <c r="G25" s="267"/>
      <c r="H25" s="251"/>
      <c r="I25" s="251"/>
      <c r="J25" s="267"/>
      <c r="K25" s="251"/>
      <c r="L25" s="82"/>
    </row>
    <row r="26" spans="1:12" ht="15.75">
      <c r="A26" s="83"/>
      <c r="B26" s="252" t="s">
        <v>61</v>
      </c>
      <c r="C26" s="252"/>
      <c r="D26" s="252"/>
      <c r="E26" s="252"/>
      <c r="F26" s="252"/>
      <c r="G26" s="252"/>
      <c r="H26" s="252"/>
      <c r="I26" s="252"/>
      <c r="J26" s="252"/>
      <c r="K26" s="252"/>
      <c r="L26" s="82"/>
    </row>
    <row r="27" spans="1:12" ht="12.75">
      <c r="A27" s="105" t="s">
        <v>729</v>
      </c>
      <c r="B27" s="270" t="s">
        <v>1175</v>
      </c>
      <c r="C27" s="271" t="s">
        <v>1176</v>
      </c>
      <c r="D27" s="272" t="s">
        <v>1177</v>
      </c>
      <c r="E27" s="271" t="s">
        <v>1178</v>
      </c>
      <c r="F27" s="270" t="s">
        <v>519</v>
      </c>
      <c r="G27" s="270" t="s">
        <v>759</v>
      </c>
      <c r="H27" s="271" t="s">
        <v>415</v>
      </c>
      <c r="I27" s="271" t="s">
        <v>1109</v>
      </c>
      <c r="J27" s="270" t="s">
        <v>1179</v>
      </c>
      <c r="K27" s="271" t="s">
        <v>1180</v>
      </c>
      <c r="L27" s="129" t="s">
        <v>836</v>
      </c>
    </row>
    <row r="28" spans="1:12" ht="12.75">
      <c r="A28" s="98" t="s">
        <v>729</v>
      </c>
      <c r="B28" s="253" t="s">
        <v>697</v>
      </c>
      <c r="C28" s="250" t="s">
        <v>1181</v>
      </c>
      <c r="D28" s="264" t="s">
        <v>1182</v>
      </c>
      <c r="E28" s="250" t="s">
        <v>1183</v>
      </c>
      <c r="F28" s="253" t="s">
        <v>16</v>
      </c>
      <c r="G28" s="253" t="s">
        <v>897</v>
      </c>
      <c r="H28" s="250" t="s">
        <v>415</v>
      </c>
      <c r="I28" s="250" t="s">
        <v>1184</v>
      </c>
      <c r="J28" s="253" t="s">
        <v>1185</v>
      </c>
      <c r="K28" s="250" t="s">
        <v>1186</v>
      </c>
      <c r="L28" s="99" t="s">
        <v>42</v>
      </c>
    </row>
    <row r="29" spans="1:12" ht="12.75">
      <c r="A29" s="100"/>
      <c r="B29" s="265"/>
      <c r="C29" s="251"/>
      <c r="D29" s="266"/>
      <c r="E29" s="251"/>
      <c r="F29" s="267"/>
      <c r="G29" s="267"/>
      <c r="H29" s="251"/>
      <c r="I29" s="251"/>
      <c r="J29" s="267"/>
      <c r="K29" s="251"/>
      <c r="L29" s="82"/>
    </row>
    <row r="30" spans="1:12" ht="15.75">
      <c r="A30" s="83"/>
      <c r="B30" s="252" t="s">
        <v>76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82"/>
    </row>
    <row r="31" spans="1:12" ht="12.75">
      <c r="A31" s="105" t="s">
        <v>729</v>
      </c>
      <c r="B31" s="270" t="s">
        <v>527</v>
      </c>
      <c r="C31" s="271" t="s">
        <v>1187</v>
      </c>
      <c r="D31" s="272" t="s">
        <v>529</v>
      </c>
      <c r="E31" s="271" t="s">
        <v>1188</v>
      </c>
      <c r="F31" s="270" t="s">
        <v>16</v>
      </c>
      <c r="G31" s="270" t="s">
        <v>759</v>
      </c>
      <c r="H31" s="271" t="s">
        <v>201</v>
      </c>
      <c r="I31" s="271" t="s">
        <v>1189</v>
      </c>
      <c r="J31" s="270" t="s">
        <v>1190</v>
      </c>
      <c r="K31" s="271" t="s">
        <v>1191</v>
      </c>
      <c r="L31" s="99" t="s">
        <v>42</v>
      </c>
    </row>
    <row r="32" spans="1:12" ht="12.75">
      <c r="A32" s="98" t="s">
        <v>731</v>
      </c>
      <c r="B32" s="253" t="s">
        <v>516</v>
      </c>
      <c r="C32" s="250" t="s">
        <v>517</v>
      </c>
      <c r="D32" s="264" t="s">
        <v>518</v>
      </c>
      <c r="E32" s="250" t="s">
        <v>932</v>
      </c>
      <c r="F32" s="253" t="s">
        <v>519</v>
      </c>
      <c r="G32" s="270" t="s">
        <v>759</v>
      </c>
      <c r="H32" s="250" t="s">
        <v>159</v>
      </c>
      <c r="I32" s="250" t="s">
        <v>1119</v>
      </c>
      <c r="J32" s="253" t="s">
        <v>1192</v>
      </c>
      <c r="K32" s="250" t="s">
        <v>1193</v>
      </c>
      <c r="L32" s="101" t="s">
        <v>42</v>
      </c>
    </row>
    <row r="33" spans="1:12" ht="12.75">
      <c r="A33" s="113" t="s">
        <v>729</v>
      </c>
      <c r="B33" s="273" t="s">
        <v>516</v>
      </c>
      <c r="C33" s="274" t="s">
        <v>1194</v>
      </c>
      <c r="D33" s="275" t="s">
        <v>518</v>
      </c>
      <c r="E33" s="274" t="s">
        <v>932</v>
      </c>
      <c r="F33" s="273" t="s">
        <v>519</v>
      </c>
      <c r="G33" s="270" t="s">
        <v>759</v>
      </c>
      <c r="H33" s="274" t="s">
        <v>159</v>
      </c>
      <c r="I33" s="274" t="s">
        <v>1119</v>
      </c>
      <c r="J33" s="273" t="s">
        <v>1192</v>
      </c>
      <c r="K33" s="274" t="s">
        <v>1195</v>
      </c>
      <c r="L33" s="101" t="s">
        <v>42</v>
      </c>
    </row>
    <row r="34" spans="1:12" ht="12.75">
      <c r="A34" s="98" t="s">
        <v>729</v>
      </c>
      <c r="B34" s="253" t="s">
        <v>527</v>
      </c>
      <c r="C34" s="250" t="s">
        <v>1196</v>
      </c>
      <c r="D34" s="264" t="s">
        <v>529</v>
      </c>
      <c r="E34" s="250" t="s">
        <v>1188</v>
      </c>
      <c r="F34" s="253" t="s">
        <v>16</v>
      </c>
      <c r="G34" s="253" t="s">
        <v>759</v>
      </c>
      <c r="H34" s="250" t="s">
        <v>201</v>
      </c>
      <c r="I34" s="250" t="s">
        <v>1189</v>
      </c>
      <c r="J34" s="253" t="s">
        <v>1190</v>
      </c>
      <c r="K34" s="250" t="s">
        <v>1197</v>
      </c>
      <c r="L34" s="101" t="s">
        <v>42</v>
      </c>
    </row>
    <row r="35" spans="1:12" ht="12.75">
      <c r="A35" s="100"/>
      <c r="B35" s="265"/>
      <c r="C35" s="251"/>
      <c r="D35" s="266"/>
      <c r="E35" s="251"/>
      <c r="F35" s="267"/>
      <c r="G35" s="267"/>
      <c r="H35" s="251"/>
      <c r="I35" s="251"/>
      <c r="J35" s="267"/>
      <c r="K35" s="251"/>
      <c r="L35" s="82"/>
    </row>
    <row r="36" spans="1:12" ht="18">
      <c r="A36" s="133"/>
      <c r="B36" s="276" t="s">
        <v>100</v>
      </c>
      <c r="C36" s="277"/>
      <c r="D36" s="266"/>
      <c r="E36" s="251"/>
      <c r="F36" s="267"/>
      <c r="G36" s="267"/>
      <c r="H36" s="251"/>
      <c r="I36" s="251"/>
      <c r="J36" s="267"/>
      <c r="K36" s="251"/>
      <c r="L36" s="82"/>
    </row>
    <row r="37" spans="1:12" ht="15.75">
      <c r="A37" s="88"/>
      <c r="B37" s="278" t="s">
        <v>101</v>
      </c>
      <c r="C37" s="279"/>
      <c r="D37" s="266"/>
      <c r="E37" s="251"/>
      <c r="F37" s="267"/>
      <c r="G37" s="267"/>
      <c r="H37" s="251"/>
      <c r="I37" s="251"/>
      <c r="J37" s="267"/>
      <c r="K37" s="251"/>
      <c r="L37" s="82"/>
    </row>
    <row r="38" spans="1:12" ht="13.5">
      <c r="A38" s="135"/>
      <c r="B38" s="261" t="s">
        <v>108</v>
      </c>
      <c r="C38" s="280"/>
      <c r="D38" s="266"/>
      <c r="E38" s="251"/>
      <c r="F38" s="267"/>
      <c r="G38" s="267"/>
      <c r="H38" s="251"/>
      <c r="I38" s="251"/>
      <c r="J38" s="267"/>
      <c r="K38" s="251"/>
      <c r="L38" s="82"/>
    </row>
    <row r="39" spans="1:12" ht="13.5">
      <c r="A39" s="43"/>
      <c r="B39" s="263" t="s">
        <v>102</v>
      </c>
      <c r="C39" s="263" t="s">
        <v>103</v>
      </c>
      <c r="D39" s="281" t="s">
        <v>104</v>
      </c>
      <c r="E39" s="263" t="s">
        <v>105</v>
      </c>
      <c r="F39" s="263" t="s">
        <v>979</v>
      </c>
      <c r="G39" s="267"/>
      <c r="H39" s="251"/>
      <c r="I39" s="251"/>
      <c r="J39" s="267"/>
      <c r="K39" s="251"/>
      <c r="L39" s="82"/>
    </row>
    <row r="40" spans="1:12" ht="12.75">
      <c r="A40" s="41" t="s">
        <v>729</v>
      </c>
      <c r="B40" s="223" t="s">
        <v>962</v>
      </c>
      <c r="C40" s="251" t="s">
        <v>108</v>
      </c>
      <c r="D40" s="266" t="s">
        <v>123</v>
      </c>
      <c r="E40" s="251" t="s">
        <v>1198</v>
      </c>
      <c r="F40" s="230" t="s">
        <v>1129</v>
      </c>
      <c r="G40" s="267"/>
      <c r="H40" s="251"/>
      <c r="I40" s="251"/>
      <c r="J40" s="267"/>
      <c r="K40" s="251"/>
      <c r="L40" s="82"/>
    </row>
    <row r="41" spans="1:12" ht="12.75">
      <c r="A41" s="41" t="s">
        <v>731</v>
      </c>
      <c r="B41" s="223" t="s">
        <v>1028</v>
      </c>
      <c r="C41" s="251" t="s">
        <v>108</v>
      </c>
      <c r="D41" s="266" t="s">
        <v>980</v>
      </c>
      <c r="E41" s="251" t="s">
        <v>1032</v>
      </c>
      <c r="F41" s="230" t="s">
        <v>1033</v>
      </c>
      <c r="G41" s="267"/>
      <c r="H41" s="251"/>
      <c r="I41" s="251"/>
      <c r="J41" s="267"/>
      <c r="K41" s="251"/>
      <c r="L41" s="82"/>
    </row>
    <row r="42" spans="1:12" ht="12.75">
      <c r="A42" s="41" t="s">
        <v>732</v>
      </c>
      <c r="B42" s="223" t="s">
        <v>1130</v>
      </c>
      <c r="C42" s="251" t="s">
        <v>108</v>
      </c>
      <c r="D42" s="266" t="s">
        <v>123</v>
      </c>
      <c r="E42" s="251" t="s">
        <v>1115</v>
      </c>
      <c r="F42" s="230" t="s">
        <v>1135</v>
      </c>
      <c r="G42" s="267"/>
      <c r="H42" s="251"/>
      <c r="I42" s="251"/>
      <c r="J42" s="267"/>
      <c r="K42" s="251"/>
      <c r="L42" s="82"/>
    </row>
    <row r="43" spans="1:12" ht="12.75">
      <c r="A43" s="41"/>
      <c r="B43" s="223" t="s">
        <v>1137</v>
      </c>
      <c r="C43" s="251" t="s">
        <v>108</v>
      </c>
      <c r="D43" s="266" t="s">
        <v>123</v>
      </c>
      <c r="E43" s="251" t="s">
        <v>1199</v>
      </c>
      <c r="F43" s="230" t="s">
        <v>1144</v>
      </c>
      <c r="G43" s="267"/>
      <c r="H43" s="251"/>
      <c r="I43" s="251"/>
      <c r="J43" s="267"/>
      <c r="K43" s="251"/>
      <c r="L43" s="82"/>
    </row>
    <row r="44" spans="1:12" ht="12.75">
      <c r="A44" s="41"/>
      <c r="B44" s="41" t="s">
        <v>1161</v>
      </c>
      <c r="C44" s="83" t="s">
        <v>108</v>
      </c>
      <c r="D44" s="102" t="s">
        <v>107</v>
      </c>
      <c r="E44" s="83" t="s">
        <v>1200</v>
      </c>
      <c r="F44" s="48" t="s">
        <v>1165</v>
      </c>
      <c r="G44" s="82"/>
      <c r="H44" s="83"/>
      <c r="I44" s="83"/>
      <c r="J44" s="82"/>
      <c r="K44" s="83"/>
      <c r="L44" s="82"/>
    </row>
    <row r="45" spans="1:12" ht="12.75">
      <c r="A45" s="41"/>
      <c r="B45" s="41" t="s">
        <v>1153</v>
      </c>
      <c r="C45" s="83" t="s">
        <v>108</v>
      </c>
      <c r="D45" s="102" t="s">
        <v>981</v>
      </c>
      <c r="E45" s="83" t="s">
        <v>1201</v>
      </c>
      <c r="F45" s="48" t="s">
        <v>1159</v>
      </c>
      <c r="G45" s="82"/>
      <c r="H45" s="83"/>
      <c r="I45" s="83"/>
      <c r="J45" s="82"/>
      <c r="K45" s="83"/>
      <c r="L45" s="82"/>
    </row>
    <row r="46" spans="1:12" ht="12.75">
      <c r="A46" s="41"/>
      <c r="B46" s="41" t="s">
        <v>527</v>
      </c>
      <c r="C46" s="83" t="s">
        <v>108</v>
      </c>
      <c r="D46" s="102" t="s">
        <v>383</v>
      </c>
      <c r="E46" s="83" t="s">
        <v>1202</v>
      </c>
      <c r="F46" s="48" t="s">
        <v>1191</v>
      </c>
      <c r="G46" s="82"/>
      <c r="H46" s="83"/>
      <c r="I46" s="83"/>
      <c r="J46" s="82"/>
      <c r="K46" s="83"/>
      <c r="L46" s="82"/>
    </row>
    <row r="47" spans="1:12" ht="12.75">
      <c r="A47" s="41"/>
      <c r="B47" s="41" t="s">
        <v>1175</v>
      </c>
      <c r="C47" s="83" t="s">
        <v>108</v>
      </c>
      <c r="D47" s="102" t="s">
        <v>112</v>
      </c>
      <c r="E47" s="83" t="s">
        <v>1203</v>
      </c>
      <c r="F47" s="48" t="s">
        <v>1180</v>
      </c>
      <c r="G47" s="82"/>
      <c r="H47" s="83"/>
      <c r="I47" s="83"/>
      <c r="J47" s="82"/>
      <c r="K47" s="83"/>
      <c r="L47" s="82"/>
    </row>
    <row r="48" spans="1:12" ht="12.75">
      <c r="A48" s="41"/>
      <c r="B48" s="41" t="s">
        <v>435</v>
      </c>
      <c r="C48" s="83" t="s">
        <v>108</v>
      </c>
      <c r="D48" s="102" t="s">
        <v>195</v>
      </c>
      <c r="E48" s="83" t="s">
        <v>1204</v>
      </c>
      <c r="F48" s="48" t="s">
        <v>1121</v>
      </c>
      <c r="G48" s="82"/>
      <c r="H48" s="83"/>
      <c r="I48" s="83"/>
      <c r="J48" s="82"/>
      <c r="K48" s="83"/>
      <c r="L48" s="82"/>
    </row>
    <row r="49" spans="1:12" ht="12.75">
      <c r="A49" s="41"/>
      <c r="B49" s="41" t="s">
        <v>516</v>
      </c>
      <c r="C49" s="83" t="s">
        <v>108</v>
      </c>
      <c r="D49" s="102" t="s">
        <v>383</v>
      </c>
      <c r="E49" s="83" t="s">
        <v>1205</v>
      </c>
      <c r="F49" s="48" t="s">
        <v>1193</v>
      </c>
      <c r="G49" s="82"/>
      <c r="H49" s="83"/>
      <c r="I49" s="83"/>
      <c r="J49" s="82"/>
      <c r="K49" s="83"/>
      <c r="L49" s="82"/>
    </row>
    <row r="50" spans="1:12" ht="12.75">
      <c r="A50" s="100"/>
      <c r="B50" s="100"/>
      <c r="C50" s="83"/>
      <c r="D50" s="102"/>
      <c r="E50" s="83"/>
      <c r="F50" s="82"/>
      <c r="G50" s="82"/>
      <c r="H50" s="83"/>
      <c r="I50" s="83"/>
      <c r="J50" s="82"/>
      <c r="K50" s="83"/>
      <c r="L50" s="82"/>
    </row>
    <row r="51" spans="1:12" ht="12.75">
      <c r="A51" s="100"/>
      <c r="B51" s="100"/>
      <c r="C51" s="83"/>
      <c r="D51" s="102"/>
      <c r="E51" s="83"/>
      <c r="F51" s="82"/>
      <c r="G51" s="82"/>
      <c r="H51" s="83"/>
      <c r="I51" s="83"/>
      <c r="J51" s="82"/>
      <c r="K51" s="83"/>
      <c r="L51" s="82"/>
    </row>
    <row r="52" spans="1:12" ht="12.75">
      <c r="A52" s="100"/>
      <c r="B52" s="100"/>
      <c r="C52" s="83"/>
      <c r="D52" s="102"/>
      <c r="E52" s="83"/>
      <c r="F52" s="82"/>
      <c r="G52" s="82"/>
      <c r="H52" s="83"/>
      <c r="I52" s="83"/>
      <c r="J52" s="82"/>
      <c r="K52" s="83"/>
      <c r="L52" s="82"/>
    </row>
    <row r="53" spans="1:12" ht="12.75">
      <c r="A53" s="100"/>
      <c r="B53" s="100"/>
      <c r="C53" s="83"/>
      <c r="D53" s="102"/>
      <c r="E53" s="83"/>
      <c r="F53" s="82"/>
      <c r="G53" s="82"/>
      <c r="H53" s="83"/>
      <c r="I53" s="83"/>
      <c r="J53" s="82"/>
      <c r="K53" s="83"/>
      <c r="L53" s="82"/>
    </row>
    <row r="54" spans="1:12" ht="12.75">
      <c r="A54" s="100"/>
      <c r="B54" s="100"/>
      <c r="C54" s="83"/>
      <c r="D54" s="102"/>
      <c r="E54" s="83"/>
      <c r="F54" s="82"/>
      <c r="G54" s="82"/>
      <c r="H54" s="83"/>
      <c r="I54" s="83"/>
      <c r="J54" s="82"/>
      <c r="K54" s="83"/>
      <c r="L54" s="82"/>
    </row>
    <row r="55" spans="1:12" ht="12.75">
      <c r="A55" s="100"/>
      <c r="B55" s="100"/>
      <c r="C55" s="83"/>
      <c r="D55" s="102"/>
      <c r="E55" s="83"/>
      <c r="F55" s="82"/>
      <c r="G55" s="82"/>
      <c r="H55" s="83"/>
      <c r="I55" s="83"/>
      <c r="J55" s="82"/>
      <c r="K55" s="83"/>
      <c r="L55" s="82"/>
    </row>
    <row r="56" spans="1:12" ht="12.75">
      <c r="A56" s="100"/>
      <c r="B56" s="100"/>
      <c r="C56" s="83"/>
      <c r="D56" s="102"/>
      <c r="E56" s="83"/>
      <c r="F56" s="82"/>
      <c r="G56" s="82"/>
      <c r="H56" s="83"/>
      <c r="I56" s="83"/>
      <c r="J56" s="82"/>
      <c r="K56" s="83"/>
      <c r="L56" s="82"/>
    </row>
    <row r="57" spans="1:12" ht="12.75">
      <c r="A57" s="100"/>
      <c r="B57" s="100"/>
      <c r="C57" s="83"/>
      <c r="D57" s="102"/>
      <c r="E57" s="83"/>
      <c r="F57" s="82"/>
      <c r="G57" s="82"/>
      <c r="H57" s="83"/>
      <c r="I57" s="83"/>
      <c r="J57" s="82"/>
      <c r="K57" s="83"/>
      <c r="L57" s="82"/>
    </row>
    <row r="58" spans="1:12" ht="12.75">
      <c r="A58" s="100"/>
      <c r="B58" s="100"/>
      <c r="C58" s="83"/>
      <c r="D58" s="102"/>
      <c r="E58" s="83"/>
      <c r="F58" s="82"/>
      <c r="G58" s="82"/>
      <c r="H58" s="83"/>
      <c r="I58" s="83"/>
      <c r="J58" s="82"/>
      <c r="K58" s="83"/>
      <c r="L58" s="82"/>
    </row>
  </sheetData>
  <sheetProtection/>
  <mergeCells count="21">
    <mergeCell ref="B30:K30"/>
    <mergeCell ref="H4:I4"/>
    <mergeCell ref="J4:J5"/>
    <mergeCell ref="K4:K5"/>
    <mergeCell ref="E4:E5"/>
    <mergeCell ref="G4:G5"/>
    <mergeCell ref="F4:F5"/>
    <mergeCell ref="D4:D5"/>
    <mergeCell ref="B6:K6"/>
    <mergeCell ref="B22:K22"/>
    <mergeCell ref="B4:B5"/>
    <mergeCell ref="B13:K13"/>
    <mergeCell ref="B18:K18"/>
    <mergeCell ref="L4:L5"/>
    <mergeCell ref="B26:K26"/>
    <mergeCell ref="B9:K9"/>
    <mergeCell ref="A1:A2"/>
    <mergeCell ref="B1:L1"/>
    <mergeCell ref="B2:L2"/>
    <mergeCell ref="B3:L3"/>
    <mergeCell ref="A4:A5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">
      <selection activeCell="B9" sqref="B9:K43"/>
    </sheetView>
  </sheetViews>
  <sheetFormatPr defaultColWidth="11.00390625" defaultRowHeight="12.75"/>
  <cols>
    <col min="1" max="1" width="6.875" style="0" customWidth="1"/>
    <col min="2" max="2" width="19.375" style="0" customWidth="1"/>
    <col min="3" max="3" width="24.875" style="0" customWidth="1"/>
    <col min="6" max="6" width="17.625" style="0" customWidth="1"/>
    <col min="7" max="7" width="33.625" style="0" customWidth="1"/>
    <col min="12" max="12" width="19.875" style="0" customWidth="1"/>
  </cols>
  <sheetData>
    <row r="1" spans="1:12" ht="57.75" customHeight="1">
      <c r="A1" s="176"/>
      <c r="B1" s="165" t="s">
        <v>1021</v>
      </c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28.5">
      <c r="A2" s="17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69"/>
    </row>
    <row r="3" spans="1:12" ht="30" thickBot="1">
      <c r="A3" s="48"/>
      <c r="B3" s="168" t="s">
        <v>910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2" ht="13.5">
      <c r="A4" s="154" t="s">
        <v>728</v>
      </c>
      <c r="B4" s="158" t="s">
        <v>0</v>
      </c>
      <c r="C4" s="104" t="s">
        <v>911</v>
      </c>
      <c r="D4" s="156" t="s">
        <v>733</v>
      </c>
      <c r="E4" s="158" t="s">
        <v>913</v>
      </c>
      <c r="F4" s="158" t="s">
        <v>7</v>
      </c>
      <c r="G4" s="158" t="s">
        <v>758</v>
      </c>
      <c r="H4" s="187" t="s">
        <v>2</v>
      </c>
      <c r="I4" s="189"/>
      <c r="J4" s="158" t="s">
        <v>1002</v>
      </c>
      <c r="K4" s="158" t="s">
        <v>6</v>
      </c>
      <c r="L4" s="160" t="s">
        <v>5</v>
      </c>
    </row>
    <row r="5" spans="1:12" ht="15" thickBot="1">
      <c r="A5" s="155"/>
      <c r="B5" s="159"/>
      <c r="C5" s="103" t="s">
        <v>912</v>
      </c>
      <c r="D5" s="157"/>
      <c r="E5" s="159"/>
      <c r="F5" s="159"/>
      <c r="G5" s="159"/>
      <c r="H5" s="126" t="s">
        <v>1003</v>
      </c>
      <c r="I5" s="126" t="s">
        <v>1004</v>
      </c>
      <c r="J5" s="159"/>
      <c r="K5" s="159"/>
      <c r="L5" s="161"/>
    </row>
    <row r="6" spans="1:12" ht="15.75">
      <c r="A6" s="46"/>
      <c r="B6" s="153" t="s">
        <v>146</v>
      </c>
      <c r="C6" s="153"/>
      <c r="D6" s="153"/>
      <c r="E6" s="153"/>
      <c r="F6" s="153"/>
      <c r="G6" s="153"/>
      <c r="H6" s="153"/>
      <c r="I6" s="153"/>
      <c r="J6" s="153"/>
      <c r="K6" s="153"/>
      <c r="L6" s="29"/>
    </row>
    <row r="7" spans="1:12" ht="12.75">
      <c r="A7" s="47"/>
      <c r="B7" s="109" t="s">
        <v>280</v>
      </c>
      <c r="C7" s="109" t="s">
        <v>281</v>
      </c>
      <c r="D7" s="109" t="s">
        <v>282</v>
      </c>
      <c r="E7" s="109" t="s">
        <v>1022</v>
      </c>
      <c r="F7" s="109" t="s">
        <v>16</v>
      </c>
      <c r="G7" s="99" t="s">
        <v>759</v>
      </c>
      <c r="H7" s="110" t="s">
        <v>150</v>
      </c>
      <c r="I7" s="110"/>
      <c r="J7" s="109" t="s">
        <v>1116</v>
      </c>
      <c r="K7" s="109" t="s">
        <v>1023</v>
      </c>
      <c r="L7" s="109" t="s">
        <v>283</v>
      </c>
    </row>
    <row r="8" spans="1:12" ht="12.75">
      <c r="A8" s="4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>
      <c r="A9" s="46"/>
      <c r="B9" s="252" t="s">
        <v>12</v>
      </c>
      <c r="C9" s="252"/>
      <c r="D9" s="252"/>
      <c r="E9" s="252"/>
      <c r="F9" s="252"/>
      <c r="G9" s="252"/>
      <c r="H9" s="252"/>
      <c r="I9" s="252"/>
      <c r="J9" s="252"/>
      <c r="K9" s="252"/>
      <c r="L9" s="29"/>
    </row>
    <row r="10" spans="1:12" ht="12.75">
      <c r="A10" s="47" t="s">
        <v>729</v>
      </c>
      <c r="B10" s="249" t="s">
        <v>293</v>
      </c>
      <c r="C10" s="249" t="s">
        <v>294</v>
      </c>
      <c r="D10" s="249" t="s">
        <v>295</v>
      </c>
      <c r="E10" s="249" t="s">
        <v>1024</v>
      </c>
      <c r="F10" s="249" t="s">
        <v>16</v>
      </c>
      <c r="G10" s="253" t="s">
        <v>759</v>
      </c>
      <c r="H10" s="249" t="s">
        <v>251</v>
      </c>
      <c r="I10" s="249" t="s">
        <v>1025</v>
      </c>
      <c r="J10" s="249" t="s">
        <v>1026</v>
      </c>
      <c r="K10" s="249" t="s">
        <v>1027</v>
      </c>
      <c r="L10" s="109" t="s">
        <v>296</v>
      </c>
    </row>
    <row r="11" spans="1:12" ht="12.75">
      <c r="A11" s="4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9"/>
    </row>
    <row r="12" spans="1:12" ht="15.75">
      <c r="A12" s="46"/>
      <c r="B12" s="252" t="s">
        <v>197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9"/>
    </row>
    <row r="13" spans="1:12" ht="12.75">
      <c r="A13" s="47" t="s">
        <v>729</v>
      </c>
      <c r="B13" s="249" t="s">
        <v>1028</v>
      </c>
      <c r="C13" s="249" t="s">
        <v>270</v>
      </c>
      <c r="D13" s="249" t="s">
        <v>1029</v>
      </c>
      <c r="E13" s="249" t="s">
        <v>1030</v>
      </c>
      <c r="F13" s="249" t="s">
        <v>16</v>
      </c>
      <c r="G13" s="249" t="s">
        <v>1031</v>
      </c>
      <c r="H13" s="249" t="s">
        <v>161</v>
      </c>
      <c r="I13" s="249" t="s">
        <v>253</v>
      </c>
      <c r="J13" s="249" t="s">
        <v>1032</v>
      </c>
      <c r="K13" s="249" t="s">
        <v>1033</v>
      </c>
      <c r="L13" s="99" t="s">
        <v>1034</v>
      </c>
    </row>
    <row r="14" spans="1:12" ht="12.75">
      <c r="A14" s="4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9"/>
    </row>
    <row r="15" spans="1:12" ht="15.75">
      <c r="A15" s="46"/>
      <c r="B15" s="252" t="s">
        <v>12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9"/>
    </row>
    <row r="16" spans="1:12" ht="12.75">
      <c r="A16" s="51" t="s">
        <v>729</v>
      </c>
      <c r="B16" s="254" t="s">
        <v>1035</v>
      </c>
      <c r="C16" s="254" t="s">
        <v>1036</v>
      </c>
      <c r="D16" s="254" t="s">
        <v>1037</v>
      </c>
      <c r="E16" s="254" t="s">
        <v>1038</v>
      </c>
      <c r="F16" s="254" t="s">
        <v>16</v>
      </c>
      <c r="G16" s="254" t="s">
        <v>943</v>
      </c>
      <c r="H16" s="254" t="s">
        <v>425</v>
      </c>
      <c r="I16" s="254" t="s">
        <v>1039</v>
      </c>
      <c r="J16" s="254" t="s">
        <v>1040</v>
      </c>
      <c r="K16" s="254" t="s">
        <v>1041</v>
      </c>
      <c r="L16" s="106" t="s">
        <v>1042</v>
      </c>
    </row>
    <row r="17" spans="1:12" ht="12.75">
      <c r="A17" s="47" t="s">
        <v>729</v>
      </c>
      <c r="B17" s="249" t="s">
        <v>1043</v>
      </c>
      <c r="C17" s="249" t="s">
        <v>1044</v>
      </c>
      <c r="D17" s="249" t="s">
        <v>1045</v>
      </c>
      <c r="E17" s="249" t="s">
        <v>1046</v>
      </c>
      <c r="F17" s="249" t="s">
        <v>16</v>
      </c>
      <c r="G17" s="249" t="s">
        <v>1015</v>
      </c>
      <c r="H17" s="249" t="s">
        <v>251</v>
      </c>
      <c r="I17" s="249" t="s">
        <v>1047</v>
      </c>
      <c r="J17" s="249" t="s">
        <v>1048</v>
      </c>
      <c r="K17" s="249" t="s">
        <v>1049</v>
      </c>
      <c r="L17" s="109" t="s">
        <v>42</v>
      </c>
    </row>
    <row r="18" spans="1:12" ht="12.75">
      <c r="A18" s="4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9"/>
    </row>
    <row r="19" spans="1:12" ht="15.75">
      <c r="A19" s="46"/>
      <c r="B19" s="252" t="s">
        <v>34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9"/>
    </row>
    <row r="20" spans="1:12" ht="12.75">
      <c r="A20" s="47" t="s">
        <v>729</v>
      </c>
      <c r="B20" s="249" t="s">
        <v>1050</v>
      </c>
      <c r="C20" s="249" t="s">
        <v>1051</v>
      </c>
      <c r="D20" s="249" t="s">
        <v>1052</v>
      </c>
      <c r="E20" s="249" t="s">
        <v>1053</v>
      </c>
      <c r="F20" s="249" t="s">
        <v>1054</v>
      </c>
      <c r="G20" s="249" t="s">
        <v>1055</v>
      </c>
      <c r="H20" s="249" t="s">
        <v>252</v>
      </c>
      <c r="I20" s="249" t="s">
        <v>1056</v>
      </c>
      <c r="J20" s="249" t="s">
        <v>1057</v>
      </c>
      <c r="K20" s="249" t="s">
        <v>1058</v>
      </c>
      <c r="L20" s="109" t="s">
        <v>1059</v>
      </c>
    </row>
    <row r="21" spans="1:12" ht="12.75">
      <c r="A21" s="4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9"/>
    </row>
    <row r="22" spans="1:12" ht="15.75">
      <c r="A22" s="46"/>
      <c r="B22" s="252" t="s">
        <v>54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9"/>
    </row>
    <row r="23" spans="1:12" ht="12.75">
      <c r="A23" s="51" t="s">
        <v>729</v>
      </c>
      <c r="B23" s="254" t="s">
        <v>1060</v>
      </c>
      <c r="C23" s="254" t="s">
        <v>1061</v>
      </c>
      <c r="D23" s="254" t="s">
        <v>1062</v>
      </c>
      <c r="E23" s="254" t="s">
        <v>1063</v>
      </c>
      <c r="F23" s="254" t="s">
        <v>16</v>
      </c>
      <c r="G23" s="254" t="s">
        <v>1064</v>
      </c>
      <c r="H23" s="254" t="s">
        <v>138</v>
      </c>
      <c r="I23" s="254" t="s">
        <v>1065</v>
      </c>
      <c r="J23" s="254" t="s">
        <v>1066</v>
      </c>
      <c r="K23" s="254" t="s">
        <v>1067</v>
      </c>
      <c r="L23" s="106" t="s">
        <v>1068</v>
      </c>
    </row>
    <row r="24" spans="1:12" ht="12.75">
      <c r="A24" s="47" t="s">
        <v>731</v>
      </c>
      <c r="B24" s="249" t="s">
        <v>1069</v>
      </c>
      <c r="C24" s="249" t="s">
        <v>1070</v>
      </c>
      <c r="D24" s="249" t="s">
        <v>691</v>
      </c>
      <c r="E24" s="249" t="s">
        <v>1071</v>
      </c>
      <c r="F24" s="249" t="s">
        <v>16</v>
      </c>
      <c r="G24" s="249" t="s">
        <v>1072</v>
      </c>
      <c r="H24" s="249" t="s">
        <v>256</v>
      </c>
      <c r="I24" s="249" t="s">
        <v>253</v>
      </c>
      <c r="J24" s="249" t="s">
        <v>1073</v>
      </c>
      <c r="K24" s="249" t="s">
        <v>1074</v>
      </c>
      <c r="L24" s="109" t="s">
        <v>42</v>
      </c>
    </row>
    <row r="25" spans="1:12" ht="12.75">
      <c r="A25" s="4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9"/>
    </row>
    <row r="26" spans="1:12" ht="15.75">
      <c r="A26" s="46"/>
      <c r="B26" s="252" t="s">
        <v>61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9"/>
    </row>
    <row r="27" spans="1:12" ht="12.75">
      <c r="A27" s="51" t="s">
        <v>729</v>
      </c>
      <c r="B27" s="254" t="s">
        <v>1075</v>
      </c>
      <c r="C27" s="254" t="s">
        <v>1076</v>
      </c>
      <c r="D27" s="254" t="s">
        <v>1077</v>
      </c>
      <c r="E27" s="254" t="s">
        <v>1078</v>
      </c>
      <c r="F27" s="254" t="s">
        <v>16</v>
      </c>
      <c r="G27" s="254" t="s">
        <v>662</v>
      </c>
      <c r="H27" s="254" t="s">
        <v>177</v>
      </c>
      <c r="I27" s="254" t="s">
        <v>1039</v>
      </c>
      <c r="J27" s="254" t="s">
        <v>1313</v>
      </c>
      <c r="K27" s="254" t="s">
        <v>1314</v>
      </c>
      <c r="L27" s="106" t="s">
        <v>42</v>
      </c>
    </row>
    <row r="28" spans="1:12" ht="12.75">
      <c r="A28" s="47" t="s">
        <v>731</v>
      </c>
      <c r="B28" s="249" t="s">
        <v>1079</v>
      </c>
      <c r="C28" s="249" t="s">
        <v>1080</v>
      </c>
      <c r="D28" s="249" t="s">
        <v>1081</v>
      </c>
      <c r="E28" s="249" t="s">
        <v>1082</v>
      </c>
      <c r="F28" s="249" t="s">
        <v>16</v>
      </c>
      <c r="G28" s="253" t="s">
        <v>759</v>
      </c>
      <c r="H28" s="249" t="s">
        <v>143</v>
      </c>
      <c r="I28" s="249" t="s">
        <v>1016</v>
      </c>
      <c r="J28" s="249" t="s">
        <v>1083</v>
      </c>
      <c r="K28" s="249" t="s">
        <v>1084</v>
      </c>
      <c r="L28" s="109" t="s">
        <v>42</v>
      </c>
    </row>
    <row r="29" spans="1:12" ht="12.75">
      <c r="A29" s="52" t="s">
        <v>732</v>
      </c>
      <c r="B29" s="255" t="s">
        <v>1085</v>
      </c>
      <c r="C29" s="255" t="s">
        <v>1086</v>
      </c>
      <c r="D29" s="255" t="s">
        <v>1087</v>
      </c>
      <c r="E29" s="255" t="s">
        <v>1088</v>
      </c>
      <c r="F29" s="255" t="s">
        <v>722</v>
      </c>
      <c r="G29" s="256" t="s">
        <v>897</v>
      </c>
      <c r="H29" s="255" t="s">
        <v>415</v>
      </c>
      <c r="I29" s="255" t="s">
        <v>1089</v>
      </c>
      <c r="J29" s="255" t="s">
        <v>1090</v>
      </c>
      <c r="K29" s="255" t="s">
        <v>1091</v>
      </c>
      <c r="L29" s="118" t="s">
        <v>42</v>
      </c>
    </row>
    <row r="30" spans="1:12" ht="12.75">
      <c r="A30" s="4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9"/>
    </row>
    <row r="31" spans="1:12" ht="15.75">
      <c r="A31" s="46"/>
      <c r="B31" s="252" t="s">
        <v>84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9"/>
    </row>
    <row r="32" spans="1:12" ht="12.75">
      <c r="A32" s="51" t="s">
        <v>729</v>
      </c>
      <c r="B32" s="254" t="s">
        <v>889</v>
      </c>
      <c r="C32" s="254" t="s">
        <v>1092</v>
      </c>
      <c r="D32" s="254" t="s">
        <v>1093</v>
      </c>
      <c r="E32" s="254" t="s">
        <v>1094</v>
      </c>
      <c r="F32" s="254" t="s">
        <v>16</v>
      </c>
      <c r="G32" s="254" t="s">
        <v>641</v>
      </c>
      <c r="H32" s="254" t="s">
        <v>202</v>
      </c>
      <c r="I32" s="254" t="s">
        <v>1095</v>
      </c>
      <c r="J32" s="254" t="s">
        <v>1096</v>
      </c>
      <c r="K32" s="254" t="s">
        <v>1097</v>
      </c>
      <c r="L32" s="106" t="s">
        <v>42</v>
      </c>
    </row>
    <row r="33" spans="1:12" ht="12.75">
      <c r="A33" s="47" t="s">
        <v>731</v>
      </c>
      <c r="B33" s="249" t="s">
        <v>1098</v>
      </c>
      <c r="C33" s="249" t="s">
        <v>1099</v>
      </c>
      <c r="D33" s="249" t="s">
        <v>1100</v>
      </c>
      <c r="E33" s="249" t="s">
        <v>1101</v>
      </c>
      <c r="F33" s="249" t="s">
        <v>1054</v>
      </c>
      <c r="G33" s="249" t="s">
        <v>1055</v>
      </c>
      <c r="H33" s="249" t="s">
        <v>202</v>
      </c>
      <c r="I33" s="249" t="s">
        <v>1102</v>
      </c>
      <c r="J33" s="249" t="s">
        <v>1103</v>
      </c>
      <c r="K33" s="249" t="s">
        <v>1104</v>
      </c>
      <c r="L33" s="109" t="s">
        <v>1059</v>
      </c>
    </row>
    <row r="34" spans="1:12" ht="12.75">
      <c r="A34" s="52" t="s">
        <v>729</v>
      </c>
      <c r="B34" s="255" t="s">
        <v>1105</v>
      </c>
      <c r="C34" s="255" t="s">
        <v>1106</v>
      </c>
      <c r="D34" s="255" t="s">
        <v>1107</v>
      </c>
      <c r="E34" s="255" t="s">
        <v>1108</v>
      </c>
      <c r="F34" s="255" t="s">
        <v>1054</v>
      </c>
      <c r="G34" s="255" t="s">
        <v>1055</v>
      </c>
      <c r="H34" s="255" t="s">
        <v>167</v>
      </c>
      <c r="I34" s="255" t="s">
        <v>1109</v>
      </c>
      <c r="J34" s="255" t="s">
        <v>1110</v>
      </c>
      <c r="K34" s="255" t="s">
        <v>1111</v>
      </c>
      <c r="L34" s="118" t="s">
        <v>1059</v>
      </c>
    </row>
    <row r="35" spans="1:12" ht="12.75">
      <c r="A35" s="4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9"/>
    </row>
    <row r="36" spans="1:12" ht="12.75">
      <c r="A36" s="4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9"/>
    </row>
    <row r="37" spans="1:12" ht="18">
      <c r="A37" s="57"/>
      <c r="B37" s="257" t="s">
        <v>100</v>
      </c>
      <c r="C37" s="258"/>
      <c r="D37" s="229"/>
      <c r="E37" s="229"/>
      <c r="F37" s="229"/>
      <c r="G37" s="229"/>
      <c r="H37" s="229"/>
      <c r="I37" s="229"/>
      <c r="J37" s="229"/>
      <c r="K37" s="229"/>
      <c r="L37" s="29"/>
    </row>
    <row r="38" spans="1:12" ht="15.75">
      <c r="A38" s="58"/>
      <c r="B38" s="259" t="s">
        <v>101</v>
      </c>
      <c r="C38" s="260"/>
      <c r="D38" s="229"/>
      <c r="E38" s="229"/>
      <c r="F38" s="229"/>
      <c r="G38" s="229"/>
      <c r="H38" s="229"/>
      <c r="I38" s="229"/>
      <c r="J38" s="229"/>
      <c r="K38" s="229"/>
      <c r="L38" s="29"/>
    </row>
    <row r="39" spans="1:12" ht="13.5">
      <c r="A39" s="59"/>
      <c r="B39" s="261" t="s">
        <v>108</v>
      </c>
      <c r="C39" s="262"/>
      <c r="D39" s="229"/>
      <c r="E39" s="229"/>
      <c r="F39" s="229"/>
      <c r="G39" s="229"/>
      <c r="H39" s="229"/>
      <c r="I39" s="229"/>
      <c r="J39" s="229"/>
      <c r="K39" s="229"/>
      <c r="L39" s="29"/>
    </row>
    <row r="40" spans="1:12" ht="13.5">
      <c r="A40" s="43"/>
      <c r="B40" s="263" t="s">
        <v>102</v>
      </c>
      <c r="C40" s="263" t="s">
        <v>103</v>
      </c>
      <c r="D40" s="263" t="s">
        <v>104</v>
      </c>
      <c r="E40" s="263" t="s">
        <v>1002</v>
      </c>
      <c r="F40" s="263" t="s">
        <v>979</v>
      </c>
      <c r="G40" s="229"/>
      <c r="H40" s="229"/>
      <c r="I40" s="229"/>
      <c r="J40" s="229"/>
      <c r="K40" s="229"/>
      <c r="L40" s="29"/>
    </row>
    <row r="41" spans="1:12" ht="12.75">
      <c r="A41" s="48" t="s">
        <v>729</v>
      </c>
      <c r="B41" s="223" t="s">
        <v>1060</v>
      </c>
      <c r="C41" s="251" t="s">
        <v>108</v>
      </c>
      <c r="D41" s="251" t="s">
        <v>107</v>
      </c>
      <c r="E41" s="251" t="s">
        <v>1112</v>
      </c>
      <c r="F41" s="230" t="s">
        <v>1067</v>
      </c>
      <c r="G41" s="229"/>
      <c r="H41" s="229"/>
      <c r="I41" s="229"/>
      <c r="J41" s="229"/>
      <c r="K41" s="229"/>
      <c r="L41" s="29"/>
    </row>
    <row r="42" spans="1:12" ht="12.75">
      <c r="A42" s="48" t="s">
        <v>731</v>
      </c>
      <c r="B42" s="223" t="s">
        <v>1069</v>
      </c>
      <c r="C42" s="251" t="s">
        <v>108</v>
      </c>
      <c r="D42" s="251" t="s">
        <v>107</v>
      </c>
      <c r="E42" s="251" t="s">
        <v>1073</v>
      </c>
      <c r="F42" s="230" t="s">
        <v>1074</v>
      </c>
      <c r="G42" s="229"/>
      <c r="H42" s="229"/>
      <c r="I42" s="229"/>
      <c r="J42" s="229"/>
      <c r="K42" s="229"/>
      <c r="L42" s="29"/>
    </row>
    <row r="43" spans="1:12" ht="12.75">
      <c r="A43" s="48" t="s">
        <v>732</v>
      </c>
      <c r="B43" s="223" t="s">
        <v>1075</v>
      </c>
      <c r="C43" s="251" t="s">
        <v>108</v>
      </c>
      <c r="D43" s="251" t="s">
        <v>112</v>
      </c>
      <c r="E43" s="1" t="s">
        <v>1313</v>
      </c>
      <c r="F43" s="45" t="s">
        <v>1314</v>
      </c>
      <c r="G43" s="229"/>
      <c r="H43" s="229"/>
      <c r="I43" s="229"/>
      <c r="J43" s="229"/>
      <c r="K43" s="229"/>
      <c r="L43" s="29"/>
    </row>
    <row r="44" spans="1:12" ht="12.75">
      <c r="A44" s="48"/>
      <c r="B44" s="41" t="s">
        <v>1028</v>
      </c>
      <c r="C44" s="83" t="s">
        <v>108</v>
      </c>
      <c r="D44" s="83" t="s">
        <v>980</v>
      </c>
      <c r="E44" s="83" t="s">
        <v>1032</v>
      </c>
      <c r="F44" s="48" t="s">
        <v>1033</v>
      </c>
      <c r="G44" s="29"/>
      <c r="H44" s="29"/>
      <c r="I44" s="29"/>
      <c r="J44" s="29"/>
      <c r="K44" s="29"/>
      <c r="L44" s="29"/>
    </row>
    <row r="45" spans="1:12" ht="12.75">
      <c r="A45" s="48"/>
      <c r="B45" s="41" t="s">
        <v>1050</v>
      </c>
      <c r="C45" s="83" t="s">
        <v>108</v>
      </c>
      <c r="D45" s="83" t="s">
        <v>981</v>
      </c>
      <c r="E45" s="83" t="s">
        <v>1057</v>
      </c>
      <c r="F45" s="48" t="s">
        <v>1058</v>
      </c>
      <c r="G45" s="29"/>
      <c r="H45" s="29"/>
      <c r="I45" s="29"/>
      <c r="J45" s="29"/>
      <c r="K45" s="29"/>
      <c r="L45" s="29"/>
    </row>
    <row r="46" spans="1:12" ht="12.75">
      <c r="A46" s="48"/>
      <c r="B46" s="41" t="s">
        <v>889</v>
      </c>
      <c r="C46" s="83" t="s">
        <v>108</v>
      </c>
      <c r="D46" s="83" t="s">
        <v>118</v>
      </c>
      <c r="E46" s="83" t="s">
        <v>1113</v>
      </c>
      <c r="F46" s="48" t="s">
        <v>1097</v>
      </c>
      <c r="G46" s="29"/>
      <c r="H46" s="29"/>
      <c r="I46" s="29"/>
      <c r="J46" s="29"/>
      <c r="K46" s="29"/>
      <c r="L46" s="29"/>
    </row>
    <row r="47" spans="1:12" ht="12.75">
      <c r="A47" s="48"/>
      <c r="B47" s="41" t="s">
        <v>1079</v>
      </c>
      <c r="C47" s="83" t="s">
        <v>108</v>
      </c>
      <c r="D47" s="83" t="s">
        <v>112</v>
      </c>
      <c r="E47" s="83" t="s">
        <v>1114</v>
      </c>
      <c r="F47" s="48" t="s">
        <v>1084</v>
      </c>
      <c r="G47" s="29"/>
      <c r="H47" s="29"/>
      <c r="I47" s="29"/>
      <c r="J47" s="29"/>
      <c r="K47" s="29"/>
      <c r="L47" s="29"/>
    </row>
    <row r="48" spans="1:12" ht="12.75">
      <c r="A48" s="48"/>
      <c r="B48" s="41" t="s">
        <v>1085</v>
      </c>
      <c r="C48" s="83" t="s">
        <v>108</v>
      </c>
      <c r="D48" s="83" t="s">
        <v>112</v>
      </c>
      <c r="E48" s="83" t="s">
        <v>1090</v>
      </c>
      <c r="F48" s="48" t="s">
        <v>1091</v>
      </c>
      <c r="G48" s="29"/>
      <c r="H48" s="29"/>
      <c r="I48" s="29"/>
      <c r="J48" s="29"/>
      <c r="K48" s="29"/>
      <c r="L48" s="29"/>
    </row>
    <row r="49" spans="1:12" ht="12.75">
      <c r="A49" s="48"/>
      <c r="B49" s="41" t="s">
        <v>1098</v>
      </c>
      <c r="C49" s="83" t="s">
        <v>108</v>
      </c>
      <c r="D49" s="83" t="s">
        <v>118</v>
      </c>
      <c r="E49" s="83" t="s">
        <v>1115</v>
      </c>
      <c r="F49" s="48" t="s">
        <v>1104</v>
      </c>
      <c r="G49" s="29"/>
      <c r="H49" s="29"/>
      <c r="I49" s="29"/>
      <c r="J49" s="29"/>
      <c r="K49" s="29"/>
      <c r="L49" s="29"/>
    </row>
    <row r="50" spans="1:12" ht="12.75">
      <c r="A50" s="4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4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4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4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4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4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4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</sheetData>
  <sheetProtection/>
  <mergeCells count="22">
    <mergeCell ref="B12:K12"/>
    <mergeCell ref="B15:K15"/>
    <mergeCell ref="B19:K19"/>
    <mergeCell ref="B22:K22"/>
    <mergeCell ref="B26:K26"/>
    <mergeCell ref="B31:K31"/>
    <mergeCell ref="H4:I4"/>
    <mergeCell ref="J4:J5"/>
    <mergeCell ref="K4:K5"/>
    <mergeCell ref="L4:L5"/>
    <mergeCell ref="B6:K6"/>
    <mergeCell ref="B9:K9"/>
    <mergeCell ref="A1:A2"/>
    <mergeCell ref="B1:L1"/>
    <mergeCell ref="B2:L2"/>
    <mergeCell ref="B3:L3"/>
    <mergeCell ref="A4:A5"/>
    <mergeCell ref="B4:B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7" sqref="B7:K10"/>
    </sheetView>
  </sheetViews>
  <sheetFormatPr defaultColWidth="11.00390625" defaultRowHeight="12.75"/>
  <cols>
    <col min="1" max="1" width="7.625" style="0" customWidth="1"/>
    <col min="2" max="2" width="24.125" style="0" customWidth="1"/>
    <col min="3" max="3" width="21.875" style="0" customWidth="1"/>
    <col min="7" max="7" width="26.625" style="0" customWidth="1"/>
    <col min="12" max="12" width="18.625" style="0" customWidth="1"/>
  </cols>
  <sheetData>
    <row r="1" spans="1:12" ht="57.75" customHeight="1">
      <c r="A1" s="176"/>
      <c r="B1" s="165" t="s">
        <v>1001</v>
      </c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28.5">
      <c r="A2" s="17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69"/>
    </row>
    <row r="3" spans="1:12" ht="34.5" customHeight="1" thickBot="1">
      <c r="A3" s="48"/>
      <c r="B3" s="168" t="s">
        <v>910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2" ht="13.5">
      <c r="A4" s="154" t="s">
        <v>728</v>
      </c>
      <c r="B4" s="158" t="s">
        <v>0</v>
      </c>
      <c r="C4" s="104" t="s">
        <v>911</v>
      </c>
      <c r="D4" s="156" t="s">
        <v>733</v>
      </c>
      <c r="E4" s="158" t="s">
        <v>913</v>
      </c>
      <c r="F4" s="158" t="s">
        <v>7</v>
      </c>
      <c r="G4" s="158" t="s">
        <v>758</v>
      </c>
      <c r="H4" s="187" t="s">
        <v>2</v>
      </c>
      <c r="I4" s="189"/>
      <c r="J4" s="158" t="s">
        <v>1002</v>
      </c>
      <c r="K4" s="158" t="s">
        <v>6</v>
      </c>
      <c r="L4" s="160" t="s">
        <v>5</v>
      </c>
    </row>
    <row r="5" spans="1:12" ht="15" thickBot="1">
      <c r="A5" s="155"/>
      <c r="B5" s="159"/>
      <c r="C5" s="103" t="s">
        <v>912</v>
      </c>
      <c r="D5" s="157"/>
      <c r="E5" s="159"/>
      <c r="F5" s="159"/>
      <c r="G5" s="159"/>
      <c r="H5" s="126" t="s">
        <v>1003</v>
      </c>
      <c r="I5" s="126" t="s">
        <v>1004</v>
      </c>
      <c r="J5" s="159"/>
      <c r="K5" s="159"/>
      <c r="L5" s="161"/>
    </row>
    <row r="6" spans="1:12" ht="15.75">
      <c r="A6" s="46"/>
      <c r="B6" s="153" t="s">
        <v>284</v>
      </c>
      <c r="C6" s="153"/>
      <c r="D6" s="153"/>
      <c r="E6" s="153"/>
      <c r="F6" s="153"/>
      <c r="G6" s="153"/>
      <c r="H6" s="153"/>
      <c r="I6" s="153"/>
      <c r="J6" s="153"/>
      <c r="K6" s="153"/>
      <c r="L6" s="29"/>
    </row>
    <row r="7" spans="1:12" ht="12.75">
      <c r="A7" s="47" t="s">
        <v>729</v>
      </c>
      <c r="B7" s="249" t="s">
        <v>637</v>
      </c>
      <c r="C7" s="249" t="s">
        <v>1005</v>
      </c>
      <c r="D7" s="249" t="s">
        <v>639</v>
      </c>
      <c r="E7" s="249" t="s">
        <v>1006</v>
      </c>
      <c r="F7" s="249" t="s">
        <v>640</v>
      </c>
      <c r="G7" s="249" t="s">
        <v>641</v>
      </c>
      <c r="H7" s="250" t="s">
        <v>1007</v>
      </c>
      <c r="I7" s="250" t="s">
        <v>278</v>
      </c>
      <c r="J7" s="250" t="s">
        <v>1008</v>
      </c>
      <c r="K7" s="249" t="s">
        <v>1009</v>
      </c>
      <c r="L7" s="109" t="s">
        <v>1010</v>
      </c>
    </row>
    <row r="8" spans="1:12" ht="12.75">
      <c r="A8" s="48"/>
      <c r="B8" s="229"/>
      <c r="C8" s="229"/>
      <c r="D8" s="229"/>
      <c r="E8" s="229"/>
      <c r="F8" s="229"/>
      <c r="G8" s="229"/>
      <c r="H8" s="251"/>
      <c r="I8" s="251"/>
      <c r="J8" s="251"/>
      <c r="K8" s="229"/>
      <c r="L8" s="29"/>
    </row>
    <row r="9" spans="1:12" ht="15.75">
      <c r="A9" s="46"/>
      <c r="B9" s="252" t="s">
        <v>197</v>
      </c>
      <c r="C9" s="252"/>
      <c r="D9" s="252"/>
      <c r="E9" s="252"/>
      <c r="F9" s="252"/>
      <c r="G9" s="252"/>
      <c r="H9" s="252"/>
      <c r="I9" s="252"/>
      <c r="J9" s="252"/>
      <c r="K9" s="252"/>
      <c r="L9" s="29"/>
    </row>
    <row r="10" spans="1:12" ht="12.75">
      <c r="A10" s="47" t="s">
        <v>729</v>
      </c>
      <c r="B10" s="249" t="s">
        <v>1011</v>
      </c>
      <c r="C10" s="249" t="s">
        <v>1012</v>
      </c>
      <c r="D10" s="249" t="s">
        <v>1013</v>
      </c>
      <c r="E10" s="249" t="s">
        <v>1014</v>
      </c>
      <c r="F10" s="249" t="s">
        <v>16</v>
      </c>
      <c r="G10" s="249" t="s">
        <v>1015</v>
      </c>
      <c r="H10" s="250" t="s">
        <v>1016</v>
      </c>
      <c r="I10" s="250" t="s">
        <v>1017</v>
      </c>
      <c r="J10" s="250" t="s">
        <v>1018</v>
      </c>
      <c r="K10" s="249" t="s">
        <v>1019</v>
      </c>
      <c r="L10" s="109" t="s">
        <v>1020</v>
      </c>
    </row>
    <row r="11" spans="1:12" ht="12.75">
      <c r="A11" s="48"/>
      <c r="B11" s="29"/>
      <c r="C11" s="29"/>
      <c r="D11" s="29"/>
      <c r="E11" s="29"/>
      <c r="F11" s="29"/>
      <c r="G11" s="29"/>
      <c r="H11" s="83"/>
      <c r="I11" s="83"/>
      <c r="J11" s="83"/>
      <c r="K11" s="29"/>
      <c r="L11" s="29"/>
    </row>
    <row r="12" spans="1:12" ht="12.75">
      <c r="A12" s="48"/>
      <c r="B12" s="29"/>
      <c r="C12" s="29"/>
      <c r="D12" s="29"/>
      <c r="E12" s="29"/>
      <c r="F12" s="29"/>
      <c r="G12" s="29"/>
      <c r="H12" s="83"/>
      <c r="I12" s="83"/>
      <c r="J12" s="83"/>
      <c r="K12" s="29"/>
      <c r="L12" s="29"/>
    </row>
    <row r="13" spans="1:12" ht="12.75">
      <c r="A13" s="48"/>
      <c r="B13" s="29"/>
      <c r="C13" s="29"/>
      <c r="D13" s="29"/>
      <c r="E13" s="29"/>
      <c r="F13" s="29"/>
      <c r="G13" s="29"/>
      <c r="H13" s="83"/>
      <c r="I13" s="83"/>
      <c r="J13" s="83"/>
      <c r="K13" s="29"/>
      <c r="L13" s="29"/>
    </row>
    <row r="14" spans="1:12" ht="12.75">
      <c r="A14" s="48"/>
      <c r="B14" s="29"/>
      <c r="C14" s="29"/>
      <c r="D14" s="29"/>
      <c r="E14" s="29"/>
      <c r="F14" s="29"/>
      <c r="G14" s="29"/>
      <c r="H14" s="83"/>
      <c r="I14" s="83"/>
      <c r="J14" s="83"/>
      <c r="K14" s="29"/>
      <c r="L14" s="29"/>
    </row>
    <row r="15" spans="1:12" ht="12.75">
      <c r="A15" s="48"/>
      <c r="B15" s="29"/>
      <c r="C15" s="29"/>
      <c r="D15" s="29"/>
      <c r="E15" s="29"/>
      <c r="F15" s="29"/>
      <c r="G15" s="29"/>
      <c r="H15" s="83"/>
      <c r="I15" s="83"/>
      <c r="J15" s="83"/>
      <c r="K15" s="29"/>
      <c r="L15" s="29"/>
    </row>
    <row r="16" spans="1:12" ht="12.75">
      <c r="A16" s="48"/>
      <c r="B16" s="29"/>
      <c r="C16" s="29"/>
      <c r="D16" s="29"/>
      <c r="E16" s="29"/>
      <c r="F16" s="29"/>
      <c r="G16" s="29"/>
      <c r="H16" s="83"/>
      <c r="I16" s="83"/>
      <c r="J16" s="83"/>
      <c r="K16" s="29"/>
      <c r="L16" s="29"/>
    </row>
    <row r="17" spans="1:12" ht="12.75">
      <c r="A17" s="48"/>
      <c r="B17" s="29"/>
      <c r="C17" s="29"/>
      <c r="D17" s="29"/>
      <c r="E17" s="29"/>
      <c r="F17" s="29"/>
      <c r="G17" s="29"/>
      <c r="H17" s="83"/>
      <c r="I17" s="83"/>
      <c r="J17" s="83"/>
      <c r="K17" s="29"/>
      <c r="L17" s="29"/>
    </row>
    <row r="18" spans="1:12" ht="12.75">
      <c r="A18" s="48"/>
      <c r="B18" s="29"/>
      <c r="C18" s="29"/>
      <c r="D18" s="29"/>
      <c r="E18" s="29"/>
      <c r="F18" s="29"/>
      <c r="G18" s="29"/>
      <c r="H18" s="83"/>
      <c r="I18" s="83"/>
      <c r="J18" s="83"/>
      <c r="K18" s="29"/>
      <c r="L18" s="29"/>
    </row>
    <row r="19" spans="1:12" ht="12.75">
      <c r="A19" s="48"/>
      <c r="B19" s="29"/>
      <c r="C19" s="29"/>
      <c r="D19" s="29"/>
      <c r="E19" s="29"/>
      <c r="F19" s="29"/>
      <c r="G19" s="29"/>
      <c r="H19" s="83"/>
      <c r="I19" s="83"/>
      <c r="J19" s="83"/>
      <c r="K19" s="29"/>
      <c r="L19" s="29"/>
    </row>
    <row r="20" spans="1:12" ht="12.75">
      <c r="A20" s="48"/>
      <c r="B20" s="29"/>
      <c r="C20" s="29"/>
      <c r="D20" s="29"/>
      <c r="E20" s="29"/>
      <c r="F20" s="29"/>
      <c r="G20" s="29"/>
      <c r="H20" s="83"/>
      <c r="I20" s="83"/>
      <c r="J20" s="83"/>
      <c r="K20" s="29"/>
      <c r="L20" s="29"/>
    </row>
    <row r="21" spans="1:12" ht="12.75">
      <c r="A21" s="48"/>
      <c r="B21" s="29"/>
      <c r="C21" s="29"/>
      <c r="D21" s="29"/>
      <c r="E21" s="29"/>
      <c r="F21" s="29"/>
      <c r="G21" s="29"/>
      <c r="H21" s="83"/>
      <c r="I21" s="83"/>
      <c r="J21" s="83"/>
      <c r="K21" s="29"/>
      <c r="L21" s="29"/>
    </row>
    <row r="22" spans="1:12" ht="12.75">
      <c r="A22" s="48"/>
      <c r="B22" s="29"/>
      <c r="C22" s="29"/>
      <c r="D22" s="29"/>
      <c r="E22" s="29"/>
      <c r="F22" s="29"/>
      <c r="G22" s="29"/>
      <c r="H22" s="83"/>
      <c r="I22" s="83"/>
      <c r="J22" s="83"/>
      <c r="K22" s="29"/>
      <c r="L22" s="29"/>
    </row>
  </sheetData>
  <sheetProtection/>
  <mergeCells count="16">
    <mergeCell ref="H4:I4"/>
    <mergeCell ref="J4:J5"/>
    <mergeCell ref="K4:K5"/>
    <mergeCell ref="L4:L5"/>
    <mergeCell ref="B6:K6"/>
    <mergeCell ref="B9:K9"/>
    <mergeCell ref="A1:A2"/>
    <mergeCell ref="B1:L1"/>
    <mergeCell ref="B2:L2"/>
    <mergeCell ref="B3:L3"/>
    <mergeCell ref="A4:A5"/>
    <mergeCell ref="B4:B5"/>
    <mergeCell ref="D4:D5"/>
    <mergeCell ref="E4:E5"/>
    <mergeCell ref="F4:F5"/>
    <mergeCell ref="G4:G5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3">
      <selection activeCell="A6" sqref="A6:N12"/>
    </sheetView>
  </sheetViews>
  <sheetFormatPr defaultColWidth="8.75390625" defaultRowHeight="12.75"/>
  <cols>
    <col min="1" max="1" width="7.00390625" style="48" customWidth="1"/>
    <col min="2" max="2" width="24.00390625" style="29" customWidth="1"/>
    <col min="3" max="3" width="26.00390625" style="29" bestFit="1" customWidth="1"/>
    <col min="4" max="4" width="9.75390625" style="29" customWidth="1"/>
    <col min="5" max="5" width="8.375" style="29" bestFit="1" customWidth="1"/>
    <col min="6" max="6" width="18.625" style="29" customWidth="1"/>
    <col min="7" max="7" width="28.125" style="29" bestFit="1" customWidth="1"/>
    <col min="8" max="10" width="5.625" style="29" bestFit="1" customWidth="1"/>
    <col min="11" max="11" width="4.625" style="29" bestFit="1" customWidth="1"/>
    <col min="12" max="12" width="12.00390625" style="48" customWidth="1"/>
    <col min="13" max="13" width="8.625" style="29" bestFit="1" customWidth="1"/>
    <col min="14" max="14" width="17.375" style="29" bestFit="1" customWidth="1"/>
  </cols>
  <sheetData>
    <row r="1" spans="1:14" s="1" customFormat="1" ht="15" customHeight="1">
      <c r="A1" s="45"/>
      <c r="B1" s="194" t="s">
        <v>867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08.7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153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124" t="s">
        <v>729</v>
      </c>
      <c r="B6" s="225" t="s">
        <v>626</v>
      </c>
      <c r="C6" s="225" t="s">
        <v>627</v>
      </c>
      <c r="D6" s="225" t="s">
        <v>628</v>
      </c>
      <c r="E6" s="225" t="str">
        <f>"1,4600"</f>
        <v>1,4600</v>
      </c>
      <c r="F6" s="225" t="s">
        <v>16</v>
      </c>
      <c r="G6" s="225" t="s">
        <v>629</v>
      </c>
      <c r="H6" s="226" t="s">
        <v>159</v>
      </c>
      <c r="I6" s="227" t="s">
        <v>162</v>
      </c>
      <c r="J6" s="227" t="s">
        <v>162</v>
      </c>
      <c r="K6" s="228"/>
      <c r="L6" s="124" t="s">
        <v>868</v>
      </c>
      <c r="M6" s="225" t="str">
        <f>"160,6000"</f>
        <v>160,6000</v>
      </c>
      <c r="N6" s="225" t="s">
        <v>630</v>
      </c>
    </row>
    <row r="7" spans="1:14" ht="12.75">
      <c r="A7" s="230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29"/>
      <c r="N7" s="229"/>
    </row>
    <row r="8" spans="1:14" ht="15.75">
      <c r="A8" s="248"/>
      <c r="B8" s="224" t="s">
        <v>54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9"/>
    </row>
    <row r="9" spans="1:14" ht="12.75">
      <c r="A9" s="124" t="s">
        <v>729</v>
      </c>
      <c r="B9" s="225" t="s">
        <v>631</v>
      </c>
      <c r="C9" s="225" t="s">
        <v>632</v>
      </c>
      <c r="D9" s="225" t="s">
        <v>633</v>
      </c>
      <c r="E9" s="225" t="str">
        <f>"0,9854"</f>
        <v>0,9854</v>
      </c>
      <c r="F9" s="225" t="s">
        <v>16</v>
      </c>
      <c r="G9" s="225" t="s">
        <v>629</v>
      </c>
      <c r="H9" s="226" t="s">
        <v>138</v>
      </c>
      <c r="I9" s="226" t="s">
        <v>176</v>
      </c>
      <c r="J9" s="227" t="s">
        <v>144</v>
      </c>
      <c r="K9" s="228"/>
      <c r="L9" s="124" t="s">
        <v>844</v>
      </c>
      <c r="M9" s="225" t="str">
        <f>"93,6130"</f>
        <v>93,6130</v>
      </c>
      <c r="N9" s="225" t="s">
        <v>630</v>
      </c>
    </row>
    <row r="10" spans="1:14" ht="12.75">
      <c r="A10" s="230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229"/>
      <c r="N10" s="229"/>
    </row>
    <row r="11" spans="1:14" ht="15.75">
      <c r="A11" s="248"/>
      <c r="B11" s="224" t="s">
        <v>91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9"/>
    </row>
    <row r="12" spans="1:14" ht="12.75">
      <c r="A12" s="124" t="s">
        <v>729</v>
      </c>
      <c r="B12" s="225" t="s">
        <v>540</v>
      </c>
      <c r="C12" s="225" t="s">
        <v>541</v>
      </c>
      <c r="D12" s="225" t="s">
        <v>542</v>
      </c>
      <c r="E12" s="225" t="str">
        <f>"0,8430"</f>
        <v>0,8430</v>
      </c>
      <c r="F12" s="225" t="s">
        <v>16</v>
      </c>
      <c r="G12" s="225" t="s">
        <v>759</v>
      </c>
      <c r="H12" s="226" t="s">
        <v>30</v>
      </c>
      <c r="I12" s="226" t="s">
        <v>467</v>
      </c>
      <c r="J12" s="227" t="s">
        <v>24</v>
      </c>
      <c r="K12" s="228"/>
      <c r="L12" s="124" t="s">
        <v>986</v>
      </c>
      <c r="M12" s="225" t="str">
        <f>"162,2775"</f>
        <v>162,2775</v>
      </c>
      <c r="N12" s="225" t="s">
        <v>42</v>
      </c>
    </row>
  </sheetData>
  <sheetProtection/>
  <mergeCells count="15"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6.375" style="48" customWidth="1"/>
    <col min="2" max="2" width="22.75390625" style="29" customWidth="1"/>
    <col min="3" max="3" width="26.25390625" style="29" customWidth="1"/>
    <col min="4" max="4" width="12.25390625" style="29" bestFit="1" customWidth="1"/>
    <col min="5" max="5" width="8.375" style="29" bestFit="1" customWidth="1"/>
    <col min="6" max="6" width="22.75390625" style="29" bestFit="1" customWidth="1"/>
    <col min="7" max="7" width="27.00390625" style="29" customWidth="1"/>
    <col min="8" max="10" width="5.625" style="29" bestFit="1" customWidth="1"/>
    <col min="11" max="11" width="4.625" style="29" bestFit="1" customWidth="1"/>
    <col min="12" max="12" width="11.75390625" style="48" customWidth="1"/>
    <col min="13" max="13" width="8.625" style="29" bestFit="1" customWidth="1"/>
    <col min="14" max="14" width="17.375" style="29" customWidth="1"/>
  </cols>
  <sheetData>
    <row r="1" spans="1:14" s="1" customFormat="1" ht="15" customHeight="1">
      <c r="A1" s="45"/>
      <c r="B1" s="194" t="s">
        <v>866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0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76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47" t="s">
        <v>729</v>
      </c>
      <c r="B6" s="30" t="s">
        <v>623</v>
      </c>
      <c r="C6" s="30" t="s">
        <v>624</v>
      </c>
      <c r="D6" s="30" t="s">
        <v>625</v>
      </c>
      <c r="E6" s="30" t="str">
        <f>"0,8920"</f>
        <v>0,8920</v>
      </c>
      <c r="F6" s="30" t="s">
        <v>16</v>
      </c>
      <c r="G6" s="30" t="s">
        <v>759</v>
      </c>
      <c r="H6" s="50" t="s">
        <v>80</v>
      </c>
      <c r="I6" s="49" t="s">
        <v>53</v>
      </c>
      <c r="J6" s="49" t="s">
        <v>53</v>
      </c>
      <c r="K6" s="31"/>
      <c r="L6" s="47" t="s">
        <v>861</v>
      </c>
      <c r="M6" s="30" t="str">
        <f>"223,0000"</f>
        <v>223,0000</v>
      </c>
      <c r="N6" s="30" t="s">
        <v>42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L6" sqref="L6"/>
    </sheetView>
  </sheetViews>
  <sheetFormatPr defaultColWidth="8.75390625" defaultRowHeight="12.75"/>
  <cols>
    <col min="1" max="1" width="7.25390625" style="29" customWidth="1"/>
    <col min="2" max="2" width="23.125" style="29" customWidth="1"/>
    <col min="3" max="3" width="26.875" style="29" bestFit="1" customWidth="1"/>
    <col min="4" max="4" width="12.25390625" style="29" bestFit="1" customWidth="1"/>
    <col min="5" max="5" width="6.625" style="29" bestFit="1" customWidth="1"/>
    <col min="6" max="6" width="22.75390625" style="29" bestFit="1" customWidth="1"/>
    <col min="7" max="7" width="24.875" style="29" customWidth="1"/>
    <col min="8" max="10" width="5.625" style="29" bestFit="1" customWidth="1"/>
    <col min="11" max="11" width="4.625" style="29" bestFit="1" customWidth="1"/>
    <col min="12" max="12" width="13.00390625" style="48" customWidth="1"/>
    <col min="13" max="13" width="6.625" style="29" bestFit="1" customWidth="1"/>
    <col min="14" max="14" width="15.625" style="29" bestFit="1" customWidth="1"/>
  </cols>
  <sheetData>
    <row r="1" spans="2:14" s="1" customFormat="1" ht="15" customHeight="1">
      <c r="B1" s="194" t="s">
        <v>865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2:14" s="1" customFormat="1" ht="106.5" customHeight="1" thickBo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/>
      <c r="B5" s="207" t="s">
        <v>76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32"/>
      <c r="B6" s="32" t="s">
        <v>611</v>
      </c>
      <c r="C6" s="32" t="s">
        <v>612</v>
      </c>
      <c r="D6" s="32" t="s">
        <v>598</v>
      </c>
      <c r="E6" s="32" t="str">
        <f>"0,8850"</f>
        <v>0,8850</v>
      </c>
      <c r="F6" s="32" t="s">
        <v>16</v>
      </c>
      <c r="G6" s="32" t="s">
        <v>759</v>
      </c>
      <c r="H6" s="54" t="s">
        <v>228</v>
      </c>
      <c r="I6" s="54" t="s">
        <v>613</v>
      </c>
      <c r="J6" s="54" t="s">
        <v>614</v>
      </c>
      <c r="K6" s="33"/>
      <c r="L6" s="92" t="s">
        <v>82</v>
      </c>
      <c r="M6" s="32" t="str">
        <f>"0,0000"</f>
        <v>0,0000</v>
      </c>
      <c r="N6" s="32" t="s">
        <v>42</v>
      </c>
    </row>
    <row r="7" spans="1:14" ht="12.75">
      <c r="A7" s="30"/>
      <c r="B7" s="30" t="s">
        <v>615</v>
      </c>
      <c r="C7" s="30" t="s">
        <v>616</v>
      </c>
      <c r="D7" s="30" t="s">
        <v>532</v>
      </c>
      <c r="E7" s="30" t="str">
        <f>"0,8924"</f>
        <v>0,8924</v>
      </c>
      <c r="F7" s="30" t="s">
        <v>16</v>
      </c>
      <c r="G7" s="30" t="s">
        <v>617</v>
      </c>
      <c r="H7" s="49" t="s">
        <v>57</v>
      </c>
      <c r="I7" s="49" t="s">
        <v>57</v>
      </c>
      <c r="J7" s="49" t="s">
        <v>57</v>
      </c>
      <c r="K7" s="31"/>
      <c r="L7" s="84" t="s">
        <v>82</v>
      </c>
      <c r="M7" s="30" t="str">
        <f>"0,0000"</f>
        <v>0,0000</v>
      </c>
      <c r="N7" s="30" t="s">
        <v>618</v>
      </c>
    </row>
    <row r="9" spans="1:13" ht="15.75">
      <c r="A9"/>
      <c r="B9" s="191" t="s">
        <v>84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4" ht="12.75">
      <c r="A10" s="30"/>
      <c r="B10" s="30" t="s">
        <v>619</v>
      </c>
      <c r="C10" s="30" t="s">
        <v>620</v>
      </c>
      <c r="D10" s="30" t="s">
        <v>621</v>
      </c>
      <c r="E10" s="30" t="str">
        <f>"0,8810"</f>
        <v>0,8810</v>
      </c>
      <c r="F10" s="30" t="s">
        <v>16</v>
      </c>
      <c r="G10" s="30" t="s">
        <v>759</v>
      </c>
      <c r="H10" s="49" t="s">
        <v>89</v>
      </c>
      <c r="I10" s="49" t="s">
        <v>89</v>
      </c>
      <c r="J10" s="49" t="s">
        <v>89</v>
      </c>
      <c r="K10" s="31"/>
      <c r="L10" s="84" t="s">
        <v>82</v>
      </c>
      <c r="M10" s="30" t="str">
        <f>"0,0000"</f>
        <v>0,0000</v>
      </c>
      <c r="N10" s="30" t="s">
        <v>622</v>
      </c>
    </row>
  </sheetData>
  <sheetProtection/>
  <mergeCells count="14">
    <mergeCell ref="L3:L4"/>
    <mergeCell ref="M3:M4"/>
    <mergeCell ref="N3:N4"/>
    <mergeCell ref="B5:M5"/>
    <mergeCell ref="B9:M9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6" sqref="B6:M12"/>
    </sheetView>
  </sheetViews>
  <sheetFormatPr defaultColWidth="8.75390625" defaultRowHeight="12.75"/>
  <cols>
    <col min="1" max="1" width="8.25390625" style="48" customWidth="1"/>
    <col min="2" max="2" width="24.625" style="29" customWidth="1"/>
    <col min="3" max="3" width="26.25390625" style="29" customWidth="1"/>
    <col min="4" max="4" width="10.00390625" style="29" customWidth="1"/>
    <col min="5" max="5" width="8.375" style="29" bestFit="1" customWidth="1"/>
    <col min="6" max="6" width="22.75390625" style="29" bestFit="1" customWidth="1"/>
    <col min="7" max="7" width="31.25390625" style="29" customWidth="1"/>
    <col min="8" max="10" width="5.625" style="29" bestFit="1" customWidth="1"/>
    <col min="11" max="11" width="4.625" style="29" bestFit="1" customWidth="1"/>
    <col min="12" max="12" width="12.875" style="48" customWidth="1"/>
    <col min="13" max="13" width="8.625" style="29" bestFit="1" customWidth="1"/>
    <col min="14" max="14" width="17.625" style="29" bestFit="1" customWidth="1"/>
  </cols>
  <sheetData>
    <row r="1" spans="1:14" s="1" customFormat="1" ht="15" customHeight="1">
      <c r="A1" s="45"/>
      <c r="B1" s="194" t="s">
        <v>864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05.7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153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47" t="s">
        <v>729</v>
      </c>
      <c r="B6" s="225" t="s">
        <v>602</v>
      </c>
      <c r="C6" s="225" t="s">
        <v>603</v>
      </c>
      <c r="D6" s="225" t="s">
        <v>421</v>
      </c>
      <c r="E6" s="225" t="str">
        <f>"1,7878"</f>
        <v>1,7878</v>
      </c>
      <c r="F6" s="225" t="s">
        <v>221</v>
      </c>
      <c r="G6" s="225" t="s">
        <v>222</v>
      </c>
      <c r="H6" s="226" t="s">
        <v>136</v>
      </c>
      <c r="I6" s="226" t="s">
        <v>425</v>
      </c>
      <c r="J6" s="227" t="s">
        <v>255</v>
      </c>
      <c r="K6" s="228"/>
      <c r="L6" s="124" t="s">
        <v>843</v>
      </c>
      <c r="M6" s="225" t="str">
        <f>"134,0850"</f>
        <v>134,0850</v>
      </c>
      <c r="N6" s="30" t="s">
        <v>211</v>
      </c>
    </row>
    <row r="7" spans="2:13" ht="12.75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29"/>
    </row>
    <row r="8" spans="1:13" ht="15.75">
      <c r="A8" s="46"/>
      <c r="B8" s="224" t="s">
        <v>54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4" ht="12.75">
      <c r="A9" s="47" t="s">
        <v>729</v>
      </c>
      <c r="B9" s="225" t="s">
        <v>863</v>
      </c>
      <c r="C9" s="225" t="s">
        <v>185</v>
      </c>
      <c r="D9" s="225" t="s">
        <v>186</v>
      </c>
      <c r="E9" s="225" t="str">
        <f>"0,9790"</f>
        <v>0,9790</v>
      </c>
      <c r="F9" s="225" t="s">
        <v>16</v>
      </c>
      <c r="G9" s="225" t="s">
        <v>1309</v>
      </c>
      <c r="H9" s="226" t="s">
        <v>59</v>
      </c>
      <c r="I9" s="226" t="s">
        <v>29</v>
      </c>
      <c r="J9" s="227" t="s">
        <v>30</v>
      </c>
      <c r="K9" s="228"/>
      <c r="L9" s="124" t="s">
        <v>816</v>
      </c>
      <c r="M9" s="225" t="str">
        <f>"171,3250"</f>
        <v>171,3250</v>
      </c>
      <c r="N9" s="30" t="s">
        <v>187</v>
      </c>
    </row>
    <row r="10" spans="2:13" ht="12.75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229"/>
    </row>
    <row r="11" spans="1:13" ht="15.75">
      <c r="A11" s="46"/>
      <c r="B11" s="224" t="s">
        <v>76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4" ht="12.75">
      <c r="A12" s="47" t="s">
        <v>729</v>
      </c>
      <c r="B12" s="225" t="s">
        <v>862</v>
      </c>
      <c r="C12" s="225" t="s">
        <v>604</v>
      </c>
      <c r="D12" s="225" t="s">
        <v>605</v>
      </c>
      <c r="E12" s="225" t="str">
        <f>"0,9086"</f>
        <v>0,9086</v>
      </c>
      <c r="F12" s="225" t="s">
        <v>890</v>
      </c>
      <c r="G12" s="225" t="s">
        <v>606</v>
      </c>
      <c r="H12" s="227" t="s">
        <v>170</v>
      </c>
      <c r="I12" s="226" t="s">
        <v>170</v>
      </c>
      <c r="J12" s="227" t="s">
        <v>607</v>
      </c>
      <c r="K12" s="228"/>
      <c r="L12" s="124" t="s">
        <v>820</v>
      </c>
      <c r="M12" s="225" t="str">
        <f>"199,8920"</f>
        <v>199,8920</v>
      </c>
      <c r="N12" s="30" t="s">
        <v>774</v>
      </c>
    </row>
    <row r="13" spans="1:14" ht="12.75">
      <c r="A13" s="52"/>
      <c r="B13" s="34" t="s">
        <v>608</v>
      </c>
      <c r="C13" s="34" t="s">
        <v>609</v>
      </c>
      <c r="D13" s="34" t="s">
        <v>610</v>
      </c>
      <c r="E13" s="34" t="str">
        <f>"0,9018"</f>
        <v>0,9018</v>
      </c>
      <c r="F13" s="34" t="s">
        <v>16</v>
      </c>
      <c r="G13" s="30" t="s">
        <v>759</v>
      </c>
      <c r="H13" s="53" t="s">
        <v>74</v>
      </c>
      <c r="I13" s="53" t="s">
        <v>74</v>
      </c>
      <c r="J13" s="53" t="s">
        <v>74</v>
      </c>
      <c r="K13" s="35"/>
      <c r="L13" s="84" t="s">
        <v>82</v>
      </c>
      <c r="M13" s="34" t="str">
        <f>"0,0000"</f>
        <v>0,0000</v>
      </c>
      <c r="N13" s="34" t="s">
        <v>486</v>
      </c>
    </row>
  </sheetData>
  <sheetProtection/>
  <mergeCells count="15"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5" sqref="B5:M15"/>
    </sheetView>
  </sheetViews>
  <sheetFormatPr defaultColWidth="8.75390625" defaultRowHeight="12.75"/>
  <cols>
    <col min="1" max="1" width="9.125" style="48" customWidth="1"/>
    <col min="2" max="2" width="23.00390625" style="29" customWidth="1"/>
    <col min="3" max="3" width="26.875" style="29" bestFit="1" customWidth="1"/>
    <col min="4" max="4" width="10.375" style="29" customWidth="1"/>
    <col min="5" max="5" width="8.375" style="29" bestFit="1" customWidth="1"/>
    <col min="6" max="6" width="15.75390625" style="29" customWidth="1"/>
    <col min="7" max="7" width="29.00390625" style="29" bestFit="1" customWidth="1"/>
    <col min="8" max="10" width="5.625" style="29" bestFit="1" customWidth="1"/>
    <col min="11" max="11" width="4.625" style="29" bestFit="1" customWidth="1"/>
    <col min="12" max="12" width="12.375" style="48" customWidth="1"/>
    <col min="13" max="13" width="8.625" style="29" bestFit="1" customWidth="1"/>
    <col min="14" max="14" width="22.125" style="29" bestFit="1" customWidth="1"/>
  </cols>
  <sheetData>
    <row r="1" spans="1:14" s="1" customFormat="1" ht="15" customHeight="1">
      <c r="A1" s="45"/>
      <c r="B1" s="194" t="s">
        <v>859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05.7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14" t="s">
        <v>34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4" ht="12.75">
      <c r="A6" s="47" t="s">
        <v>729</v>
      </c>
      <c r="B6" s="225" t="s">
        <v>587</v>
      </c>
      <c r="C6" s="225" t="s">
        <v>588</v>
      </c>
      <c r="D6" s="225" t="s">
        <v>589</v>
      </c>
      <c r="E6" s="225" t="str">
        <f>"1,0360"</f>
        <v>1,0360</v>
      </c>
      <c r="F6" s="225" t="s">
        <v>272</v>
      </c>
      <c r="G6" s="225" t="s">
        <v>273</v>
      </c>
      <c r="H6" s="226" t="s">
        <v>31</v>
      </c>
      <c r="I6" s="227" t="s">
        <v>47</v>
      </c>
      <c r="J6" s="227" t="s">
        <v>47</v>
      </c>
      <c r="K6" s="228"/>
      <c r="L6" s="124" t="s">
        <v>822</v>
      </c>
      <c r="M6" s="225" t="str">
        <f>"202,0200"</f>
        <v>202,0200</v>
      </c>
      <c r="N6" s="30" t="s">
        <v>275</v>
      </c>
    </row>
    <row r="7" spans="2:13" ht="12.75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29"/>
    </row>
    <row r="8" spans="1:13" ht="15.75">
      <c r="A8" s="46"/>
      <c r="B8" s="224" t="s">
        <v>61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4" ht="12.75">
      <c r="A9" s="51" t="s">
        <v>729</v>
      </c>
      <c r="B9" s="231" t="s">
        <v>860</v>
      </c>
      <c r="C9" s="231" t="s">
        <v>590</v>
      </c>
      <c r="D9" s="231" t="s">
        <v>225</v>
      </c>
      <c r="E9" s="231" t="str">
        <f>"0,9166"</f>
        <v>0,9166</v>
      </c>
      <c r="F9" s="231" t="s">
        <v>272</v>
      </c>
      <c r="G9" s="231" t="s">
        <v>273</v>
      </c>
      <c r="H9" s="232" t="s">
        <v>170</v>
      </c>
      <c r="I9" s="232" t="s">
        <v>170</v>
      </c>
      <c r="J9" s="239" t="s">
        <v>170</v>
      </c>
      <c r="K9" s="233"/>
      <c r="L9" s="123" t="s">
        <v>820</v>
      </c>
      <c r="M9" s="231" t="str">
        <f>"201,6520"</f>
        <v>201,6520</v>
      </c>
      <c r="N9" s="32" t="s">
        <v>275</v>
      </c>
    </row>
    <row r="10" spans="1:14" ht="12.75">
      <c r="A10" s="47"/>
      <c r="B10" s="225" t="s">
        <v>591</v>
      </c>
      <c r="C10" s="225" t="s">
        <v>592</v>
      </c>
      <c r="D10" s="225" t="s">
        <v>593</v>
      </c>
      <c r="E10" s="225" t="str">
        <f>"0,9198"</f>
        <v>0,9198</v>
      </c>
      <c r="F10" s="225" t="s">
        <v>16</v>
      </c>
      <c r="G10" s="225" t="s">
        <v>594</v>
      </c>
      <c r="H10" s="227" t="s">
        <v>274</v>
      </c>
      <c r="I10" s="227" t="s">
        <v>274</v>
      </c>
      <c r="J10" s="227" t="s">
        <v>274</v>
      </c>
      <c r="K10" s="228"/>
      <c r="L10" s="84" t="s">
        <v>82</v>
      </c>
      <c r="M10" s="225" t="str">
        <f>"0,0000"</f>
        <v>0,0000</v>
      </c>
      <c r="N10" s="30" t="s">
        <v>42</v>
      </c>
    </row>
    <row r="11" spans="1:14" ht="12.75">
      <c r="A11" s="52"/>
      <c r="B11" s="240" t="s">
        <v>591</v>
      </c>
      <c r="C11" s="240" t="s">
        <v>595</v>
      </c>
      <c r="D11" s="240" t="s">
        <v>593</v>
      </c>
      <c r="E11" s="240" t="str">
        <f>"0,9198"</f>
        <v>0,9198</v>
      </c>
      <c r="F11" s="240" t="s">
        <v>16</v>
      </c>
      <c r="G11" s="240" t="s">
        <v>594</v>
      </c>
      <c r="H11" s="242" t="s">
        <v>274</v>
      </c>
      <c r="I11" s="242" t="s">
        <v>274</v>
      </c>
      <c r="J11" s="242" t="s">
        <v>274</v>
      </c>
      <c r="K11" s="243"/>
      <c r="L11" s="84" t="s">
        <v>82</v>
      </c>
      <c r="M11" s="240" t="str">
        <f>"0,0000"</f>
        <v>0,0000</v>
      </c>
      <c r="N11" s="34" t="s">
        <v>42</v>
      </c>
    </row>
    <row r="12" spans="2:13" ht="12.75"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229"/>
    </row>
    <row r="13" spans="1:13" ht="15.75">
      <c r="A13" s="46"/>
      <c r="B13" s="224" t="s">
        <v>76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4" ht="12.75">
      <c r="A14" s="51" t="s">
        <v>729</v>
      </c>
      <c r="B14" s="231" t="s">
        <v>596</v>
      </c>
      <c r="C14" s="231" t="s">
        <v>597</v>
      </c>
      <c r="D14" s="231" t="s">
        <v>598</v>
      </c>
      <c r="E14" s="231" t="str">
        <f>"0,8850"</f>
        <v>0,8850</v>
      </c>
      <c r="F14" s="231" t="s">
        <v>272</v>
      </c>
      <c r="G14" s="231" t="s">
        <v>273</v>
      </c>
      <c r="H14" s="239" t="s">
        <v>80</v>
      </c>
      <c r="I14" s="232" t="s">
        <v>171</v>
      </c>
      <c r="J14" s="232" t="s">
        <v>171</v>
      </c>
      <c r="K14" s="233"/>
      <c r="L14" s="123" t="s">
        <v>861</v>
      </c>
      <c r="M14" s="231" t="str">
        <f>"221,2500"</f>
        <v>221,2500</v>
      </c>
      <c r="N14" s="32" t="s">
        <v>42</v>
      </c>
    </row>
    <row r="15" spans="1:14" ht="12.75">
      <c r="A15" s="47" t="s">
        <v>731</v>
      </c>
      <c r="B15" s="225" t="s">
        <v>599</v>
      </c>
      <c r="C15" s="225" t="s">
        <v>600</v>
      </c>
      <c r="D15" s="225" t="s">
        <v>601</v>
      </c>
      <c r="E15" s="225" t="str">
        <f>"0,9014"</f>
        <v>0,9014</v>
      </c>
      <c r="F15" s="225" t="s">
        <v>272</v>
      </c>
      <c r="G15" s="225" t="s">
        <v>273</v>
      </c>
      <c r="H15" s="227" t="s">
        <v>24</v>
      </c>
      <c r="I15" s="227" t="s">
        <v>24</v>
      </c>
      <c r="J15" s="226" t="s">
        <v>24</v>
      </c>
      <c r="K15" s="228"/>
      <c r="L15" s="124" t="s">
        <v>815</v>
      </c>
      <c r="M15" s="225" t="str">
        <f>"180,2800"</f>
        <v>180,2800</v>
      </c>
      <c r="N15" s="30" t="s">
        <v>275</v>
      </c>
    </row>
  </sheetData>
  <sheetProtection/>
  <mergeCells count="15">
    <mergeCell ref="A3:A4"/>
    <mergeCell ref="L3:L4"/>
    <mergeCell ref="M3:M4"/>
    <mergeCell ref="N3:N4"/>
    <mergeCell ref="B5:M5"/>
    <mergeCell ref="B8:M8"/>
    <mergeCell ref="B13:M13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1"/>
  <sheetViews>
    <sheetView workbookViewId="0" topLeftCell="A34">
      <selection activeCell="G93" sqref="G93"/>
    </sheetView>
  </sheetViews>
  <sheetFormatPr defaultColWidth="8.75390625" defaultRowHeight="12.75"/>
  <cols>
    <col min="1" max="1" width="6.00390625" style="48" customWidth="1"/>
    <col min="2" max="2" width="28.875" style="29" customWidth="1"/>
    <col min="3" max="3" width="26.875" style="29" bestFit="1" customWidth="1"/>
    <col min="4" max="4" width="12.25390625" style="29" bestFit="1" customWidth="1"/>
    <col min="5" max="5" width="13.00390625" style="29" customWidth="1"/>
    <col min="6" max="6" width="16.875" style="29" customWidth="1"/>
    <col min="7" max="7" width="39.00390625" style="29" bestFit="1" customWidth="1"/>
    <col min="8" max="11" width="5.625" style="29" bestFit="1" customWidth="1"/>
    <col min="12" max="12" width="10.75390625" style="48" customWidth="1"/>
    <col min="13" max="13" width="8.625" style="29" bestFit="1" customWidth="1"/>
    <col min="14" max="14" width="20.25390625" style="29" customWidth="1"/>
  </cols>
  <sheetData>
    <row r="1" spans="1:14" s="1" customFormat="1" ht="15" customHeight="1">
      <c r="A1" s="45"/>
      <c r="B1" s="194" t="s">
        <v>858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08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10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146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47" t="s">
        <v>729</v>
      </c>
      <c r="B6" s="218" t="s">
        <v>823</v>
      </c>
      <c r="C6" s="30" t="s">
        <v>148</v>
      </c>
      <c r="D6" s="30" t="s">
        <v>149</v>
      </c>
      <c r="E6" s="30" t="str">
        <f>"2,1024"</f>
        <v>2,1024</v>
      </c>
      <c r="F6" s="30" t="s">
        <v>16</v>
      </c>
      <c r="G6" s="30" t="s">
        <v>759</v>
      </c>
      <c r="H6" s="50" t="s">
        <v>150</v>
      </c>
      <c r="I6" s="49" t="s">
        <v>141</v>
      </c>
      <c r="J6" s="50" t="s">
        <v>151</v>
      </c>
      <c r="K6" s="31"/>
      <c r="L6" s="47" t="s">
        <v>839</v>
      </c>
      <c r="M6" s="30" t="str">
        <f>"126,1440"</f>
        <v>126,1440</v>
      </c>
      <c r="N6" s="30" t="s">
        <v>152</v>
      </c>
    </row>
    <row r="7" spans="1:14" ht="12.75">
      <c r="A7" s="52" t="s">
        <v>731</v>
      </c>
      <c r="B7" s="220" t="s">
        <v>404</v>
      </c>
      <c r="C7" s="34" t="s">
        <v>405</v>
      </c>
      <c r="D7" s="34" t="s">
        <v>406</v>
      </c>
      <c r="E7" s="34" t="str">
        <f>"2,1216"</f>
        <v>2,1216</v>
      </c>
      <c r="F7" s="34" t="s">
        <v>221</v>
      </c>
      <c r="G7" s="34" t="s">
        <v>222</v>
      </c>
      <c r="H7" s="56" t="s">
        <v>253</v>
      </c>
      <c r="I7" s="53" t="s">
        <v>139</v>
      </c>
      <c r="J7" s="53" t="s">
        <v>139</v>
      </c>
      <c r="K7" s="35"/>
      <c r="L7" s="52" t="s">
        <v>840</v>
      </c>
      <c r="M7" s="34" t="str">
        <f>"95,4720"</f>
        <v>95,4720</v>
      </c>
      <c r="N7" s="34" t="s">
        <v>407</v>
      </c>
    </row>
    <row r="9" spans="1:13" ht="15.75">
      <c r="A9" s="46"/>
      <c r="B9" s="191" t="s">
        <v>284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4" ht="12.75">
      <c r="A10" s="47" t="s">
        <v>729</v>
      </c>
      <c r="B10" s="30" t="s">
        <v>824</v>
      </c>
      <c r="C10" s="30" t="s">
        <v>409</v>
      </c>
      <c r="D10" s="30" t="s">
        <v>410</v>
      </c>
      <c r="E10" s="30" t="str">
        <f>"1,9302"</f>
        <v>1,9302</v>
      </c>
      <c r="F10" s="30" t="s">
        <v>16</v>
      </c>
      <c r="G10" s="30" t="s">
        <v>759</v>
      </c>
      <c r="H10" s="49" t="s">
        <v>141</v>
      </c>
      <c r="I10" s="50" t="s">
        <v>141</v>
      </c>
      <c r="J10" s="49" t="s">
        <v>288</v>
      </c>
      <c r="K10" s="31"/>
      <c r="L10" s="47">
        <v>57.5</v>
      </c>
      <c r="M10" s="30" t="str">
        <f>"110,9865"</f>
        <v>110,9865</v>
      </c>
      <c r="N10" s="30" t="s">
        <v>411</v>
      </c>
    </row>
    <row r="12" spans="1:13" ht="15.75">
      <c r="A12" s="46"/>
      <c r="B12" s="191" t="s">
        <v>153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</row>
    <row r="13" spans="1:14" ht="12.75">
      <c r="A13" s="51" t="s">
        <v>729</v>
      </c>
      <c r="B13" s="219" t="s">
        <v>825</v>
      </c>
      <c r="C13" s="32" t="s">
        <v>413</v>
      </c>
      <c r="D13" s="32" t="s">
        <v>414</v>
      </c>
      <c r="E13" s="32" t="str">
        <f>"1,8186"</f>
        <v>1,8186</v>
      </c>
      <c r="F13" s="32" t="s">
        <v>16</v>
      </c>
      <c r="G13" s="32" t="s">
        <v>799</v>
      </c>
      <c r="H13" s="55" t="s">
        <v>256</v>
      </c>
      <c r="I13" s="55" t="s">
        <v>142</v>
      </c>
      <c r="J13" s="55" t="s">
        <v>415</v>
      </c>
      <c r="K13" s="33"/>
      <c r="L13" s="51">
        <v>92.5</v>
      </c>
      <c r="M13" s="32" t="str">
        <f>"168,2205"</f>
        <v>168,2205</v>
      </c>
      <c r="N13" s="32" t="s">
        <v>416</v>
      </c>
    </row>
    <row r="14" spans="1:14" ht="12.75">
      <c r="A14" s="47" t="s">
        <v>731</v>
      </c>
      <c r="B14" s="218" t="s">
        <v>154</v>
      </c>
      <c r="C14" s="30" t="s">
        <v>155</v>
      </c>
      <c r="D14" s="30" t="s">
        <v>156</v>
      </c>
      <c r="E14" s="30" t="str">
        <f>"1,7854"</f>
        <v>1,7854</v>
      </c>
      <c r="F14" s="30" t="s">
        <v>157</v>
      </c>
      <c r="G14" s="30" t="s">
        <v>158</v>
      </c>
      <c r="H14" s="49" t="s">
        <v>160</v>
      </c>
      <c r="I14" s="50" t="s">
        <v>161</v>
      </c>
      <c r="J14" s="49" t="s">
        <v>136</v>
      </c>
      <c r="K14" s="31"/>
      <c r="L14" s="47">
        <v>67.5</v>
      </c>
      <c r="M14" s="30" t="str">
        <f>"120,5145"</f>
        <v>120,5145</v>
      </c>
      <c r="N14" s="30" t="s">
        <v>857</v>
      </c>
    </row>
    <row r="15" spans="1:14" ht="12.75">
      <c r="A15" s="62" t="s">
        <v>732</v>
      </c>
      <c r="B15" s="222" t="s">
        <v>417</v>
      </c>
      <c r="C15" s="36" t="s">
        <v>418</v>
      </c>
      <c r="D15" s="36" t="s">
        <v>291</v>
      </c>
      <c r="E15" s="36" t="str">
        <f>"1,7830"</f>
        <v>1,7830</v>
      </c>
      <c r="F15" s="36" t="s">
        <v>16</v>
      </c>
      <c r="G15" s="36" t="s">
        <v>302</v>
      </c>
      <c r="H15" s="64" t="s">
        <v>140</v>
      </c>
      <c r="I15" s="64" t="s">
        <v>151</v>
      </c>
      <c r="J15" s="63" t="s">
        <v>160</v>
      </c>
      <c r="K15" s="37"/>
      <c r="L15" s="62" t="s">
        <v>839</v>
      </c>
      <c r="M15" s="36" t="str">
        <f>"106,9800"</f>
        <v>106,9800</v>
      </c>
      <c r="N15" s="36" t="s">
        <v>521</v>
      </c>
    </row>
    <row r="16" spans="1:14" ht="12.75">
      <c r="A16" s="47"/>
      <c r="B16" s="218" t="s">
        <v>826</v>
      </c>
      <c r="C16" s="30" t="s">
        <v>420</v>
      </c>
      <c r="D16" s="30" t="s">
        <v>421</v>
      </c>
      <c r="E16" s="30" t="str">
        <f>"1,7878"</f>
        <v>1,7878</v>
      </c>
      <c r="F16" s="30" t="s">
        <v>16</v>
      </c>
      <c r="G16" s="30" t="s">
        <v>848</v>
      </c>
      <c r="H16" s="50" t="s">
        <v>254</v>
      </c>
      <c r="I16" s="49" t="s">
        <v>150</v>
      </c>
      <c r="J16" s="50" t="s">
        <v>150</v>
      </c>
      <c r="K16" s="31"/>
      <c r="L16" s="47">
        <v>52.5</v>
      </c>
      <c r="M16" s="30" t="str">
        <f>"93,8595"</f>
        <v>93,8595</v>
      </c>
      <c r="N16" s="30" t="s">
        <v>422</v>
      </c>
    </row>
    <row r="18" spans="1:13" ht="15.75">
      <c r="A18" s="46"/>
      <c r="B18" s="191" t="s">
        <v>197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pans="1:14" ht="12.75">
      <c r="A19" s="47" t="s">
        <v>729</v>
      </c>
      <c r="B19" s="30" t="s">
        <v>1382</v>
      </c>
      <c r="C19" s="30" t="s">
        <v>423</v>
      </c>
      <c r="D19" s="30" t="s">
        <v>424</v>
      </c>
      <c r="E19" s="30" t="str">
        <f>"1,7086"</f>
        <v>1,7086</v>
      </c>
      <c r="F19" s="30" t="s">
        <v>16</v>
      </c>
      <c r="G19" s="30" t="s">
        <v>854</v>
      </c>
      <c r="H19" s="49" t="s">
        <v>161</v>
      </c>
      <c r="I19" s="50" t="s">
        <v>161</v>
      </c>
      <c r="J19" s="49" t="s">
        <v>425</v>
      </c>
      <c r="K19" s="31"/>
      <c r="L19" s="47">
        <v>67.5</v>
      </c>
      <c r="M19" s="30" t="str">
        <f>"115,3305"</f>
        <v>115,3305</v>
      </c>
      <c r="N19" s="30" t="s">
        <v>853</v>
      </c>
    </row>
    <row r="21" spans="1:13" ht="15.75">
      <c r="A21" s="46"/>
      <c r="B21" s="191" t="s">
        <v>12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14" ht="12.75">
      <c r="A22" s="47" t="s">
        <v>729</v>
      </c>
      <c r="B22" s="218" t="s">
        <v>426</v>
      </c>
      <c r="C22" s="30" t="s">
        <v>427</v>
      </c>
      <c r="D22" s="30" t="s">
        <v>428</v>
      </c>
      <c r="E22" s="30" t="str">
        <f>"1,5466"</f>
        <v>1,5466</v>
      </c>
      <c r="F22" s="30" t="s">
        <v>16</v>
      </c>
      <c r="G22" s="30" t="s">
        <v>429</v>
      </c>
      <c r="H22" s="50" t="s">
        <v>160</v>
      </c>
      <c r="I22" s="49" t="s">
        <v>425</v>
      </c>
      <c r="J22" s="49" t="s">
        <v>425</v>
      </c>
      <c r="K22" s="31"/>
      <c r="L22" s="47" t="s">
        <v>841</v>
      </c>
      <c r="M22" s="30" t="str">
        <f>"100,5290"</f>
        <v>100,5290</v>
      </c>
      <c r="N22" s="30" t="s">
        <v>430</v>
      </c>
    </row>
    <row r="23" ht="12.75">
      <c r="B23" s="221"/>
    </row>
    <row r="24" spans="1:13" ht="15.75">
      <c r="A24" s="46"/>
      <c r="B24" s="224" t="s">
        <v>431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5" spans="1:14" ht="12.75">
      <c r="A25" s="47" t="s">
        <v>729</v>
      </c>
      <c r="B25" s="225" t="s">
        <v>432</v>
      </c>
      <c r="C25" s="225" t="s">
        <v>433</v>
      </c>
      <c r="D25" s="225" t="s">
        <v>434</v>
      </c>
      <c r="E25" s="225" t="str">
        <f>"1,3184"</f>
        <v>1,3184</v>
      </c>
      <c r="F25" s="225" t="s">
        <v>16</v>
      </c>
      <c r="G25" s="225" t="s">
        <v>759</v>
      </c>
      <c r="H25" s="226" t="s">
        <v>425</v>
      </c>
      <c r="I25" s="226" t="s">
        <v>255</v>
      </c>
      <c r="J25" s="227" t="s">
        <v>252</v>
      </c>
      <c r="K25" s="228"/>
      <c r="L25" s="124" t="s">
        <v>842</v>
      </c>
      <c r="M25" s="225" t="str">
        <f>"105,4720"</f>
        <v>105,4720</v>
      </c>
      <c r="N25" s="30" t="s">
        <v>42</v>
      </c>
    </row>
    <row r="26" spans="2:13" ht="12.75"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229"/>
    </row>
    <row r="27" spans="1:13" ht="15.75">
      <c r="A27" s="46"/>
      <c r="B27" s="224" t="s">
        <v>146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4" ht="12.75">
      <c r="A28" s="47" t="s">
        <v>729</v>
      </c>
      <c r="B28" s="225" t="s">
        <v>827</v>
      </c>
      <c r="C28" s="225" t="s">
        <v>436</v>
      </c>
      <c r="D28" s="225" t="s">
        <v>437</v>
      </c>
      <c r="E28" s="225" t="str">
        <f>"1,8850"</f>
        <v>1,8850</v>
      </c>
      <c r="F28" s="225" t="s">
        <v>221</v>
      </c>
      <c r="G28" s="225" t="s">
        <v>222</v>
      </c>
      <c r="H28" s="226" t="s">
        <v>425</v>
      </c>
      <c r="I28" s="227" t="s">
        <v>252</v>
      </c>
      <c r="J28" s="227" t="s">
        <v>252</v>
      </c>
      <c r="K28" s="228"/>
      <c r="L28" s="124" t="s">
        <v>843</v>
      </c>
      <c r="M28" s="225" t="str">
        <f>"141,3750"</f>
        <v>141,3750</v>
      </c>
      <c r="N28" s="30" t="s">
        <v>407</v>
      </c>
    </row>
    <row r="29" spans="2:13" ht="12.75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30"/>
      <c r="M29" s="229"/>
    </row>
    <row r="30" spans="1:13" ht="15.75">
      <c r="A30" s="46"/>
      <c r="B30" s="224" t="s">
        <v>197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4" ht="12.75">
      <c r="A31" s="47" t="s">
        <v>729</v>
      </c>
      <c r="B31" s="225" t="s">
        <v>438</v>
      </c>
      <c r="C31" s="225" t="s">
        <v>1302</v>
      </c>
      <c r="D31" s="225" t="s">
        <v>439</v>
      </c>
      <c r="E31" s="225" t="str">
        <f>"1,2410"</f>
        <v>1,2410</v>
      </c>
      <c r="F31" s="225" t="s">
        <v>16</v>
      </c>
      <c r="G31" s="225" t="s">
        <v>759</v>
      </c>
      <c r="H31" s="226" t="s">
        <v>176</v>
      </c>
      <c r="I31" s="227" t="s">
        <v>177</v>
      </c>
      <c r="J31" s="227" t="s">
        <v>177</v>
      </c>
      <c r="K31" s="228"/>
      <c r="L31" s="124" t="s">
        <v>844</v>
      </c>
      <c r="M31" s="225" t="str">
        <f>"169,7688"</f>
        <v>169,7688</v>
      </c>
      <c r="N31" s="30" t="s">
        <v>440</v>
      </c>
    </row>
    <row r="32" spans="2:13" ht="12.75"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30"/>
      <c r="M32" s="229"/>
    </row>
    <row r="33" spans="1:13" ht="15.75">
      <c r="A33" s="46"/>
      <c r="B33" s="224" t="s">
        <v>12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</row>
    <row r="34" spans="1:14" ht="12.75">
      <c r="A34" s="51"/>
      <c r="B34" s="231" t="s">
        <v>441</v>
      </c>
      <c r="C34" s="231" t="s">
        <v>442</v>
      </c>
      <c r="D34" s="231" t="s">
        <v>443</v>
      </c>
      <c r="E34" s="231" t="str">
        <f>"1,1438"</f>
        <v>1,1438</v>
      </c>
      <c r="F34" s="231" t="s">
        <v>16</v>
      </c>
      <c r="G34" s="225" t="s">
        <v>759</v>
      </c>
      <c r="H34" s="232" t="s">
        <v>144</v>
      </c>
      <c r="I34" s="232" t="s">
        <v>144</v>
      </c>
      <c r="J34" s="232" t="s">
        <v>144</v>
      </c>
      <c r="K34" s="233"/>
      <c r="L34" s="84" t="s">
        <v>82</v>
      </c>
      <c r="M34" s="231" t="str">
        <f>"0,0000"</f>
        <v>0,0000</v>
      </c>
      <c r="N34" s="32" t="s">
        <v>444</v>
      </c>
    </row>
    <row r="35" spans="1:14" ht="12.75">
      <c r="A35" s="47" t="s">
        <v>729</v>
      </c>
      <c r="B35" s="225" t="s">
        <v>445</v>
      </c>
      <c r="C35" s="225" t="s">
        <v>446</v>
      </c>
      <c r="D35" s="225" t="s">
        <v>447</v>
      </c>
      <c r="E35" s="225" t="str">
        <f>"1,1304"</f>
        <v>1,1304</v>
      </c>
      <c r="F35" s="225" t="s">
        <v>16</v>
      </c>
      <c r="G35" s="225" t="s">
        <v>448</v>
      </c>
      <c r="H35" s="226" t="s">
        <v>23</v>
      </c>
      <c r="I35" s="226" t="s">
        <v>165</v>
      </c>
      <c r="J35" s="226" t="s">
        <v>59</v>
      </c>
      <c r="K35" s="226" t="s">
        <v>449</v>
      </c>
      <c r="L35" s="124" t="s">
        <v>810</v>
      </c>
      <c r="M35" s="225" t="str">
        <f>"180,8640"</f>
        <v>180,8640</v>
      </c>
      <c r="N35" s="30" t="s">
        <v>42</v>
      </c>
    </row>
    <row r="36" spans="1:14" ht="12.75">
      <c r="A36" s="62" t="s">
        <v>731</v>
      </c>
      <c r="B36" s="234" t="s">
        <v>450</v>
      </c>
      <c r="C36" s="234" t="s">
        <v>451</v>
      </c>
      <c r="D36" s="234" t="s">
        <v>452</v>
      </c>
      <c r="E36" s="234" t="str">
        <f>"1,1182"</f>
        <v>1,1182</v>
      </c>
      <c r="F36" s="234" t="s">
        <v>16</v>
      </c>
      <c r="G36" s="234" t="s">
        <v>448</v>
      </c>
      <c r="H36" s="235" t="s">
        <v>32</v>
      </c>
      <c r="I36" s="235" t="s">
        <v>22</v>
      </c>
      <c r="J36" s="236" t="s">
        <v>49</v>
      </c>
      <c r="K36" s="237"/>
      <c r="L36" s="238" t="s">
        <v>808</v>
      </c>
      <c r="M36" s="234" t="str">
        <f>"156,5480"</f>
        <v>156,5480</v>
      </c>
      <c r="N36" s="36" t="s">
        <v>453</v>
      </c>
    </row>
    <row r="37" spans="1:14" ht="12.75">
      <c r="A37" s="47" t="s">
        <v>732</v>
      </c>
      <c r="B37" s="225" t="s">
        <v>454</v>
      </c>
      <c r="C37" s="225" t="s">
        <v>455</v>
      </c>
      <c r="D37" s="225" t="s">
        <v>456</v>
      </c>
      <c r="E37" s="225" t="str">
        <f>"1,1406"</f>
        <v>1,1406</v>
      </c>
      <c r="F37" s="225" t="s">
        <v>221</v>
      </c>
      <c r="G37" s="225" t="s">
        <v>222</v>
      </c>
      <c r="H37" s="226" t="s">
        <v>259</v>
      </c>
      <c r="I37" s="226" t="s">
        <v>21</v>
      </c>
      <c r="J37" s="227" t="s">
        <v>316</v>
      </c>
      <c r="K37" s="228"/>
      <c r="L37" s="124" t="s">
        <v>812</v>
      </c>
      <c r="M37" s="225" t="str">
        <f>"153,9810"</f>
        <v>153,9810</v>
      </c>
      <c r="N37" s="30" t="s">
        <v>42</v>
      </c>
    </row>
    <row r="38" spans="1:14" ht="12.75">
      <c r="A38" s="62" t="s">
        <v>800</v>
      </c>
      <c r="B38" s="234" t="s">
        <v>457</v>
      </c>
      <c r="C38" s="234" t="s">
        <v>458</v>
      </c>
      <c r="D38" s="234" t="s">
        <v>459</v>
      </c>
      <c r="E38" s="234" t="str">
        <f>"1,1390"</f>
        <v>1,1390</v>
      </c>
      <c r="F38" s="234" t="s">
        <v>16</v>
      </c>
      <c r="G38" s="234" t="s">
        <v>460</v>
      </c>
      <c r="H38" s="235" t="s">
        <v>166</v>
      </c>
      <c r="I38" s="235" t="s">
        <v>167</v>
      </c>
      <c r="J38" s="235" t="s">
        <v>32</v>
      </c>
      <c r="K38" s="237"/>
      <c r="L38" s="238" t="s">
        <v>845</v>
      </c>
      <c r="M38" s="234" t="str">
        <f>"148,0700"</f>
        <v>148,0700</v>
      </c>
      <c r="N38" s="36" t="s">
        <v>42</v>
      </c>
    </row>
    <row r="39" spans="1:14" ht="12.75">
      <c r="A39" s="47" t="s">
        <v>801</v>
      </c>
      <c r="B39" s="225" t="s">
        <v>828</v>
      </c>
      <c r="C39" s="225" t="s">
        <v>462</v>
      </c>
      <c r="D39" s="225" t="s">
        <v>463</v>
      </c>
      <c r="E39" s="225" t="str">
        <f>"1,1660"</f>
        <v>1,1660</v>
      </c>
      <c r="F39" s="225" t="s">
        <v>16</v>
      </c>
      <c r="G39" s="225" t="s">
        <v>759</v>
      </c>
      <c r="H39" s="226" t="s">
        <v>252</v>
      </c>
      <c r="I39" s="227" t="s">
        <v>256</v>
      </c>
      <c r="J39" s="226" t="s">
        <v>256</v>
      </c>
      <c r="K39" s="228"/>
      <c r="L39" s="124">
        <v>87.5</v>
      </c>
      <c r="M39" s="225" t="str">
        <f>"102,0250"</f>
        <v>102,0250</v>
      </c>
      <c r="N39" s="30" t="s">
        <v>464</v>
      </c>
    </row>
    <row r="40" spans="2:13" ht="12.75"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30"/>
      <c r="M40" s="229"/>
    </row>
    <row r="41" spans="1:13" ht="15.75">
      <c r="A41" s="46"/>
      <c r="B41" s="224" t="s">
        <v>34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</row>
    <row r="42" spans="1:14" ht="12.75">
      <c r="A42" s="51" t="s">
        <v>729</v>
      </c>
      <c r="B42" s="231" t="s">
        <v>465</v>
      </c>
      <c r="C42" s="231" t="s">
        <v>466</v>
      </c>
      <c r="D42" s="231" t="s">
        <v>169</v>
      </c>
      <c r="E42" s="231" t="str">
        <f>"1,0406"</f>
        <v>1,0406</v>
      </c>
      <c r="F42" s="231" t="s">
        <v>16</v>
      </c>
      <c r="G42" s="225" t="s">
        <v>759</v>
      </c>
      <c r="H42" s="239" t="s">
        <v>19</v>
      </c>
      <c r="I42" s="232" t="s">
        <v>467</v>
      </c>
      <c r="J42" s="232" t="s">
        <v>467</v>
      </c>
      <c r="K42" s="233"/>
      <c r="L42" s="123" t="s">
        <v>818</v>
      </c>
      <c r="M42" s="231" t="str">
        <f>"187,3080"</f>
        <v>187,3080</v>
      </c>
      <c r="N42" s="32" t="s">
        <v>42</v>
      </c>
    </row>
    <row r="43" spans="1:14" ht="12.75">
      <c r="A43" s="47" t="s">
        <v>731</v>
      </c>
      <c r="B43" s="225" t="s">
        <v>411</v>
      </c>
      <c r="C43" s="225" t="s">
        <v>469</v>
      </c>
      <c r="D43" s="225" t="s">
        <v>470</v>
      </c>
      <c r="E43" s="225" t="str">
        <f>"1,0290"</f>
        <v>1,0290</v>
      </c>
      <c r="F43" s="225" t="s">
        <v>16</v>
      </c>
      <c r="G43" s="225" t="s">
        <v>759</v>
      </c>
      <c r="H43" s="226" t="s">
        <v>165</v>
      </c>
      <c r="I43" s="226" t="s">
        <v>181</v>
      </c>
      <c r="J43" s="227" t="s">
        <v>182</v>
      </c>
      <c r="K43" s="228"/>
      <c r="L43" s="124">
        <v>162.5</v>
      </c>
      <c r="M43" s="225" t="str">
        <f>"167,2125"</f>
        <v>167,2125</v>
      </c>
      <c r="N43" s="30" t="s">
        <v>42</v>
      </c>
    </row>
    <row r="44" spans="1:14" ht="12.75">
      <c r="A44" s="52" t="s">
        <v>732</v>
      </c>
      <c r="B44" s="240" t="s">
        <v>829</v>
      </c>
      <c r="C44" s="240" t="s">
        <v>472</v>
      </c>
      <c r="D44" s="240" t="s">
        <v>473</v>
      </c>
      <c r="E44" s="240" t="str">
        <f>"1,0588"</f>
        <v>1,0588</v>
      </c>
      <c r="F44" s="240" t="s">
        <v>16</v>
      </c>
      <c r="G44" s="240" t="s">
        <v>175</v>
      </c>
      <c r="H44" s="241" t="s">
        <v>474</v>
      </c>
      <c r="I44" s="241" t="s">
        <v>49</v>
      </c>
      <c r="J44" s="242" t="s">
        <v>165</v>
      </c>
      <c r="K44" s="243"/>
      <c r="L44" s="125" t="s">
        <v>807</v>
      </c>
      <c r="M44" s="240" t="str">
        <f>"153,5260"</f>
        <v>153,5260</v>
      </c>
      <c r="N44" s="34" t="s">
        <v>178</v>
      </c>
    </row>
    <row r="45" spans="2:13" ht="12.75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30"/>
      <c r="M45" s="229"/>
    </row>
    <row r="46" spans="1:13" ht="15.75">
      <c r="A46" s="46"/>
      <c r="B46" s="224" t="s">
        <v>54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</row>
    <row r="47" spans="1:14" ht="12.75">
      <c r="A47" s="51" t="s">
        <v>729</v>
      </c>
      <c r="B47" s="231" t="s">
        <v>830</v>
      </c>
      <c r="C47" s="231" t="s">
        <v>475</v>
      </c>
      <c r="D47" s="231" t="s">
        <v>327</v>
      </c>
      <c r="E47" s="231" t="str">
        <f>"0,9736"</f>
        <v>0,9736</v>
      </c>
      <c r="F47" s="231" t="s">
        <v>16</v>
      </c>
      <c r="G47" s="225" t="s">
        <v>759</v>
      </c>
      <c r="H47" s="239" t="s">
        <v>259</v>
      </c>
      <c r="I47" s="232" t="s">
        <v>316</v>
      </c>
      <c r="J47" s="232" t="s">
        <v>316</v>
      </c>
      <c r="K47" s="233"/>
      <c r="L47" s="123">
        <v>132.5</v>
      </c>
      <c r="M47" s="231" t="str">
        <f>"129,0020"</f>
        <v>129,0020</v>
      </c>
      <c r="N47" s="32" t="s">
        <v>42</v>
      </c>
    </row>
    <row r="48" spans="1:14" ht="12.75">
      <c r="A48" s="47" t="s">
        <v>731</v>
      </c>
      <c r="B48" s="225" t="s">
        <v>831</v>
      </c>
      <c r="C48" s="225" t="s">
        <v>476</v>
      </c>
      <c r="D48" s="225" t="s">
        <v>477</v>
      </c>
      <c r="E48" s="225" t="str">
        <f>"1,0020"</f>
        <v>1,0020</v>
      </c>
      <c r="F48" s="225" t="s">
        <v>16</v>
      </c>
      <c r="G48" s="225" t="s">
        <v>759</v>
      </c>
      <c r="H48" s="227" t="s">
        <v>203</v>
      </c>
      <c r="I48" s="226" t="s">
        <v>166</v>
      </c>
      <c r="J48" s="227" t="s">
        <v>478</v>
      </c>
      <c r="K48" s="228"/>
      <c r="L48" s="124" t="s">
        <v>814</v>
      </c>
      <c r="M48" s="225" t="str">
        <f>"120,2400"</f>
        <v>120,2400</v>
      </c>
      <c r="N48" s="30" t="s">
        <v>855</v>
      </c>
    </row>
    <row r="49" spans="1:14" ht="12.75">
      <c r="A49" s="62"/>
      <c r="B49" s="234" t="s">
        <v>479</v>
      </c>
      <c r="C49" s="234" t="s">
        <v>480</v>
      </c>
      <c r="D49" s="234" t="s">
        <v>481</v>
      </c>
      <c r="E49" s="234" t="str">
        <f>"0,9776"</f>
        <v>0,9776</v>
      </c>
      <c r="F49" s="234" t="s">
        <v>16</v>
      </c>
      <c r="G49" s="225" t="s">
        <v>759</v>
      </c>
      <c r="H49" s="236" t="s">
        <v>81</v>
      </c>
      <c r="I49" s="236" t="s">
        <v>18</v>
      </c>
      <c r="J49" s="236" t="s">
        <v>29</v>
      </c>
      <c r="K49" s="237"/>
      <c r="L49" s="84" t="s">
        <v>82</v>
      </c>
      <c r="M49" s="234" t="str">
        <f>"0,0000"</f>
        <v>0,0000</v>
      </c>
      <c r="N49" s="36" t="s">
        <v>482</v>
      </c>
    </row>
    <row r="50" spans="1:14" ht="12.75">
      <c r="A50" s="47" t="s">
        <v>729</v>
      </c>
      <c r="B50" s="225" t="s">
        <v>483</v>
      </c>
      <c r="C50" s="225" t="s">
        <v>484</v>
      </c>
      <c r="D50" s="225" t="s">
        <v>485</v>
      </c>
      <c r="E50" s="225" t="str">
        <f>"0,9698"</f>
        <v>0,9698</v>
      </c>
      <c r="F50" s="225" t="s">
        <v>16</v>
      </c>
      <c r="G50" s="225" t="s">
        <v>847</v>
      </c>
      <c r="H50" s="226" t="s">
        <v>19</v>
      </c>
      <c r="I50" s="227" t="s">
        <v>20</v>
      </c>
      <c r="J50" s="227" t="s">
        <v>20</v>
      </c>
      <c r="K50" s="228"/>
      <c r="L50" s="124" t="s">
        <v>818</v>
      </c>
      <c r="M50" s="225" t="str">
        <f>"174,5640"</f>
        <v>174,5640</v>
      </c>
      <c r="N50" s="30" t="s">
        <v>486</v>
      </c>
    </row>
    <row r="51" spans="1:14" ht="12.75">
      <c r="A51" s="62" t="s">
        <v>731</v>
      </c>
      <c r="B51" s="234" t="s">
        <v>832</v>
      </c>
      <c r="C51" s="234" t="s">
        <v>488</v>
      </c>
      <c r="D51" s="234" t="s">
        <v>319</v>
      </c>
      <c r="E51" s="234" t="str">
        <f>"1,0150"</f>
        <v>1,0150</v>
      </c>
      <c r="F51" s="234" t="s">
        <v>16</v>
      </c>
      <c r="G51" s="234" t="s">
        <v>302</v>
      </c>
      <c r="H51" s="235" t="s">
        <v>81</v>
      </c>
      <c r="I51" s="235" t="s">
        <v>29</v>
      </c>
      <c r="J51" s="236" t="s">
        <v>489</v>
      </c>
      <c r="K51" s="237"/>
      <c r="L51" s="238" t="s">
        <v>816</v>
      </c>
      <c r="M51" s="234" t="str">
        <f>"177,6250"</f>
        <v>177,6250</v>
      </c>
      <c r="N51" s="36" t="s">
        <v>42</v>
      </c>
    </row>
    <row r="52" spans="1:14" ht="12.75">
      <c r="A52" s="47" t="s">
        <v>732</v>
      </c>
      <c r="B52" s="225" t="s">
        <v>184</v>
      </c>
      <c r="C52" s="225" t="s">
        <v>185</v>
      </c>
      <c r="D52" s="225" t="s">
        <v>186</v>
      </c>
      <c r="E52" s="225" t="str">
        <f>"0,9790"</f>
        <v>0,9790</v>
      </c>
      <c r="F52" s="225" t="s">
        <v>16</v>
      </c>
      <c r="G52" s="225" t="s">
        <v>1309</v>
      </c>
      <c r="H52" s="226" t="s">
        <v>59</v>
      </c>
      <c r="I52" s="228"/>
      <c r="J52" s="228"/>
      <c r="K52" s="228"/>
      <c r="L52" s="124" t="s">
        <v>810</v>
      </c>
      <c r="M52" s="225" t="str">
        <f>"156,6400"</f>
        <v>156,6400</v>
      </c>
      <c r="N52" s="30" t="s">
        <v>187</v>
      </c>
    </row>
    <row r="53" spans="1:14" ht="12.75">
      <c r="A53" s="47" t="s">
        <v>800</v>
      </c>
      <c r="B53" s="225" t="s">
        <v>833</v>
      </c>
      <c r="C53" s="225" t="s">
        <v>491</v>
      </c>
      <c r="D53" s="225" t="s">
        <v>323</v>
      </c>
      <c r="E53" s="225" t="str">
        <f>"0,9690"</f>
        <v>0,9690</v>
      </c>
      <c r="F53" s="225" t="s">
        <v>16</v>
      </c>
      <c r="G53" s="225" t="s">
        <v>1303</v>
      </c>
      <c r="H53" s="226" t="s">
        <v>23</v>
      </c>
      <c r="I53" s="227" t="s">
        <v>492</v>
      </c>
      <c r="J53" s="227" t="s">
        <v>181</v>
      </c>
      <c r="K53" s="228"/>
      <c r="L53" s="124" t="s">
        <v>811</v>
      </c>
      <c r="M53" s="225" t="str">
        <f>"145,3500"</f>
        <v>145,3500</v>
      </c>
      <c r="N53" s="30" t="s">
        <v>42</v>
      </c>
    </row>
    <row r="54" spans="1:14" ht="12.75">
      <c r="A54" s="90"/>
      <c r="B54" s="244"/>
      <c r="C54" s="244"/>
      <c r="D54" s="244"/>
      <c r="E54" s="244"/>
      <c r="F54" s="244"/>
      <c r="G54" s="244"/>
      <c r="H54" s="245"/>
      <c r="I54" s="246"/>
      <c r="J54" s="246"/>
      <c r="K54" s="247"/>
      <c r="L54" s="45"/>
      <c r="M54" s="244"/>
      <c r="N54" s="91"/>
    </row>
    <row r="55" spans="1:13" ht="15.75">
      <c r="A55" s="46"/>
      <c r="B55" s="224" t="s">
        <v>61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4" ht="12.75">
      <c r="A56" s="51" t="s">
        <v>729</v>
      </c>
      <c r="B56" s="231" t="s">
        <v>834</v>
      </c>
      <c r="C56" s="231" t="s">
        <v>494</v>
      </c>
      <c r="D56" s="231" t="s">
        <v>348</v>
      </c>
      <c r="E56" s="231" t="str">
        <f>"0,9218"</f>
        <v>0,9218</v>
      </c>
      <c r="F56" s="231" t="s">
        <v>16</v>
      </c>
      <c r="G56" s="225" t="s">
        <v>759</v>
      </c>
      <c r="H56" s="239" t="s">
        <v>50</v>
      </c>
      <c r="I56" s="239" t="s">
        <v>165</v>
      </c>
      <c r="J56" s="239" t="s">
        <v>492</v>
      </c>
      <c r="K56" s="239" t="s">
        <v>59</v>
      </c>
      <c r="L56" s="123">
        <v>157.5</v>
      </c>
      <c r="M56" s="231" t="str">
        <f>"145,1835"</f>
        <v>145,1835</v>
      </c>
      <c r="N56" s="32" t="s">
        <v>495</v>
      </c>
    </row>
    <row r="57" spans="1:14" ht="12.75">
      <c r="A57" s="47" t="s">
        <v>729</v>
      </c>
      <c r="B57" s="225" t="s">
        <v>496</v>
      </c>
      <c r="C57" s="225" t="s">
        <v>497</v>
      </c>
      <c r="D57" s="225" t="s">
        <v>71</v>
      </c>
      <c r="E57" s="225" t="str">
        <f>"0,9214"</f>
        <v>0,9214</v>
      </c>
      <c r="F57" s="225" t="s">
        <v>16</v>
      </c>
      <c r="G57" s="225" t="s">
        <v>328</v>
      </c>
      <c r="H57" s="226" t="s">
        <v>30</v>
      </c>
      <c r="I57" s="226" t="s">
        <v>20</v>
      </c>
      <c r="J57" s="227" t="s">
        <v>467</v>
      </c>
      <c r="K57" s="228"/>
      <c r="L57" s="124" t="s">
        <v>809</v>
      </c>
      <c r="M57" s="225" t="str">
        <f>"175,0660"</f>
        <v>175,0660</v>
      </c>
      <c r="N57" s="30" t="s">
        <v>42</v>
      </c>
    </row>
    <row r="58" spans="1:14" ht="12.75">
      <c r="A58" s="62" t="s">
        <v>731</v>
      </c>
      <c r="B58" s="234" t="s">
        <v>498</v>
      </c>
      <c r="C58" s="234" t="s">
        <v>499</v>
      </c>
      <c r="D58" s="234" t="s">
        <v>500</v>
      </c>
      <c r="E58" s="234" t="str">
        <f>"0,9190"</f>
        <v>0,9190</v>
      </c>
      <c r="F58" s="234" t="s">
        <v>16</v>
      </c>
      <c r="G58" s="234" t="s">
        <v>501</v>
      </c>
      <c r="H58" s="235" t="s">
        <v>18</v>
      </c>
      <c r="I58" s="236" t="s">
        <v>30</v>
      </c>
      <c r="J58" s="235" t="s">
        <v>30</v>
      </c>
      <c r="K58" s="237"/>
      <c r="L58" s="238" t="s">
        <v>846</v>
      </c>
      <c r="M58" s="234" t="str">
        <f>"170,0150"</f>
        <v>170,0150</v>
      </c>
      <c r="N58" s="36" t="s">
        <v>42</v>
      </c>
    </row>
    <row r="59" spans="1:14" ht="12.75">
      <c r="A59" s="47" t="s">
        <v>732</v>
      </c>
      <c r="B59" s="225" t="s">
        <v>502</v>
      </c>
      <c r="C59" s="225" t="s">
        <v>503</v>
      </c>
      <c r="D59" s="225" t="s">
        <v>64</v>
      </c>
      <c r="E59" s="225" t="str">
        <f>"0,9324"</f>
        <v>0,9324</v>
      </c>
      <c r="F59" s="225" t="s">
        <v>16</v>
      </c>
      <c r="G59" s="225" t="s">
        <v>759</v>
      </c>
      <c r="H59" s="226" t="s">
        <v>23</v>
      </c>
      <c r="I59" s="226" t="s">
        <v>181</v>
      </c>
      <c r="J59" s="227" t="s">
        <v>81</v>
      </c>
      <c r="K59" s="228"/>
      <c r="L59" s="124">
        <v>162.5</v>
      </c>
      <c r="M59" s="225" t="str">
        <f>"151,5150"</f>
        <v>151,5150</v>
      </c>
      <c r="N59" s="30" t="s">
        <v>856</v>
      </c>
    </row>
    <row r="60" spans="1:14" ht="12.75">
      <c r="A60" s="62"/>
      <c r="B60" s="234" t="s">
        <v>504</v>
      </c>
      <c r="C60" s="234" t="s">
        <v>505</v>
      </c>
      <c r="D60" s="234" t="s">
        <v>506</v>
      </c>
      <c r="E60" s="234" t="str">
        <f>"0,9290"</f>
        <v>0,9290</v>
      </c>
      <c r="F60" s="234" t="s">
        <v>16</v>
      </c>
      <c r="G60" s="234" t="s">
        <v>507</v>
      </c>
      <c r="H60" s="236" t="s">
        <v>165</v>
      </c>
      <c r="I60" s="236" t="s">
        <v>59</v>
      </c>
      <c r="J60" s="236" t="s">
        <v>59</v>
      </c>
      <c r="K60" s="237"/>
      <c r="L60" s="84" t="s">
        <v>82</v>
      </c>
      <c r="M60" s="234" t="str">
        <f>"0,0000"</f>
        <v>0,0000</v>
      </c>
      <c r="N60" s="36" t="s">
        <v>42</v>
      </c>
    </row>
    <row r="61" spans="1:14" ht="12.75">
      <c r="A61" s="47"/>
      <c r="B61" s="225" t="s">
        <v>508</v>
      </c>
      <c r="C61" s="225" t="s">
        <v>509</v>
      </c>
      <c r="D61" s="225" t="s">
        <v>500</v>
      </c>
      <c r="E61" s="225" t="str">
        <f>"0,9190"</f>
        <v>0,9190</v>
      </c>
      <c r="F61" s="225" t="s">
        <v>16</v>
      </c>
      <c r="G61" s="225" t="s">
        <v>510</v>
      </c>
      <c r="H61" s="227" t="s">
        <v>29</v>
      </c>
      <c r="I61" s="227" t="s">
        <v>29</v>
      </c>
      <c r="J61" s="227" t="s">
        <v>29</v>
      </c>
      <c r="K61" s="228"/>
      <c r="L61" s="84" t="s">
        <v>82</v>
      </c>
      <c r="M61" s="225" t="str">
        <f>"0,0000"</f>
        <v>0,0000</v>
      </c>
      <c r="N61" s="30" t="s">
        <v>511</v>
      </c>
    </row>
    <row r="62" spans="1:14" ht="12.75">
      <c r="A62" s="52" t="s">
        <v>729</v>
      </c>
      <c r="B62" s="240" t="s">
        <v>835</v>
      </c>
      <c r="C62" s="240" t="s">
        <v>513</v>
      </c>
      <c r="D62" s="240" t="s">
        <v>514</v>
      </c>
      <c r="E62" s="240" t="str">
        <f>"0,9278"</f>
        <v>0,9278</v>
      </c>
      <c r="F62" s="240" t="s">
        <v>16</v>
      </c>
      <c r="G62" s="225" t="s">
        <v>759</v>
      </c>
      <c r="H62" s="241" t="s">
        <v>23</v>
      </c>
      <c r="I62" s="242" t="s">
        <v>165</v>
      </c>
      <c r="J62" s="241" t="s">
        <v>165</v>
      </c>
      <c r="K62" s="243"/>
      <c r="L62" s="125" t="s">
        <v>813</v>
      </c>
      <c r="M62" s="240" t="str">
        <f>"194,1421"</f>
        <v>194,1421</v>
      </c>
      <c r="N62" s="34" t="s">
        <v>515</v>
      </c>
    </row>
    <row r="63" spans="2:13" ht="12.75"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30"/>
      <c r="M63" s="229"/>
    </row>
    <row r="64" spans="1:13" ht="15.75">
      <c r="A64" s="46"/>
      <c r="B64" s="224" t="s">
        <v>76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</row>
    <row r="65" spans="1:14" ht="12.75">
      <c r="A65" s="51" t="s">
        <v>729</v>
      </c>
      <c r="B65" s="231" t="s">
        <v>836</v>
      </c>
      <c r="C65" s="231" t="s">
        <v>517</v>
      </c>
      <c r="D65" s="231" t="s">
        <v>518</v>
      </c>
      <c r="E65" s="231" t="str">
        <f>"0,8882"</f>
        <v>0,8882</v>
      </c>
      <c r="F65" s="231" t="s">
        <v>519</v>
      </c>
      <c r="G65" s="225" t="s">
        <v>759</v>
      </c>
      <c r="H65" s="239" t="s">
        <v>22</v>
      </c>
      <c r="I65" s="239" t="s">
        <v>50</v>
      </c>
      <c r="J65" s="233"/>
      <c r="K65" s="233"/>
      <c r="L65" s="123">
        <v>152.5</v>
      </c>
      <c r="M65" s="231" t="str">
        <f>"135,4505"</f>
        <v>135,4505</v>
      </c>
      <c r="N65" s="32" t="s">
        <v>42</v>
      </c>
    </row>
    <row r="66" spans="1:14" ht="12.75">
      <c r="A66" s="47" t="s">
        <v>729</v>
      </c>
      <c r="B66" s="225" t="s">
        <v>516</v>
      </c>
      <c r="C66" s="225" t="s">
        <v>520</v>
      </c>
      <c r="D66" s="225" t="s">
        <v>518</v>
      </c>
      <c r="E66" s="225" t="str">
        <f>"0,8882"</f>
        <v>0,8882</v>
      </c>
      <c r="F66" s="225" t="s">
        <v>519</v>
      </c>
      <c r="G66" s="225" t="s">
        <v>759</v>
      </c>
      <c r="H66" s="226" t="s">
        <v>22</v>
      </c>
      <c r="I66" s="226" t="s">
        <v>50</v>
      </c>
      <c r="J66" s="228"/>
      <c r="K66" s="228"/>
      <c r="L66" s="124">
        <v>152.5</v>
      </c>
      <c r="M66" s="225" t="str">
        <f>"141,4103"</f>
        <v>141,4103</v>
      </c>
      <c r="N66" s="30" t="s">
        <v>42</v>
      </c>
    </row>
    <row r="67" spans="1:14" ht="12.75">
      <c r="A67" s="62" t="s">
        <v>729</v>
      </c>
      <c r="B67" s="234" t="s">
        <v>521</v>
      </c>
      <c r="C67" s="234" t="s">
        <v>522</v>
      </c>
      <c r="D67" s="234" t="s">
        <v>523</v>
      </c>
      <c r="E67" s="234" t="str">
        <f>"0,8958"</f>
        <v>0,8958</v>
      </c>
      <c r="F67" s="234" t="s">
        <v>16</v>
      </c>
      <c r="G67" s="234" t="s">
        <v>302</v>
      </c>
      <c r="H67" s="235" t="s">
        <v>59</v>
      </c>
      <c r="I67" s="235" t="s">
        <v>18</v>
      </c>
      <c r="J67" s="236" t="s">
        <v>231</v>
      </c>
      <c r="K67" s="237"/>
      <c r="L67" s="238" t="s">
        <v>819</v>
      </c>
      <c r="M67" s="234" t="str">
        <f>"164,1643"</f>
        <v>164,1643</v>
      </c>
      <c r="N67" s="36" t="s">
        <v>42</v>
      </c>
    </row>
    <row r="68" spans="1:14" ht="12.75">
      <c r="A68" s="47" t="s">
        <v>731</v>
      </c>
      <c r="B68" s="225" t="s">
        <v>837</v>
      </c>
      <c r="C68" s="225" t="s">
        <v>525</v>
      </c>
      <c r="D68" s="225" t="s">
        <v>526</v>
      </c>
      <c r="E68" s="225" t="str">
        <f>"0,8920"</f>
        <v>0,8920</v>
      </c>
      <c r="F68" s="225" t="s">
        <v>16</v>
      </c>
      <c r="G68" s="225" t="s">
        <v>759</v>
      </c>
      <c r="H68" s="227" t="s">
        <v>59</v>
      </c>
      <c r="I68" s="227" t="s">
        <v>59</v>
      </c>
      <c r="J68" s="226" t="s">
        <v>59</v>
      </c>
      <c r="K68" s="228"/>
      <c r="L68" s="124" t="s">
        <v>810</v>
      </c>
      <c r="M68" s="225" t="str">
        <f>"153,8522"</f>
        <v>153,8522</v>
      </c>
      <c r="N68" s="30" t="s">
        <v>42</v>
      </c>
    </row>
    <row r="69" spans="1:14" ht="12.75">
      <c r="A69" s="62" t="s">
        <v>729</v>
      </c>
      <c r="B69" s="234" t="s">
        <v>527</v>
      </c>
      <c r="C69" s="234" t="s">
        <v>528</v>
      </c>
      <c r="D69" s="234" t="s">
        <v>529</v>
      </c>
      <c r="E69" s="234" t="str">
        <f>"0,8910"</f>
        <v>0,8910</v>
      </c>
      <c r="F69" s="234" t="s">
        <v>16</v>
      </c>
      <c r="G69" s="225" t="s">
        <v>759</v>
      </c>
      <c r="H69" s="235" t="s">
        <v>22</v>
      </c>
      <c r="I69" s="235" t="s">
        <v>209</v>
      </c>
      <c r="J69" s="235" t="s">
        <v>50</v>
      </c>
      <c r="K69" s="237"/>
      <c r="L69" s="238">
        <v>152.5</v>
      </c>
      <c r="M69" s="234" t="str">
        <f>"164,0041"</f>
        <v>164,0041</v>
      </c>
      <c r="N69" s="36" t="s">
        <v>42</v>
      </c>
    </row>
    <row r="70" spans="1:14" ht="12.75">
      <c r="A70" s="47" t="s">
        <v>729</v>
      </c>
      <c r="B70" s="225" t="s">
        <v>838</v>
      </c>
      <c r="C70" s="225" t="s">
        <v>531</v>
      </c>
      <c r="D70" s="225" t="s">
        <v>532</v>
      </c>
      <c r="E70" s="225" t="str">
        <f>"0,8924"</f>
        <v>0,8924</v>
      </c>
      <c r="F70" s="225" t="s">
        <v>16</v>
      </c>
      <c r="G70" s="225" t="s">
        <v>302</v>
      </c>
      <c r="H70" s="226" t="s">
        <v>32</v>
      </c>
      <c r="I70" s="226" t="s">
        <v>21</v>
      </c>
      <c r="J70" s="227" t="s">
        <v>316</v>
      </c>
      <c r="K70" s="228"/>
      <c r="L70" s="124" t="s">
        <v>812</v>
      </c>
      <c r="M70" s="225" t="str">
        <f>"162,6399"</f>
        <v>162,6399</v>
      </c>
      <c r="N70" s="30" t="s">
        <v>533</v>
      </c>
    </row>
    <row r="71" spans="2:13" ht="12.75"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30"/>
      <c r="M71" s="229"/>
    </row>
    <row r="72" spans="1:13" ht="15.75">
      <c r="A72" s="46"/>
      <c r="B72" s="224" t="s">
        <v>84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</row>
    <row r="73" spans="1:14" ht="12.75">
      <c r="A73" s="51" t="s">
        <v>729</v>
      </c>
      <c r="B73" s="231" t="s">
        <v>849</v>
      </c>
      <c r="C73" s="231" t="s">
        <v>535</v>
      </c>
      <c r="D73" s="231" t="s">
        <v>536</v>
      </c>
      <c r="E73" s="231" t="str">
        <f>"0,8580"</f>
        <v>0,8580</v>
      </c>
      <c r="F73" s="231" t="s">
        <v>16</v>
      </c>
      <c r="G73" s="225" t="s">
        <v>759</v>
      </c>
      <c r="H73" s="239" t="s">
        <v>20</v>
      </c>
      <c r="I73" s="239" t="s">
        <v>47</v>
      </c>
      <c r="J73" s="239" t="s">
        <v>48</v>
      </c>
      <c r="K73" s="233"/>
      <c r="L73" s="123">
        <v>212.5</v>
      </c>
      <c r="M73" s="231" t="str">
        <f>"182,3250"</f>
        <v>182,3250</v>
      </c>
      <c r="N73" s="32" t="s">
        <v>540</v>
      </c>
    </row>
    <row r="74" spans="1:14" ht="12.75">
      <c r="A74" s="47" t="s">
        <v>729</v>
      </c>
      <c r="B74" s="225" t="s">
        <v>850</v>
      </c>
      <c r="C74" s="225" t="s">
        <v>538</v>
      </c>
      <c r="D74" s="225" t="s">
        <v>539</v>
      </c>
      <c r="E74" s="225" t="str">
        <f>"0,8700"</f>
        <v>0,8700</v>
      </c>
      <c r="F74" s="225" t="s">
        <v>16</v>
      </c>
      <c r="G74" s="225" t="s">
        <v>759</v>
      </c>
      <c r="H74" s="226" t="s">
        <v>165</v>
      </c>
      <c r="I74" s="226" t="s">
        <v>59</v>
      </c>
      <c r="J74" s="227" t="s">
        <v>81</v>
      </c>
      <c r="K74" s="228"/>
      <c r="L74" s="124" t="s">
        <v>810</v>
      </c>
      <c r="M74" s="225" t="str">
        <f>"162,5856"</f>
        <v>162,5856</v>
      </c>
      <c r="N74" s="30" t="s">
        <v>42</v>
      </c>
    </row>
    <row r="75" spans="2:13" ht="12.75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30"/>
      <c r="M75" s="229"/>
    </row>
    <row r="76" spans="1:13" ht="15.75">
      <c r="A76" s="46"/>
      <c r="B76" s="224" t="s">
        <v>91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</row>
    <row r="77" spans="1:14" ht="12.75">
      <c r="A77" s="47" t="s">
        <v>729</v>
      </c>
      <c r="B77" s="225" t="s">
        <v>851</v>
      </c>
      <c r="C77" s="225" t="s">
        <v>541</v>
      </c>
      <c r="D77" s="225" t="s">
        <v>542</v>
      </c>
      <c r="E77" s="225" t="str">
        <f>"0,8430"</f>
        <v>0,8430</v>
      </c>
      <c r="F77" s="225" t="s">
        <v>16</v>
      </c>
      <c r="G77" s="225" t="s">
        <v>759</v>
      </c>
      <c r="H77" s="226" t="s">
        <v>19</v>
      </c>
      <c r="I77" s="226" t="s">
        <v>20</v>
      </c>
      <c r="J77" s="227" t="s">
        <v>31</v>
      </c>
      <c r="K77" s="228"/>
      <c r="L77" s="124" t="s">
        <v>809</v>
      </c>
      <c r="M77" s="225" t="str">
        <f>"160,1700"</f>
        <v>160,1700</v>
      </c>
      <c r="N77" s="30" t="s">
        <v>42</v>
      </c>
    </row>
    <row r="78" spans="2:13" ht="12.75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30"/>
      <c r="M78" s="229"/>
    </row>
    <row r="79" spans="1:13" ht="15.75">
      <c r="A79" s="46"/>
      <c r="B79" s="191" t="s">
        <v>543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1:14" ht="12.75">
      <c r="A80" s="47" t="s">
        <v>729</v>
      </c>
      <c r="B80" s="30" t="s">
        <v>852</v>
      </c>
      <c r="C80" s="30" t="s">
        <v>545</v>
      </c>
      <c r="D80" s="30" t="s">
        <v>546</v>
      </c>
      <c r="E80" s="30" t="str">
        <f>"0,8300"</f>
        <v>0,8300</v>
      </c>
      <c r="F80" s="30" t="s">
        <v>16</v>
      </c>
      <c r="G80" s="30" t="s">
        <v>759</v>
      </c>
      <c r="H80" s="49" t="s">
        <v>30</v>
      </c>
      <c r="I80" s="49" t="s">
        <v>346</v>
      </c>
      <c r="J80" s="50" t="s">
        <v>346</v>
      </c>
      <c r="K80" s="31"/>
      <c r="L80" s="47">
        <v>187.5</v>
      </c>
      <c r="M80" s="30" t="str">
        <f>"155,6250"</f>
        <v>155,6250</v>
      </c>
      <c r="N80" s="30" t="s">
        <v>42</v>
      </c>
    </row>
    <row r="83" spans="1:3" ht="18">
      <c r="A83" s="57"/>
      <c r="B83" s="85" t="s">
        <v>100</v>
      </c>
      <c r="C83" s="39"/>
    </row>
    <row r="84" spans="1:3" ht="15.75">
      <c r="A84" s="58"/>
      <c r="B84" s="86" t="s">
        <v>194</v>
      </c>
      <c r="C84" s="40"/>
    </row>
    <row r="85" spans="1:3" ht="13.5">
      <c r="A85" s="59"/>
      <c r="B85" s="87" t="s">
        <v>108</v>
      </c>
      <c r="C85" s="42"/>
    </row>
    <row r="86" spans="1:6" ht="13.5">
      <c r="A86" s="43"/>
      <c r="B86" s="43" t="s">
        <v>102</v>
      </c>
      <c r="C86" s="43" t="s">
        <v>103</v>
      </c>
      <c r="D86" s="43" t="s">
        <v>104</v>
      </c>
      <c r="E86" s="43" t="s">
        <v>730</v>
      </c>
      <c r="F86" s="43" t="s">
        <v>106</v>
      </c>
    </row>
    <row r="87" spans="1:6" ht="12.75">
      <c r="A87" s="48" t="s">
        <v>729</v>
      </c>
      <c r="B87" s="223" t="s">
        <v>412</v>
      </c>
      <c r="C87" s="83" t="s">
        <v>108</v>
      </c>
      <c r="D87" s="83" t="s">
        <v>196</v>
      </c>
      <c r="E87" s="83" t="s">
        <v>415</v>
      </c>
      <c r="F87" s="48" t="s">
        <v>547</v>
      </c>
    </row>
    <row r="88" spans="1:6" ht="12.75">
      <c r="A88" s="48" t="s">
        <v>731</v>
      </c>
      <c r="B88" s="223" t="s">
        <v>147</v>
      </c>
      <c r="C88" s="83" t="s">
        <v>108</v>
      </c>
      <c r="D88" s="83" t="s">
        <v>195</v>
      </c>
      <c r="E88" s="83" t="s">
        <v>151</v>
      </c>
      <c r="F88" s="48" t="s">
        <v>548</v>
      </c>
    </row>
    <row r="89" spans="1:6" ht="12.75">
      <c r="A89" s="48" t="s">
        <v>732</v>
      </c>
      <c r="B89" s="223" t="s">
        <v>154</v>
      </c>
      <c r="C89" s="83" t="s">
        <v>108</v>
      </c>
      <c r="D89" s="83" t="s">
        <v>196</v>
      </c>
      <c r="E89" s="83" t="s">
        <v>161</v>
      </c>
      <c r="F89" s="48" t="s">
        <v>549</v>
      </c>
    </row>
    <row r="90" spans="2:6" ht="12.75">
      <c r="B90" s="41" t="s">
        <v>1382</v>
      </c>
      <c r="C90" s="83" t="s">
        <v>108</v>
      </c>
      <c r="D90" s="83" t="s">
        <v>244</v>
      </c>
      <c r="E90" s="83" t="s">
        <v>161</v>
      </c>
      <c r="F90" s="48" t="s">
        <v>550</v>
      </c>
    </row>
    <row r="91" spans="2:6" ht="12.75">
      <c r="B91" s="41" t="s">
        <v>408</v>
      </c>
      <c r="C91" s="83" t="s">
        <v>108</v>
      </c>
      <c r="D91" s="83" t="s">
        <v>382</v>
      </c>
      <c r="E91" s="83" t="s">
        <v>141</v>
      </c>
      <c r="F91" s="48" t="s">
        <v>551</v>
      </c>
    </row>
    <row r="92" spans="2:6" ht="12.75">
      <c r="B92" s="41" t="s">
        <v>417</v>
      </c>
      <c r="C92" s="83" t="s">
        <v>108</v>
      </c>
      <c r="D92" s="83" t="s">
        <v>196</v>
      </c>
      <c r="E92" s="83" t="s">
        <v>151</v>
      </c>
      <c r="F92" s="48" t="s">
        <v>552</v>
      </c>
    </row>
    <row r="93" spans="2:6" ht="12.75">
      <c r="B93" s="41" t="s">
        <v>426</v>
      </c>
      <c r="C93" s="83" t="s">
        <v>108</v>
      </c>
      <c r="D93" s="83" t="s">
        <v>123</v>
      </c>
      <c r="E93" s="83" t="s">
        <v>160</v>
      </c>
      <c r="F93" s="48" t="s">
        <v>553</v>
      </c>
    </row>
    <row r="94" spans="2:6" ht="12.75">
      <c r="B94" s="41" t="s">
        <v>404</v>
      </c>
      <c r="C94" s="83" t="s">
        <v>108</v>
      </c>
      <c r="D94" s="83" t="s">
        <v>195</v>
      </c>
      <c r="E94" s="83" t="s">
        <v>253</v>
      </c>
      <c r="F94" s="48" t="s">
        <v>554</v>
      </c>
    </row>
    <row r="95" spans="2:6" ht="12.75">
      <c r="B95" s="41" t="s">
        <v>419</v>
      </c>
      <c r="C95" s="83" t="s">
        <v>108</v>
      </c>
      <c r="D95" s="83" t="s">
        <v>196</v>
      </c>
      <c r="E95" s="83" t="s">
        <v>150</v>
      </c>
      <c r="F95" s="48" t="s">
        <v>555</v>
      </c>
    </row>
    <row r="96" spans="3:6" ht="12.75">
      <c r="C96" s="83"/>
      <c r="D96" s="83"/>
      <c r="E96" s="83"/>
      <c r="F96" s="83"/>
    </row>
    <row r="97" spans="1:6" ht="15.75">
      <c r="A97" s="58"/>
      <c r="B97" s="88" t="s">
        <v>101</v>
      </c>
      <c r="C97" s="20"/>
      <c r="D97" s="83"/>
      <c r="E97" s="83"/>
      <c r="F97" s="83"/>
    </row>
    <row r="98" spans="1:6" ht="13.5">
      <c r="A98" s="59"/>
      <c r="B98" s="87" t="s">
        <v>108</v>
      </c>
      <c r="C98" s="89"/>
      <c r="D98" s="83"/>
      <c r="E98" s="83"/>
      <c r="F98" s="83"/>
    </row>
    <row r="99" spans="1:6" ht="13.5">
      <c r="A99" s="43"/>
      <c r="B99" s="43" t="s">
        <v>102</v>
      </c>
      <c r="C99" s="43" t="s">
        <v>103</v>
      </c>
      <c r="D99" s="43" t="s">
        <v>104</v>
      </c>
      <c r="E99" s="43" t="s">
        <v>730</v>
      </c>
      <c r="F99" s="43" t="s">
        <v>106</v>
      </c>
    </row>
    <row r="100" spans="1:6" ht="12.75">
      <c r="A100" s="48" t="s">
        <v>729</v>
      </c>
      <c r="B100" s="223" t="s">
        <v>465</v>
      </c>
      <c r="C100" s="83" t="s">
        <v>108</v>
      </c>
      <c r="D100" s="83" t="s">
        <v>109</v>
      </c>
      <c r="E100" s="83" t="s">
        <v>19</v>
      </c>
      <c r="F100" s="48" t="s">
        <v>556</v>
      </c>
    </row>
    <row r="101" spans="1:6" ht="12.75">
      <c r="A101" s="48" t="s">
        <v>731</v>
      </c>
      <c r="B101" s="223" t="s">
        <v>534</v>
      </c>
      <c r="C101" s="83" t="s">
        <v>108</v>
      </c>
      <c r="D101" s="83" t="s">
        <v>118</v>
      </c>
      <c r="E101" s="83" t="s">
        <v>48</v>
      </c>
      <c r="F101" s="48" t="s">
        <v>557</v>
      </c>
    </row>
    <row r="102" spans="1:6" ht="12.75">
      <c r="A102" s="48" t="s">
        <v>732</v>
      </c>
      <c r="B102" s="223" t="s">
        <v>445</v>
      </c>
      <c r="C102" s="83" t="s">
        <v>108</v>
      </c>
      <c r="D102" s="83" t="s">
        <v>123</v>
      </c>
      <c r="E102" s="83" t="s">
        <v>59</v>
      </c>
      <c r="F102" s="48" t="s">
        <v>558</v>
      </c>
    </row>
    <row r="103" spans="2:6" ht="12.75">
      <c r="B103" s="41" t="s">
        <v>487</v>
      </c>
      <c r="C103" s="83" t="s">
        <v>108</v>
      </c>
      <c r="D103" s="83" t="s">
        <v>107</v>
      </c>
      <c r="E103" s="83" t="s">
        <v>29</v>
      </c>
      <c r="F103" s="48" t="s">
        <v>559</v>
      </c>
    </row>
    <row r="104" spans="2:6" ht="12.75">
      <c r="B104" s="41" t="s">
        <v>496</v>
      </c>
      <c r="C104" s="83" t="s">
        <v>108</v>
      </c>
      <c r="D104" s="83" t="s">
        <v>112</v>
      </c>
      <c r="E104" s="83" t="s">
        <v>20</v>
      </c>
      <c r="F104" s="48" t="s">
        <v>560</v>
      </c>
    </row>
    <row r="105" spans="2:6" ht="12.75">
      <c r="B105" s="41" t="s">
        <v>483</v>
      </c>
      <c r="C105" s="83" t="s">
        <v>108</v>
      </c>
      <c r="D105" s="83" t="s">
        <v>107</v>
      </c>
      <c r="E105" s="83" t="s">
        <v>19</v>
      </c>
      <c r="F105" s="48" t="s">
        <v>561</v>
      </c>
    </row>
    <row r="106" spans="2:6" ht="12.75">
      <c r="B106" s="41" t="s">
        <v>498</v>
      </c>
      <c r="C106" s="83" t="s">
        <v>108</v>
      </c>
      <c r="D106" s="83" t="s">
        <v>112</v>
      </c>
      <c r="E106" s="83" t="s">
        <v>30</v>
      </c>
      <c r="F106" s="48" t="s">
        <v>562</v>
      </c>
    </row>
    <row r="107" spans="2:6" ht="12.75">
      <c r="B107" s="41" t="s">
        <v>468</v>
      </c>
      <c r="C107" s="83" t="s">
        <v>108</v>
      </c>
      <c r="D107" s="83" t="s">
        <v>109</v>
      </c>
      <c r="E107" s="83" t="s">
        <v>181</v>
      </c>
      <c r="F107" s="48" t="s">
        <v>563</v>
      </c>
    </row>
    <row r="108" spans="2:6" ht="12.75">
      <c r="B108" s="41" t="s">
        <v>540</v>
      </c>
      <c r="C108" s="83" t="s">
        <v>108</v>
      </c>
      <c r="D108" s="83" t="s">
        <v>115</v>
      </c>
      <c r="E108" s="83" t="s">
        <v>20</v>
      </c>
      <c r="F108" s="48" t="s">
        <v>564</v>
      </c>
    </row>
    <row r="109" spans="2:6" ht="12.75">
      <c r="B109" s="41" t="s">
        <v>184</v>
      </c>
      <c r="C109" s="83" t="s">
        <v>108</v>
      </c>
      <c r="D109" s="83" t="s">
        <v>107</v>
      </c>
      <c r="E109" s="83" t="s">
        <v>59</v>
      </c>
      <c r="F109" s="48" t="s">
        <v>565</v>
      </c>
    </row>
    <row r="110" spans="2:6" ht="12.75">
      <c r="B110" s="41" t="s">
        <v>450</v>
      </c>
      <c r="C110" s="83" t="s">
        <v>108</v>
      </c>
      <c r="D110" s="83" t="s">
        <v>123</v>
      </c>
      <c r="E110" s="83" t="s">
        <v>22</v>
      </c>
      <c r="F110" s="48" t="s">
        <v>566</v>
      </c>
    </row>
    <row r="111" spans="2:6" ht="12.75">
      <c r="B111" s="41" t="s">
        <v>544</v>
      </c>
      <c r="C111" s="83" t="s">
        <v>108</v>
      </c>
      <c r="D111" s="83" t="s">
        <v>567</v>
      </c>
      <c r="E111" s="83" t="s">
        <v>346</v>
      </c>
      <c r="F111" s="48" t="s">
        <v>568</v>
      </c>
    </row>
    <row r="112" spans="2:6" ht="12.75">
      <c r="B112" s="41" t="s">
        <v>454</v>
      </c>
      <c r="C112" s="83" t="s">
        <v>108</v>
      </c>
      <c r="D112" s="83" t="s">
        <v>123</v>
      </c>
      <c r="E112" s="83" t="s">
        <v>21</v>
      </c>
      <c r="F112" s="48" t="s">
        <v>569</v>
      </c>
    </row>
    <row r="113" spans="2:6" ht="12.75">
      <c r="B113" s="41" t="s">
        <v>471</v>
      </c>
      <c r="C113" s="83" t="s">
        <v>108</v>
      </c>
      <c r="D113" s="83" t="s">
        <v>109</v>
      </c>
      <c r="E113" s="83" t="s">
        <v>49</v>
      </c>
      <c r="F113" s="48" t="s">
        <v>570</v>
      </c>
    </row>
    <row r="114" spans="2:6" ht="12.75">
      <c r="B114" s="41" t="s">
        <v>502</v>
      </c>
      <c r="C114" s="83" t="s">
        <v>108</v>
      </c>
      <c r="D114" s="83" t="s">
        <v>112</v>
      </c>
      <c r="E114" s="83" t="s">
        <v>181</v>
      </c>
      <c r="F114" s="48" t="s">
        <v>571</v>
      </c>
    </row>
    <row r="115" spans="2:6" ht="12.75">
      <c r="B115" s="41" t="s">
        <v>457</v>
      </c>
      <c r="C115" s="83" t="s">
        <v>108</v>
      </c>
      <c r="D115" s="83" t="s">
        <v>123</v>
      </c>
      <c r="E115" s="83" t="s">
        <v>32</v>
      </c>
      <c r="F115" s="48" t="s">
        <v>572</v>
      </c>
    </row>
    <row r="116" spans="2:6" ht="12.75">
      <c r="B116" s="41" t="s">
        <v>490</v>
      </c>
      <c r="C116" s="83" t="s">
        <v>108</v>
      </c>
      <c r="D116" s="83" t="s">
        <v>107</v>
      </c>
      <c r="E116" s="83" t="s">
        <v>23</v>
      </c>
      <c r="F116" s="48" t="s">
        <v>573</v>
      </c>
    </row>
    <row r="117" spans="2:6" ht="12.75">
      <c r="B117" s="41" t="s">
        <v>435</v>
      </c>
      <c r="C117" s="83" t="s">
        <v>108</v>
      </c>
      <c r="D117" s="83" t="s">
        <v>195</v>
      </c>
      <c r="E117" s="83" t="s">
        <v>425</v>
      </c>
      <c r="F117" s="48" t="s">
        <v>574</v>
      </c>
    </row>
    <row r="118" spans="2:6" ht="12.75">
      <c r="B118" s="41" t="s">
        <v>516</v>
      </c>
      <c r="C118" s="83" t="s">
        <v>108</v>
      </c>
      <c r="D118" s="83" t="s">
        <v>383</v>
      </c>
      <c r="E118" s="83" t="s">
        <v>50</v>
      </c>
      <c r="F118" s="48" t="s">
        <v>575</v>
      </c>
    </row>
    <row r="119" spans="2:6" ht="12.75">
      <c r="B119" s="41" t="s">
        <v>461</v>
      </c>
      <c r="C119" s="83" t="s">
        <v>108</v>
      </c>
      <c r="D119" s="83" t="s">
        <v>123</v>
      </c>
      <c r="E119" s="83" t="s">
        <v>256</v>
      </c>
      <c r="F119" s="48" t="s">
        <v>576</v>
      </c>
    </row>
    <row r="120" spans="3:6" ht="12.75">
      <c r="C120" s="83"/>
      <c r="D120" s="83"/>
      <c r="E120" s="83"/>
      <c r="F120" s="83"/>
    </row>
    <row r="121" spans="1:6" ht="13.5">
      <c r="A121" s="59"/>
      <c r="B121" s="87" t="s">
        <v>130</v>
      </c>
      <c r="C121" s="89"/>
      <c r="D121" s="83"/>
      <c r="E121" s="83"/>
      <c r="F121" s="83"/>
    </row>
    <row r="122" spans="1:6" ht="13.5">
      <c r="A122" s="43"/>
      <c r="B122" s="43" t="s">
        <v>102</v>
      </c>
      <c r="C122" s="43" t="s">
        <v>103</v>
      </c>
      <c r="D122" s="43" t="s">
        <v>104</v>
      </c>
      <c r="E122" s="43" t="s">
        <v>105</v>
      </c>
      <c r="F122" s="43" t="s">
        <v>106</v>
      </c>
    </row>
    <row r="123" spans="1:6" ht="12.75">
      <c r="A123" s="48" t="s">
        <v>729</v>
      </c>
      <c r="B123" s="41" t="s">
        <v>512</v>
      </c>
      <c r="C123" s="83" t="s">
        <v>131</v>
      </c>
      <c r="D123" s="83" t="s">
        <v>112</v>
      </c>
      <c r="E123" s="83" t="s">
        <v>165</v>
      </c>
      <c r="F123" s="48" t="s">
        <v>577</v>
      </c>
    </row>
    <row r="124" spans="1:6" ht="12.75">
      <c r="A124" s="48" t="s">
        <v>731</v>
      </c>
      <c r="B124" s="223" t="s">
        <v>438</v>
      </c>
      <c r="C124" s="83" t="s">
        <v>578</v>
      </c>
      <c r="D124" s="83" t="s">
        <v>244</v>
      </c>
      <c r="E124" s="83" t="s">
        <v>176</v>
      </c>
      <c r="F124" s="48" t="s">
        <v>579</v>
      </c>
    </row>
    <row r="125" spans="1:6" ht="12.75">
      <c r="A125" s="48" t="s">
        <v>732</v>
      </c>
      <c r="B125" s="223" t="s">
        <v>521</v>
      </c>
      <c r="C125" s="83" t="s">
        <v>403</v>
      </c>
      <c r="D125" s="83" t="s">
        <v>383</v>
      </c>
      <c r="E125" s="83" t="s">
        <v>18</v>
      </c>
      <c r="F125" s="48" t="s">
        <v>580</v>
      </c>
    </row>
    <row r="126" spans="2:6" ht="12.75">
      <c r="B126" s="41" t="s">
        <v>527</v>
      </c>
      <c r="C126" s="83" t="s">
        <v>578</v>
      </c>
      <c r="D126" s="83" t="s">
        <v>383</v>
      </c>
      <c r="E126" s="83" t="s">
        <v>50</v>
      </c>
      <c r="F126" s="48" t="s">
        <v>581</v>
      </c>
    </row>
    <row r="127" spans="2:6" ht="12.75">
      <c r="B127" s="41" t="s">
        <v>530</v>
      </c>
      <c r="C127" s="83" t="s">
        <v>131</v>
      </c>
      <c r="D127" s="83" t="s">
        <v>383</v>
      </c>
      <c r="E127" s="83" t="s">
        <v>21</v>
      </c>
      <c r="F127" s="48" t="s">
        <v>582</v>
      </c>
    </row>
    <row r="128" spans="2:6" ht="12.75">
      <c r="B128" s="41" t="s">
        <v>537</v>
      </c>
      <c r="C128" s="83" t="s">
        <v>578</v>
      </c>
      <c r="D128" s="83" t="s">
        <v>118</v>
      </c>
      <c r="E128" s="83" t="s">
        <v>59</v>
      </c>
      <c r="F128" s="48" t="s">
        <v>583</v>
      </c>
    </row>
    <row r="129" spans="2:6" ht="12.75">
      <c r="B129" s="41" t="s">
        <v>493</v>
      </c>
      <c r="C129" s="83" t="s">
        <v>402</v>
      </c>
      <c r="D129" s="83" t="s">
        <v>107</v>
      </c>
      <c r="E129" s="83" t="s">
        <v>23</v>
      </c>
      <c r="F129" s="48" t="s">
        <v>584</v>
      </c>
    </row>
    <row r="130" spans="2:6" ht="12.75">
      <c r="B130" s="41" t="s">
        <v>524</v>
      </c>
      <c r="C130" s="83" t="s">
        <v>403</v>
      </c>
      <c r="D130" s="83" t="s">
        <v>383</v>
      </c>
      <c r="E130" s="83" t="s">
        <v>59</v>
      </c>
      <c r="F130" s="48" t="s">
        <v>585</v>
      </c>
    </row>
    <row r="131" spans="2:6" ht="12.75">
      <c r="B131" s="41" t="s">
        <v>516</v>
      </c>
      <c r="C131" s="83" t="s">
        <v>402</v>
      </c>
      <c r="D131" s="83" t="s">
        <v>383</v>
      </c>
      <c r="E131" s="83" t="s">
        <v>50</v>
      </c>
      <c r="F131" s="48" t="s">
        <v>586</v>
      </c>
    </row>
  </sheetData>
  <sheetProtection/>
  <mergeCells count="28">
    <mergeCell ref="B79:M79"/>
    <mergeCell ref="A3:A4"/>
    <mergeCell ref="B41:M41"/>
    <mergeCell ref="B46:M46"/>
    <mergeCell ref="B55:M55"/>
    <mergeCell ref="B64:M64"/>
    <mergeCell ref="B72:M72"/>
    <mergeCell ref="B76:M76"/>
    <mergeCell ref="B18:M18"/>
    <mergeCell ref="B21:M21"/>
    <mergeCell ref="B24:M24"/>
    <mergeCell ref="B27:M27"/>
    <mergeCell ref="B30:M30"/>
    <mergeCell ref="B33:M33"/>
    <mergeCell ref="L3:L4"/>
    <mergeCell ref="M3:M4"/>
    <mergeCell ref="G3:G4"/>
    <mergeCell ref="H3:K3"/>
    <mergeCell ref="N3:N4"/>
    <mergeCell ref="B5:M5"/>
    <mergeCell ref="B9:M9"/>
    <mergeCell ref="B12:M12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A6" sqref="A6:F14"/>
    </sheetView>
  </sheetViews>
  <sheetFormatPr defaultColWidth="11.00390625" defaultRowHeight="12.75"/>
  <cols>
    <col min="1" max="1" width="23.875" style="0" customWidth="1"/>
    <col min="2" max="2" width="23.625" style="0" customWidth="1"/>
    <col min="3" max="3" width="11.75390625" style="0" customWidth="1"/>
    <col min="4" max="4" width="19.625" style="0" customWidth="1"/>
    <col min="5" max="5" width="27.375" style="0" customWidth="1"/>
    <col min="7" max="7" width="18.25390625" style="0" customWidth="1"/>
  </cols>
  <sheetData>
    <row r="1" spans="1:7" ht="57.75" customHeight="1">
      <c r="A1" s="164" t="s">
        <v>1287</v>
      </c>
      <c r="B1" s="165"/>
      <c r="C1" s="165"/>
      <c r="D1" s="165"/>
      <c r="E1" s="165"/>
      <c r="F1" s="165"/>
      <c r="G1" s="166"/>
    </row>
    <row r="2" spans="1:7" ht="28.5">
      <c r="A2" s="167"/>
      <c r="B2" s="168"/>
      <c r="C2" s="168"/>
      <c r="D2" s="168"/>
      <c r="E2" s="168"/>
      <c r="F2" s="168"/>
      <c r="G2" s="169"/>
    </row>
    <row r="3" spans="1:7" ht="30" thickBot="1">
      <c r="A3" s="170" t="s">
        <v>910</v>
      </c>
      <c r="B3" s="171"/>
      <c r="C3" s="171"/>
      <c r="D3" s="171"/>
      <c r="E3" s="171"/>
      <c r="F3" s="171"/>
      <c r="G3" s="172"/>
    </row>
    <row r="4" spans="1:7" ht="13.5">
      <c r="A4" s="173" t="s">
        <v>0</v>
      </c>
      <c r="B4" s="95" t="s">
        <v>911</v>
      </c>
      <c r="C4" s="174" t="s">
        <v>733</v>
      </c>
      <c r="D4" s="175" t="s">
        <v>7</v>
      </c>
      <c r="E4" s="175" t="s">
        <v>758</v>
      </c>
      <c r="F4" s="174" t="s">
        <v>730</v>
      </c>
      <c r="G4" s="162" t="s">
        <v>5</v>
      </c>
    </row>
    <row r="5" spans="1:7" ht="15" thickBot="1">
      <c r="A5" s="155"/>
      <c r="B5" s="96" t="s">
        <v>912</v>
      </c>
      <c r="C5" s="157"/>
      <c r="D5" s="159"/>
      <c r="E5" s="159"/>
      <c r="F5" s="157"/>
      <c r="G5" s="163"/>
    </row>
    <row r="6" spans="1:7" ht="15.75">
      <c r="A6" s="252" t="s">
        <v>1288</v>
      </c>
      <c r="B6" s="252"/>
      <c r="C6" s="252"/>
      <c r="D6" s="252"/>
      <c r="E6" s="252"/>
      <c r="F6" s="252"/>
      <c r="G6" s="29"/>
    </row>
    <row r="7" spans="1:7" ht="12.75">
      <c r="A7" s="225" t="s">
        <v>1289</v>
      </c>
      <c r="B7" s="249" t="s">
        <v>1209</v>
      </c>
      <c r="C7" s="249" t="s">
        <v>1210</v>
      </c>
      <c r="D7" s="249" t="s">
        <v>16</v>
      </c>
      <c r="E7" s="249" t="s">
        <v>709</v>
      </c>
      <c r="F7" s="323" t="s">
        <v>1184</v>
      </c>
      <c r="G7" s="99" t="s">
        <v>1212</v>
      </c>
    </row>
    <row r="8" spans="1:7" ht="12.75">
      <c r="A8" s="229"/>
      <c r="B8" s="229"/>
      <c r="C8" s="229"/>
      <c r="D8" s="229"/>
      <c r="E8" s="229"/>
      <c r="F8" s="230"/>
      <c r="G8" s="29"/>
    </row>
    <row r="9" spans="1:7" ht="15.75">
      <c r="A9" s="252" t="s">
        <v>1288</v>
      </c>
      <c r="B9" s="252"/>
      <c r="C9" s="252"/>
      <c r="D9" s="252"/>
      <c r="E9" s="252"/>
      <c r="F9" s="252"/>
      <c r="G9" s="136"/>
    </row>
    <row r="10" spans="1:7" ht="12.75">
      <c r="A10" s="234" t="s">
        <v>1290</v>
      </c>
      <c r="B10" s="324" t="s">
        <v>1291</v>
      </c>
      <c r="C10" s="324" t="s">
        <v>1292</v>
      </c>
      <c r="D10" s="324" t="s">
        <v>16</v>
      </c>
      <c r="E10" s="324" t="s">
        <v>709</v>
      </c>
      <c r="F10" s="328" t="s">
        <v>1293</v>
      </c>
      <c r="G10" s="114" t="s">
        <v>1294</v>
      </c>
    </row>
    <row r="11" spans="1:7" ht="12.75">
      <c r="A11" s="225" t="s">
        <v>1268</v>
      </c>
      <c r="B11" s="249" t="s">
        <v>1295</v>
      </c>
      <c r="C11" s="249" t="s">
        <v>1270</v>
      </c>
      <c r="D11" s="249" t="s">
        <v>1230</v>
      </c>
      <c r="E11" s="249" t="s">
        <v>218</v>
      </c>
      <c r="F11" s="323" t="s">
        <v>1293</v>
      </c>
      <c r="G11" s="109" t="s">
        <v>42</v>
      </c>
    </row>
    <row r="12" spans="1:7" ht="12.75">
      <c r="A12" s="240" t="s">
        <v>1254</v>
      </c>
      <c r="B12" s="255" t="s">
        <v>1255</v>
      </c>
      <c r="C12" s="255" t="s">
        <v>1256</v>
      </c>
      <c r="D12" s="255" t="s">
        <v>1311</v>
      </c>
      <c r="E12" s="255" t="s">
        <v>924</v>
      </c>
      <c r="F12" s="332" t="s">
        <v>1007</v>
      </c>
      <c r="G12" s="118" t="s">
        <v>1242</v>
      </c>
    </row>
    <row r="13" spans="1:7" ht="12.75">
      <c r="A13" s="240" t="s">
        <v>1257</v>
      </c>
      <c r="B13" s="255" t="s">
        <v>1258</v>
      </c>
      <c r="C13" s="255" t="s">
        <v>1259</v>
      </c>
      <c r="D13" s="255" t="s">
        <v>1230</v>
      </c>
      <c r="E13" s="255" t="s">
        <v>218</v>
      </c>
      <c r="F13" s="332" t="s">
        <v>1007</v>
      </c>
      <c r="G13" s="118" t="s">
        <v>42</v>
      </c>
    </row>
    <row r="14" spans="1:7" ht="12.75">
      <c r="A14" s="240" t="s">
        <v>1266</v>
      </c>
      <c r="B14" s="255" t="s">
        <v>1267</v>
      </c>
      <c r="C14" s="255" t="s">
        <v>1093</v>
      </c>
      <c r="D14" s="255" t="s">
        <v>16</v>
      </c>
      <c r="E14" s="256" t="s">
        <v>759</v>
      </c>
      <c r="F14" s="332" t="s">
        <v>1007</v>
      </c>
      <c r="G14" s="118" t="s">
        <v>42</v>
      </c>
    </row>
    <row r="15" spans="1:7" ht="12.75">
      <c r="A15" s="29"/>
      <c r="B15" s="29"/>
      <c r="C15" s="29"/>
      <c r="D15" s="29"/>
      <c r="E15" s="29"/>
      <c r="F15" s="48"/>
      <c r="G15" s="29"/>
    </row>
    <row r="16" spans="1:7" ht="12.75">
      <c r="A16" s="29"/>
      <c r="B16" s="29"/>
      <c r="C16" s="29"/>
      <c r="D16" s="29"/>
      <c r="E16" s="29"/>
      <c r="F16" s="48"/>
      <c r="G16" s="29"/>
    </row>
    <row r="17" spans="1:7" ht="12.75">
      <c r="A17" s="29"/>
      <c r="B17" s="29"/>
      <c r="C17" s="29"/>
      <c r="D17" s="29"/>
      <c r="E17" s="29"/>
      <c r="F17" s="48"/>
      <c r="G17" s="29"/>
    </row>
    <row r="18" spans="1:7" ht="12.75">
      <c r="A18" s="29"/>
      <c r="B18" s="29"/>
      <c r="C18" s="29"/>
      <c r="D18" s="29"/>
      <c r="E18" s="29"/>
      <c r="F18" s="48"/>
      <c r="G18" s="29"/>
    </row>
    <row r="19" spans="1:7" ht="12.75">
      <c r="A19" s="29"/>
      <c r="B19" s="29"/>
      <c r="C19" s="29"/>
      <c r="D19" s="29"/>
      <c r="E19" s="29"/>
      <c r="F19" s="48"/>
      <c r="G19" s="29"/>
    </row>
    <row r="20" spans="1:7" ht="12.75">
      <c r="A20" s="29"/>
      <c r="B20" s="29"/>
      <c r="C20" s="29"/>
      <c r="D20" s="29"/>
      <c r="E20" s="29"/>
      <c r="F20" s="48"/>
      <c r="G20" s="29"/>
    </row>
    <row r="21" spans="1:7" ht="12.75">
      <c r="A21" s="29"/>
      <c r="B21" s="29"/>
      <c r="C21" s="29"/>
      <c r="D21" s="29"/>
      <c r="E21" s="29"/>
      <c r="F21" s="48"/>
      <c r="G21" s="29"/>
    </row>
    <row r="22" spans="1:7" ht="12.75">
      <c r="A22" s="29"/>
      <c r="B22" s="29"/>
      <c r="C22" s="29"/>
      <c r="D22" s="29"/>
      <c r="E22" s="29"/>
      <c r="F22" s="48"/>
      <c r="G22" s="29"/>
    </row>
    <row r="23" spans="1:7" ht="12.75">
      <c r="A23" s="29"/>
      <c r="B23" s="29"/>
      <c r="C23" s="29"/>
      <c r="D23" s="29"/>
      <c r="E23" s="29"/>
      <c r="F23" s="48"/>
      <c r="G23" s="29"/>
    </row>
    <row r="24" spans="1:7" ht="12.75">
      <c r="A24" s="29"/>
      <c r="B24" s="29"/>
      <c r="C24" s="29"/>
      <c r="D24" s="29"/>
      <c r="E24" s="29"/>
      <c r="F24" s="48"/>
      <c r="G24" s="29"/>
    </row>
    <row r="25" spans="1:7" ht="12.75">
      <c r="A25" s="29"/>
      <c r="B25" s="29"/>
      <c r="C25" s="29"/>
      <c r="D25" s="29"/>
      <c r="E25" s="29"/>
      <c r="F25" s="48"/>
      <c r="G25" s="29"/>
    </row>
    <row r="26" spans="1:7" ht="12.75">
      <c r="A26" s="29"/>
      <c r="B26" s="29"/>
      <c r="C26" s="29"/>
      <c r="D26" s="29"/>
      <c r="E26" s="29"/>
      <c r="F26" s="48"/>
      <c r="G26" s="29"/>
    </row>
    <row r="27" spans="1:7" ht="12.75">
      <c r="A27" s="29"/>
      <c r="B27" s="29"/>
      <c r="C27" s="29"/>
      <c r="D27" s="29"/>
      <c r="E27" s="29"/>
      <c r="F27" s="48"/>
      <c r="G27" s="29"/>
    </row>
    <row r="28" spans="1:7" ht="12.75">
      <c r="A28" s="29"/>
      <c r="B28" s="29"/>
      <c r="C28" s="29"/>
      <c r="D28" s="29"/>
      <c r="E28" s="29"/>
      <c r="F28" s="48"/>
      <c r="G28" s="29"/>
    </row>
    <row r="29" spans="1:7" ht="12.75">
      <c r="A29" s="29"/>
      <c r="B29" s="29"/>
      <c r="C29" s="29"/>
      <c r="D29" s="29"/>
      <c r="E29" s="29"/>
      <c r="F29" s="48"/>
      <c r="G29" s="29"/>
    </row>
    <row r="30" spans="1:7" ht="12.75">
      <c r="A30" s="29"/>
      <c r="B30" s="29"/>
      <c r="C30" s="29"/>
      <c r="D30" s="29"/>
      <c r="E30" s="29"/>
      <c r="F30" s="48"/>
      <c r="G30" s="29"/>
    </row>
    <row r="31" spans="1:7" ht="12.75">
      <c r="A31" s="29"/>
      <c r="B31" s="29"/>
      <c r="C31" s="29"/>
      <c r="D31" s="29"/>
      <c r="E31" s="29"/>
      <c r="F31" s="48"/>
      <c r="G31" s="29"/>
    </row>
    <row r="32" spans="1:7" ht="12.75">
      <c r="A32" s="29"/>
      <c r="B32" s="29"/>
      <c r="C32" s="29"/>
      <c r="D32" s="29"/>
      <c r="E32" s="29"/>
      <c r="F32" s="48"/>
      <c r="G32" s="29"/>
    </row>
    <row r="33" spans="1:7" ht="12.75">
      <c r="A33" s="29"/>
      <c r="B33" s="29"/>
      <c r="C33" s="29"/>
      <c r="D33" s="29"/>
      <c r="E33" s="29"/>
      <c r="F33" s="48"/>
      <c r="G33" s="29"/>
    </row>
    <row r="34" spans="1:7" ht="12.75">
      <c r="A34" s="29"/>
      <c r="B34" s="29"/>
      <c r="C34" s="29"/>
      <c r="D34" s="29"/>
      <c r="E34" s="29"/>
      <c r="F34" s="48"/>
      <c r="G34" s="29"/>
    </row>
  </sheetData>
  <sheetProtection/>
  <mergeCells count="11">
    <mergeCell ref="F4:F5"/>
    <mergeCell ref="G4:G5"/>
    <mergeCell ref="A6:F6"/>
    <mergeCell ref="A9:F9"/>
    <mergeCell ref="A1:G1"/>
    <mergeCell ref="A2:G2"/>
    <mergeCell ref="A3:G3"/>
    <mergeCell ref="A4:A5"/>
    <mergeCell ref="C4:C5"/>
    <mergeCell ref="D4:D5"/>
    <mergeCell ref="E4:E5"/>
  </mergeCell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32">
      <selection activeCell="H75" sqref="H75"/>
    </sheetView>
  </sheetViews>
  <sheetFormatPr defaultColWidth="8.75390625" defaultRowHeight="12.75"/>
  <cols>
    <col min="1" max="1" width="8.125" style="48" customWidth="1"/>
    <col min="2" max="2" width="22.375" style="29" customWidth="1"/>
    <col min="3" max="3" width="26.25390625" style="29" customWidth="1"/>
    <col min="4" max="4" width="10.25390625" style="29" customWidth="1"/>
    <col min="5" max="5" width="12.375" style="29" customWidth="1"/>
    <col min="6" max="6" width="17.375" style="29" customWidth="1"/>
    <col min="7" max="7" width="37.25390625" style="29" bestFit="1" customWidth="1"/>
    <col min="8" max="10" width="5.625" style="29" bestFit="1" customWidth="1"/>
    <col min="11" max="11" width="4.625" style="29" bestFit="1" customWidth="1"/>
    <col min="12" max="12" width="13.875" style="48" customWidth="1"/>
    <col min="13" max="13" width="8.625" style="29" bestFit="1" customWidth="1"/>
    <col min="14" max="14" width="19.875" style="29" customWidth="1"/>
  </cols>
  <sheetData>
    <row r="1" spans="1:14" s="1" customFormat="1" ht="15" customHeight="1">
      <c r="A1" s="45"/>
      <c r="B1" s="194" t="s">
        <v>797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09.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132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47" t="s">
        <v>729</v>
      </c>
      <c r="B6" s="218" t="s">
        <v>782</v>
      </c>
      <c r="C6" s="30" t="s">
        <v>276</v>
      </c>
      <c r="D6" s="30" t="s">
        <v>277</v>
      </c>
      <c r="E6" s="30" t="str">
        <f>"2,3790"</f>
        <v>2,3790</v>
      </c>
      <c r="F6" s="30" t="s">
        <v>16</v>
      </c>
      <c r="G6" s="30" t="s">
        <v>759</v>
      </c>
      <c r="H6" s="50" t="s">
        <v>278</v>
      </c>
      <c r="I6" s="50" t="s">
        <v>279</v>
      </c>
      <c r="J6" s="49" t="s">
        <v>253</v>
      </c>
      <c r="K6" s="31"/>
      <c r="L6" s="47" t="s">
        <v>987</v>
      </c>
      <c r="M6" s="30" t="str">
        <f>"101,1075"</f>
        <v>101,1075</v>
      </c>
      <c r="N6" s="30" t="s">
        <v>804</v>
      </c>
    </row>
    <row r="8" spans="1:13" ht="15.75">
      <c r="A8" s="46"/>
      <c r="B8" s="191" t="s">
        <v>146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1:14" ht="12.75">
      <c r="A9" s="47"/>
      <c r="B9" s="30" t="s">
        <v>280</v>
      </c>
      <c r="C9" s="30" t="s">
        <v>281</v>
      </c>
      <c r="D9" s="30" t="s">
        <v>282</v>
      </c>
      <c r="E9" s="30" t="str">
        <f>"2,0972"</f>
        <v>2,0972</v>
      </c>
      <c r="F9" s="30" t="s">
        <v>16</v>
      </c>
      <c r="G9" s="30" t="s">
        <v>759</v>
      </c>
      <c r="H9" s="49" t="s">
        <v>136</v>
      </c>
      <c r="I9" s="49" t="s">
        <v>136</v>
      </c>
      <c r="J9" s="49" t="s">
        <v>136</v>
      </c>
      <c r="K9" s="31"/>
      <c r="L9" s="84" t="s">
        <v>82</v>
      </c>
      <c r="M9" s="30" t="str">
        <f>"0,0000"</f>
        <v>0,0000</v>
      </c>
      <c r="N9" s="30" t="s">
        <v>283</v>
      </c>
    </row>
    <row r="11" spans="1:13" ht="15.75">
      <c r="A11" s="46"/>
      <c r="B11" s="191" t="s">
        <v>284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</row>
    <row r="12" spans="1:14" ht="12.75">
      <c r="A12" s="47" t="s">
        <v>729</v>
      </c>
      <c r="B12" s="218" t="s">
        <v>783</v>
      </c>
      <c r="C12" s="30" t="s">
        <v>285</v>
      </c>
      <c r="D12" s="30" t="s">
        <v>286</v>
      </c>
      <c r="E12" s="30" t="str">
        <f>"2,0634"</f>
        <v>2,0634</v>
      </c>
      <c r="F12" s="30" t="s">
        <v>16</v>
      </c>
      <c r="G12" s="30" t="s">
        <v>287</v>
      </c>
      <c r="H12" s="50" t="s">
        <v>288</v>
      </c>
      <c r="I12" s="49" t="s">
        <v>160</v>
      </c>
      <c r="J12" s="49" t="s">
        <v>161</v>
      </c>
      <c r="K12" s="31"/>
      <c r="L12" s="47" t="s">
        <v>988</v>
      </c>
      <c r="M12" s="30" t="str">
        <f>"128,9625"</f>
        <v>128,9625</v>
      </c>
      <c r="N12" s="30" t="s">
        <v>289</v>
      </c>
    </row>
    <row r="14" spans="1:13" ht="15.75">
      <c r="A14" s="46"/>
      <c r="B14" s="191" t="s">
        <v>153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14" ht="12.75">
      <c r="A15" s="47" t="s">
        <v>729</v>
      </c>
      <c r="B15" s="30" t="s">
        <v>784</v>
      </c>
      <c r="C15" s="30" t="s">
        <v>290</v>
      </c>
      <c r="D15" s="30" t="s">
        <v>291</v>
      </c>
      <c r="E15" s="30" t="str">
        <f>"1,7830"</f>
        <v>1,7830</v>
      </c>
      <c r="F15" s="30" t="s">
        <v>16</v>
      </c>
      <c r="G15" s="30" t="s">
        <v>759</v>
      </c>
      <c r="H15" s="50" t="s">
        <v>143</v>
      </c>
      <c r="I15" s="49" t="s">
        <v>144</v>
      </c>
      <c r="J15" s="49" t="s">
        <v>144</v>
      </c>
      <c r="K15" s="31"/>
      <c r="L15" s="47" t="s">
        <v>805</v>
      </c>
      <c r="M15" s="30" t="str">
        <f>"178,3000"</f>
        <v>178,3000</v>
      </c>
      <c r="N15" s="30" t="s">
        <v>292</v>
      </c>
    </row>
    <row r="17" spans="1:13" ht="15.75">
      <c r="A17" s="46"/>
      <c r="B17" s="191" t="s">
        <v>12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4" ht="12.75">
      <c r="A18" s="47" t="s">
        <v>729</v>
      </c>
      <c r="B18" s="218" t="s">
        <v>293</v>
      </c>
      <c r="C18" s="30" t="s">
        <v>294</v>
      </c>
      <c r="D18" s="30" t="s">
        <v>295</v>
      </c>
      <c r="E18" s="30" t="str">
        <f>"1,5752"</f>
        <v>1,5752</v>
      </c>
      <c r="F18" s="30" t="s">
        <v>16</v>
      </c>
      <c r="G18" s="30" t="s">
        <v>759</v>
      </c>
      <c r="H18" s="50" t="s">
        <v>142</v>
      </c>
      <c r="I18" s="49" t="s">
        <v>176</v>
      </c>
      <c r="J18" s="49" t="s">
        <v>176</v>
      </c>
      <c r="K18" s="31"/>
      <c r="L18" s="47" t="s">
        <v>806</v>
      </c>
      <c r="M18" s="30" t="str">
        <f>"141,7680"</f>
        <v>141,7680</v>
      </c>
      <c r="N18" s="30" t="s">
        <v>296</v>
      </c>
    </row>
    <row r="20" spans="1:13" ht="15.75">
      <c r="A20" s="46"/>
      <c r="B20" s="191" t="s">
        <v>284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4" ht="12.75">
      <c r="A21" s="47" t="s">
        <v>729</v>
      </c>
      <c r="B21" s="218" t="s">
        <v>297</v>
      </c>
      <c r="C21" s="30" t="s">
        <v>298</v>
      </c>
      <c r="D21" s="30" t="s">
        <v>299</v>
      </c>
      <c r="E21" s="30" t="str">
        <f>"1,6074"</f>
        <v>1,6074</v>
      </c>
      <c r="F21" s="30" t="s">
        <v>16</v>
      </c>
      <c r="G21" s="30" t="s">
        <v>214</v>
      </c>
      <c r="H21" s="50" t="s">
        <v>49</v>
      </c>
      <c r="I21" s="49" t="s">
        <v>23</v>
      </c>
      <c r="J21" s="49" t="s">
        <v>50</v>
      </c>
      <c r="K21" s="31"/>
      <c r="L21" s="47" t="s">
        <v>807</v>
      </c>
      <c r="M21" s="30" t="str">
        <f>"233,0730"</f>
        <v>233,0730</v>
      </c>
      <c r="N21" s="30" t="s">
        <v>42</v>
      </c>
    </row>
    <row r="23" spans="1:13" ht="15.75">
      <c r="A23" s="46"/>
      <c r="B23" s="191" t="s">
        <v>153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14" ht="12.75">
      <c r="A24" s="47" t="s">
        <v>729</v>
      </c>
      <c r="B24" s="218" t="s">
        <v>785</v>
      </c>
      <c r="C24" s="30" t="s">
        <v>300</v>
      </c>
      <c r="D24" s="30" t="s">
        <v>301</v>
      </c>
      <c r="E24" s="30" t="str">
        <f>"1,5430"</f>
        <v>1,5430</v>
      </c>
      <c r="F24" s="30" t="s">
        <v>16</v>
      </c>
      <c r="G24" s="30" t="s">
        <v>302</v>
      </c>
      <c r="H24" s="50" t="s">
        <v>21</v>
      </c>
      <c r="I24" s="50" t="s">
        <v>22</v>
      </c>
      <c r="J24" s="49" t="s">
        <v>303</v>
      </c>
      <c r="K24" s="31"/>
      <c r="L24" s="47" t="s">
        <v>808</v>
      </c>
      <c r="M24" s="30" t="str">
        <f>"216,0200"</f>
        <v>216,0200</v>
      </c>
      <c r="N24" s="30" t="s">
        <v>521</v>
      </c>
    </row>
    <row r="26" spans="1:13" ht="15.75">
      <c r="A26" s="46"/>
      <c r="B26" s="191" t="s">
        <v>12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1:14" ht="12.75">
      <c r="A27" s="47" t="s">
        <v>729</v>
      </c>
      <c r="B27" s="218" t="s">
        <v>324</v>
      </c>
      <c r="C27" s="30" t="s">
        <v>305</v>
      </c>
      <c r="D27" s="30" t="s">
        <v>306</v>
      </c>
      <c r="E27" s="30" t="str">
        <f>"1,2140"</f>
        <v>1,2140</v>
      </c>
      <c r="F27" s="30" t="s">
        <v>16</v>
      </c>
      <c r="G27" s="30" t="s">
        <v>798</v>
      </c>
      <c r="H27" s="50" t="s">
        <v>18</v>
      </c>
      <c r="I27" s="50" t="s">
        <v>19</v>
      </c>
      <c r="J27" s="50" t="s">
        <v>20</v>
      </c>
      <c r="K27" s="31"/>
      <c r="L27" s="47" t="s">
        <v>809</v>
      </c>
      <c r="M27" s="30" t="str">
        <f>"230,6600"</f>
        <v>230,6600</v>
      </c>
      <c r="N27" s="30" t="s">
        <v>42</v>
      </c>
    </row>
    <row r="29" spans="1:13" ht="15.75">
      <c r="A29" s="46"/>
      <c r="B29" s="191" t="s">
        <v>34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1:14" ht="12.75">
      <c r="A30" s="51" t="s">
        <v>729</v>
      </c>
      <c r="B30" s="219" t="s">
        <v>786</v>
      </c>
      <c r="C30" s="32" t="s">
        <v>307</v>
      </c>
      <c r="D30" s="32" t="s">
        <v>37</v>
      </c>
      <c r="E30" s="32" t="str">
        <f>"1,0356"</f>
        <v>1,0356</v>
      </c>
      <c r="F30" s="32" t="s">
        <v>16</v>
      </c>
      <c r="G30" s="32" t="s">
        <v>218</v>
      </c>
      <c r="H30" s="55" t="s">
        <v>59</v>
      </c>
      <c r="I30" s="54" t="s">
        <v>182</v>
      </c>
      <c r="J30" s="54" t="s">
        <v>182</v>
      </c>
      <c r="K30" s="33"/>
      <c r="L30" s="51" t="s">
        <v>810</v>
      </c>
      <c r="M30" s="32" t="str">
        <f>"165,6960"</f>
        <v>165,6960</v>
      </c>
      <c r="N30" s="32" t="s">
        <v>308</v>
      </c>
    </row>
    <row r="31" spans="1:14" ht="12.75">
      <c r="A31" s="47" t="s">
        <v>729</v>
      </c>
      <c r="B31" s="218" t="s">
        <v>788</v>
      </c>
      <c r="C31" s="30" t="s">
        <v>310</v>
      </c>
      <c r="D31" s="30" t="s">
        <v>311</v>
      </c>
      <c r="E31" s="30" t="str">
        <f>"1,0348"</f>
        <v>1,0348</v>
      </c>
      <c r="F31" s="30" t="s">
        <v>16</v>
      </c>
      <c r="G31" s="30" t="s">
        <v>759</v>
      </c>
      <c r="H31" s="49" t="s">
        <v>23</v>
      </c>
      <c r="I31" s="50" t="s">
        <v>23</v>
      </c>
      <c r="J31" s="49" t="s">
        <v>81</v>
      </c>
      <c r="K31" s="31"/>
      <c r="L31" s="47" t="s">
        <v>811</v>
      </c>
      <c r="M31" s="30" t="str">
        <f>"155,2200"</f>
        <v>155,2200</v>
      </c>
      <c r="N31" s="30" t="s">
        <v>312</v>
      </c>
    </row>
    <row r="32" spans="1:14" ht="12.75">
      <c r="A32" s="52" t="s">
        <v>731</v>
      </c>
      <c r="B32" s="220" t="s">
        <v>787</v>
      </c>
      <c r="C32" s="34" t="s">
        <v>314</v>
      </c>
      <c r="D32" s="34" t="s">
        <v>315</v>
      </c>
      <c r="E32" s="34" t="str">
        <f>"1,0528"</f>
        <v>1,0528</v>
      </c>
      <c r="F32" s="34" t="s">
        <v>1307</v>
      </c>
      <c r="G32" s="34" t="s">
        <v>759</v>
      </c>
      <c r="H32" s="56" t="s">
        <v>21</v>
      </c>
      <c r="I32" s="53" t="s">
        <v>316</v>
      </c>
      <c r="J32" s="53" t="s">
        <v>316</v>
      </c>
      <c r="K32" s="35"/>
      <c r="L32" s="52" t="s">
        <v>812</v>
      </c>
      <c r="M32" s="34" t="str">
        <f>"142,1280"</f>
        <v>142,1280</v>
      </c>
      <c r="N32" s="34" t="s">
        <v>317</v>
      </c>
    </row>
    <row r="34" spans="1:13" ht="15.75">
      <c r="A34" s="46"/>
      <c r="B34" s="191" t="s">
        <v>54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1:14" ht="12.75">
      <c r="A35" s="51" t="s">
        <v>729</v>
      </c>
      <c r="B35" s="219" t="s">
        <v>789</v>
      </c>
      <c r="C35" s="32" t="s">
        <v>318</v>
      </c>
      <c r="D35" s="32" t="s">
        <v>319</v>
      </c>
      <c r="E35" s="32" t="str">
        <f>"1,0150"</f>
        <v>1,0150</v>
      </c>
      <c r="F35" s="32" t="s">
        <v>16</v>
      </c>
      <c r="G35" s="32" t="s">
        <v>320</v>
      </c>
      <c r="H35" s="54" t="s">
        <v>49</v>
      </c>
      <c r="I35" s="55" t="s">
        <v>23</v>
      </c>
      <c r="J35" s="55" t="s">
        <v>165</v>
      </c>
      <c r="K35" s="33"/>
      <c r="L35" s="51" t="s">
        <v>813</v>
      </c>
      <c r="M35" s="32" t="str">
        <f>"157,3250"</f>
        <v>157,3250</v>
      </c>
      <c r="N35" s="32" t="s">
        <v>321</v>
      </c>
    </row>
    <row r="36" spans="1:14" ht="12.75">
      <c r="A36" s="47" t="s">
        <v>731</v>
      </c>
      <c r="B36" s="218" t="s">
        <v>790</v>
      </c>
      <c r="C36" s="30" t="s">
        <v>322</v>
      </c>
      <c r="D36" s="30" t="s">
        <v>323</v>
      </c>
      <c r="E36" s="30" t="str">
        <f>"0,9690"</f>
        <v>0,9690</v>
      </c>
      <c r="F36" s="30" t="s">
        <v>16</v>
      </c>
      <c r="G36" s="30" t="s">
        <v>799</v>
      </c>
      <c r="H36" s="49" t="s">
        <v>159</v>
      </c>
      <c r="I36" s="50" t="s">
        <v>159</v>
      </c>
      <c r="J36" s="50" t="s">
        <v>166</v>
      </c>
      <c r="K36" s="31"/>
      <c r="L36" s="47" t="s">
        <v>814</v>
      </c>
      <c r="M36" s="30" t="str">
        <f>"116,2800"</f>
        <v>116,2800</v>
      </c>
      <c r="N36" s="30" t="s">
        <v>324</v>
      </c>
    </row>
    <row r="37" spans="1:14" ht="12.75">
      <c r="A37" s="62" t="s">
        <v>729</v>
      </c>
      <c r="B37" s="222" t="s">
        <v>325</v>
      </c>
      <c r="C37" s="36" t="s">
        <v>326</v>
      </c>
      <c r="D37" s="36" t="s">
        <v>327</v>
      </c>
      <c r="E37" s="36" t="str">
        <f>"0,9736"</f>
        <v>0,9736</v>
      </c>
      <c r="F37" s="36" t="s">
        <v>16</v>
      </c>
      <c r="G37" s="36" t="s">
        <v>328</v>
      </c>
      <c r="H37" s="64" t="s">
        <v>24</v>
      </c>
      <c r="I37" s="63" t="s">
        <v>25</v>
      </c>
      <c r="J37" s="63" t="s">
        <v>25</v>
      </c>
      <c r="K37" s="37"/>
      <c r="L37" s="62" t="s">
        <v>815</v>
      </c>
      <c r="M37" s="36" t="str">
        <f>"194,7200"</f>
        <v>194,7200</v>
      </c>
      <c r="N37" s="36" t="s">
        <v>42</v>
      </c>
    </row>
    <row r="38" spans="1:14" ht="12.75">
      <c r="A38" s="47" t="s">
        <v>731</v>
      </c>
      <c r="B38" s="218" t="s">
        <v>329</v>
      </c>
      <c r="C38" s="30" t="s">
        <v>330</v>
      </c>
      <c r="D38" s="30" t="s">
        <v>331</v>
      </c>
      <c r="E38" s="30" t="str">
        <f>"0,9878"</f>
        <v>0,9878</v>
      </c>
      <c r="F38" s="30" t="s">
        <v>16</v>
      </c>
      <c r="G38" s="30" t="s">
        <v>332</v>
      </c>
      <c r="H38" s="50" t="s">
        <v>18</v>
      </c>
      <c r="I38" s="49" t="s">
        <v>29</v>
      </c>
      <c r="J38" s="50" t="s">
        <v>29</v>
      </c>
      <c r="K38" s="31"/>
      <c r="L38" s="47" t="s">
        <v>816</v>
      </c>
      <c r="M38" s="30" t="str">
        <f>"172,8650"</f>
        <v>172,8650</v>
      </c>
      <c r="N38" s="30" t="s">
        <v>42</v>
      </c>
    </row>
    <row r="39" spans="1:14" ht="12.75">
      <c r="A39" s="62" t="s">
        <v>732</v>
      </c>
      <c r="B39" s="222" t="s">
        <v>333</v>
      </c>
      <c r="C39" s="36" t="s">
        <v>334</v>
      </c>
      <c r="D39" s="36" t="s">
        <v>335</v>
      </c>
      <c r="E39" s="36" t="str">
        <f>"0,9752"</f>
        <v>0,9752</v>
      </c>
      <c r="F39" s="36" t="s">
        <v>16</v>
      </c>
      <c r="G39" s="36" t="s">
        <v>371</v>
      </c>
      <c r="H39" s="64" t="s">
        <v>22</v>
      </c>
      <c r="I39" s="64" t="s">
        <v>49</v>
      </c>
      <c r="J39" s="63" t="s">
        <v>50</v>
      </c>
      <c r="K39" s="37"/>
      <c r="L39" s="62" t="s">
        <v>807</v>
      </c>
      <c r="M39" s="36" t="str">
        <f>"141,4040"</f>
        <v>141,4040</v>
      </c>
      <c r="N39" s="36" t="s">
        <v>42</v>
      </c>
    </row>
    <row r="40" spans="1:14" ht="12.75">
      <c r="A40" s="47" t="s">
        <v>729</v>
      </c>
      <c r="B40" s="218" t="s">
        <v>336</v>
      </c>
      <c r="C40" s="30" t="s">
        <v>337</v>
      </c>
      <c r="D40" s="30" t="s">
        <v>327</v>
      </c>
      <c r="E40" s="30" t="str">
        <f>"0,9736"</f>
        <v>0,9736</v>
      </c>
      <c r="F40" s="30" t="s">
        <v>16</v>
      </c>
      <c r="G40" s="30" t="s">
        <v>79</v>
      </c>
      <c r="H40" s="50" t="s">
        <v>30</v>
      </c>
      <c r="I40" s="50" t="s">
        <v>20</v>
      </c>
      <c r="J40" s="49" t="s">
        <v>31</v>
      </c>
      <c r="K40" s="31"/>
      <c r="L40" s="47" t="s">
        <v>809</v>
      </c>
      <c r="M40" s="30" t="str">
        <f>"185,9089"</f>
        <v>185,9089</v>
      </c>
      <c r="N40" s="30" t="s">
        <v>42</v>
      </c>
    </row>
    <row r="42" spans="1:13" ht="15.75">
      <c r="A42" s="46"/>
      <c r="B42" s="191" t="s">
        <v>61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3" spans="1:14" ht="12.75">
      <c r="A43" s="51" t="s">
        <v>729</v>
      </c>
      <c r="B43" s="219" t="s">
        <v>791</v>
      </c>
      <c r="C43" s="32" t="s">
        <v>338</v>
      </c>
      <c r="D43" s="32" t="s">
        <v>339</v>
      </c>
      <c r="E43" s="32" t="str">
        <f>"0,9336"</f>
        <v>0,9336</v>
      </c>
      <c r="F43" s="32" t="s">
        <v>16</v>
      </c>
      <c r="G43" s="36" t="s">
        <v>799</v>
      </c>
      <c r="H43" s="55" t="s">
        <v>21</v>
      </c>
      <c r="I43" s="55" t="s">
        <v>22</v>
      </c>
      <c r="J43" s="55" t="s">
        <v>49</v>
      </c>
      <c r="K43" s="33"/>
      <c r="L43" s="51" t="s">
        <v>807</v>
      </c>
      <c r="M43" s="32" t="str">
        <f>"135,3720"</f>
        <v>135,3720</v>
      </c>
      <c r="N43" s="32" t="s">
        <v>324</v>
      </c>
    </row>
    <row r="44" spans="1:14" ht="12.75">
      <c r="A44" s="47" t="s">
        <v>729</v>
      </c>
      <c r="B44" s="218" t="s">
        <v>340</v>
      </c>
      <c r="C44" s="30" t="s">
        <v>341</v>
      </c>
      <c r="D44" s="30" t="s">
        <v>342</v>
      </c>
      <c r="E44" s="30" t="str">
        <f>"0,9186"</f>
        <v>0,9186</v>
      </c>
      <c r="F44" s="30" t="s">
        <v>16</v>
      </c>
      <c r="G44" s="30" t="s">
        <v>218</v>
      </c>
      <c r="H44" s="50" t="s">
        <v>183</v>
      </c>
      <c r="I44" s="49" t="s">
        <v>38</v>
      </c>
      <c r="J44" s="49" t="s">
        <v>38</v>
      </c>
      <c r="K44" s="31"/>
      <c r="L44" s="47" t="s">
        <v>983</v>
      </c>
      <c r="M44" s="30" t="str">
        <f>"204,3885"</f>
        <v>204,3885</v>
      </c>
      <c r="N44" s="30" t="s">
        <v>42</v>
      </c>
    </row>
    <row r="45" spans="1:14" ht="12.75">
      <c r="A45" s="62" t="s">
        <v>731</v>
      </c>
      <c r="B45" s="222" t="s">
        <v>260</v>
      </c>
      <c r="C45" s="36" t="s">
        <v>224</v>
      </c>
      <c r="D45" s="36" t="s">
        <v>225</v>
      </c>
      <c r="E45" s="36" t="str">
        <f>"0,9166"</f>
        <v>0,9166</v>
      </c>
      <c r="F45" s="36" t="s">
        <v>16</v>
      </c>
      <c r="G45" s="36" t="s">
        <v>226</v>
      </c>
      <c r="H45" s="64" t="s">
        <v>74</v>
      </c>
      <c r="I45" s="37"/>
      <c r="J45" s="37"/>
      <c r="K45" s="37"/>
      <c r="L45" s="62" t="s">
        <v>817</v>
      </c>
      <c r="M45" s="36" t="str">
        <f>"192,4860"</f>
        <v>192,4860</v>
      </c>
      <c r="N45" s="36" t="s">
        <v>42</v>
      </c>
    </row>
    <row r="46" spans="1:14" ht="12.75">
      <c r="A46" s="47" t="s">
        <v>732</v>
      </c>
      <c r="B46" s="218" t="s">
        <v>343</v>
      </c>
      <c r="C46" s="30" t="s">
        <v>344</v>
      </c>
      <c r="D46" s="30" t="s">
        <v>345</v>
      </c>
      <c r="E46" s="30" t="str">
        <f>"0,9428"</f>
        <v>0,9428</v>
      </c>
      <c r="F46" s="30" t="s">
        <v>1325</v>
      </c>
      <c r="G46" s="30" t="s">
        <v>759</v>
      </c>
      <c r="H46" s="50" t="s">
        <v>19</v>
      </c>
      <c r="I46" s="49" t="s">
        <v>346</v>
      </c>
      <c r="J46" s="49" t="s">
        <v>346</v>
      </c>
      <c r="K46" s="31"/>
      <c r="L46" s="47" t="s">
        <v>818</v>
      </c>
      <c r="M46" s="30" t="str">
        <f>"169,7040"</f>
        <v>169,7040</v>
      </c>
      <c r="N46" s="30" t="s">
        <v>42</v>
      </c>
    </row>
    <row r="47" spans="1:14" ht="12.75">
      <c r="A47" s="62" t="s">
        <v>800</v>
      </c>
      <c r="B47" s="222" t="s">
        <v>69</v>
      </c>
      <c r="C47" s="36" t="s">
        <v>70</v>
      </c>
      <c r="D47" s="36" t="s">
        <v>71</v>
      </c>
      <c r="E47" s="36" t="str">
        <f>"0,9214"</f>
        <v>0,9214</v>
      </c>
      <c r="F47" s="36" t="s">
        <v>72</v>
      </c>
      <c r="G47" s="36" t="s">
        <v>73</v>
      </c>
      <c r="H47" s="64" t="s">
        <v>32</v>
      </c>
      <c r="I47" s="64" t="s">
        <v>22</v>
      </c>
      <c r="J47" s="63" t="s">
        <v>23</v>
      </c>
      <c r="K47" s="37"/>
      <c r="L47" s="62" t="s">
        <v>808</v>
      </c>
      <c r="M47" s="36" t="str">
        <f>"128,9960"</f>
        <v>128,9960</v>
      </c>
      <c r="N47" s="36" t="s">
        <v>42</v>
      </c>
    </row>
    <row r="48" spans="1:14" ht="12.75">
      <c r="A48" s="47" t="s">
        <v>729</v>
      </c>
      <c r="B48" s="218" t="s">
        <v>289</v>
      </c>
      <c r="C48" s="30" t="s">
        <v>347</v>
      </c>
      <c r="D48" s="30" t="s">
        <v>348</v>
      </c>
      <c r="E48" s="30" t="str">
        <f>"0,9218"</f>
        <v>0,9218</v>
      </c>
      <c r="F48" s="30" t="s">
        <v>16</v>
      </c>
      <c r="G48" s="30" t="s">
        <v>287</v>
      </c>
      <c r="H48" s="50" t="s">
        <v>19</v>
      </c>
      <c r="I48" s="50" t="s">
        <v>20</v>
      </c>
      <c r="J48" s="49" t="s">
        <v>31</v>
      </c>
      <c r="K48" s="31"/>
      <c r="L48" s="47" t="s">
        <v>809</v>
      </c>
      <c r="M48" s="30" t="str">
        <f>"180,0460"</f>
        <v>180,0460</v>
      </c>
      <c r="N48" s="30" t="s">
        <v>42</v>
      </c>
    </row>
    <row r="49" spans="1:14" ht="12.75">
      <c r="A49" s="52" t="s">
        <v>729</v>
      </c>
      <c r="B49" s="220" t="s">
        <v>792</v>
      </c>
      <c r="C49" s="34" t="s">
        <v>349</v>
      </c>
      <c r="D49" s="34" t="s">
        <v>342</v>
      </c>
      <c r="E49" s="34" t="str">
        <f>"0,9186"</f>
        <v>0,9186</v>
      </c>
      <c r="F49" s="34" t="s">
        <v>16</v>
      </c>
      <c r="G49" s="34" t="s">
        <v>350</v>
      </c>
      <c r="H49" s="53" t="s">
        <v>59</v>
      </c>
      <c r="I49" s="56" t="s">
        <v>181</v>
      </c>
      <c r="J49" s="53" t="s">
        <v>18</v>
      </c>
      <c r="K49" s="35"/>
      <c r="L49" s="52" t="s">
        <v>989</v>
      </c>
      <c r="M49" s="34" t="str">
        <f>"158,2289"</f>
        <v>158,2289</v>
      </c>
      <c r="N49" s="34" t="s">
        <v>42</v>
      </c>
    </row>
    <row r="51" spans="1:13" ht="15.75">
      <c r="A51" s="46"/>
      <c r="B51" s="191" t="s">
        <v>76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4" ht="12.75">
      <c r="A52" s="51" t="s">
        <v>729</v>
      </c>
      <c r="B52" s="32" t="s">
        <v>793</v>
      </c>
      <c r="C52" s="32" t="s">
        <v>351</v>
      </c>
      <c r="D52" s="32" t="s">
        <v>352</v>
      </c>
      <c r="E52" s="32" t="str">
        <f>"0,8942"</f>
        <v>0,8942</v>
      </c>
      <c r="F52" s="32" t="s">
        <v>16</v>
      </c>
      <c r="G52" s="32" t="s">
        <v>759</v>
      </c>
      <c r="H52" s="55" t="s">
        <v>20</v>
      </c>
      <c r="I52" s="54" t="s">
        <v>24</v>
      </c>
      <c r="J52" s="54" t="s">
        <v>24</v>
      </c>
      <c r="K52" s="33"/>
      <c r="L52" s="51" t="s">
        <v>809</v>
      </c>
      <c r="M52" s="32" t="str">
        <f>"169,8980"</f>
        <v>169,8980</v>
      </c>
      <c r="N52" s="32" t="s">
        <v>353</v>
      </c>
    </row>
    <row r="53" spans="1:14" ht="12.75">
      <c r="A53" s="47" t="s">
        <v>731</v>
      </c>
      <c r="B53" s="218" t="s">
        <v>794</v>
      </c>
      <c r="C53" s="30" t="s">
        <v>354</v>
      </c>
      <c r="D53" s="30" t="s">
        <v>78</v>
      </c>
      <c r="E53" s="30" t="str">
        <f>"0,8940"</f>
        <v>0,8940</v>
      </c>
      <c r="F53" s="30" t="s">
        <v>72</v>
      </c>
      <c r="G53" s="30" t="s">
        <v>759</v>
      </c>
      <c r="H53" s="50" t="s">
        <v>22</v>
      </c>
      <c r="I53" s="50" t="s">
        <v>59</v>
      </c>
      <c r="J53" s="50" t="s">
        <v>18</v>
      </c>
      <c r="K53" s="31"/>
      <c r="L53" s="47" t="s">
        <v>819</v>
      </c>
      <c r="M53" s="30" t="str">
        <f>"151,9800"</f>
        <v>151,9800</v>
      </c>
      <c r="N53" s="30" t="s">
        <v>42</v>
      </c>
    </row>
    <row r="54" spans="1:14" ht="12.75">
      <c r="A54" s="62" t="s">
        <v>729</v>
      </c>
      <c r="B54" s="36" t="s">
        <v>355</v>
      </c>
      <c r="C54" s="36" t="s">
        <v>356</v>
      </c>
      <c r="D54" s="36" t="s">
        <v>357</v>
      </c>
      <c r="E54" s="36" t="str">
        <f>"0,8870"</f>
        <v>0,8870</v>
      </c>
      <c r="F54" s="36" t="s">
        <v>16</v>
      </c>
      <c r="G54" s="36" t="s">
        <v>759</v>
      </c>
      <c r="H54" s="64" t="s">
        <v>170</v>
      </c>
      <c r="I54" s="63" t="s">
        <v>38</v>
      </c>
      <c r="J54" s="63" t="s">
        <v>38</v>
      </c>
      <c r="K54" s="37"/>
      <c r="L54" s="62" t="s">
        <v>820</v>
      </c>
      <c r="M54" s="36" t="str">
        <f>"195,1400"</f>
        <v>195,1400</v>
      </c>
      <c r="N54" s="36" t="s">
        <v>42</v>
      </c>
    </row>
    <row r="55" spans="1:14" ht="12.75">
      <c r="A55" s="51" t="s">
        <v>731</v>
      </c>
      <c r="B55" s="32" t="s">
        <v>358</v>
      </c>
      <c r="C55" s="32" t="s">
        <v>359</v>
      </c>
      <c r="D55" s="32" t="s">
        <v>360</v>
      </c>
      <c r="E55" s="32" t="str">
        <f>"0,8906"</f>
        <v>0,8906</v>
      </c>
      <c r="F55" s="32" t="s">
        <v>16</v>
      </c>
      <c r="G55" s="32" t="s">
        <v>759</v>
      </c>
      <c r="H55" s="55" t="s">
        <v>96</v>
      </c>
      <c r="I55" s="54" t="s">
        <v>183</v>
      </c>
      <c r="J55" s="54" t="s">
        <v>183</v>
      </c>
      <c r="K55" s="33"/>
      <c r="L55" s="51" t="s">
        <v>990</v>
      </c>
      <c r="M55" s="32" t="str">
        <f>"193,7055"</f>
        <v>193,7055</v>
      </c>
      <c r="N55" s="32" t="s">
        <v>42</v>
      </c>
    </row>
    <row r="56" spans="1:14" ht="12.75">
      <c r="A56" s="47" t="s">
        <v>732</v>
      </c>
      <c r="B56" s="30" t="s">
        <v>361</v>
      </c>
      <c r="C56" s="30" t="s">
        <v>362</v>
      </c>
      <c r="D56" s="30" t="s">
        <v>363</v>
      </c>
      <c r="E56" s="30" t="str">
        <f>"0,8950"</f>
        <v>0,8950</v>
      </c>
      <c r="F56" s="30" t="s">
        <v>16</v>
      </c>
      <c r="G56" s="30" t="s">
        <v>759</v>
      </c>
      <c r="H56" s="49" t="s">
        <v>47</v>
      </c>
      <c r="I56" s="50" t="s">
        <v>47</v>
      </c>
      <c r="J56" s="31"/>
      <c r="K56" s="31"/>
      <c r="L56" s="47" t="s">
        <v>821</v>
      </c>
      <c r="M56" s="30" t="str">
        <f>"183,4750"</f>
        <v>183,4750</v>
      </c>
      <c r="N56" s="30" t="s">
        <v>364</v>
      </c>
    </row>
    <row r="57" spans="1:14" ht="12.75">
      <c r="A57" s="62" t="s">
        <v>800</v>
      </c>
      <c r="B57" s="36" t="s">
        <v>365</v>
      </c>
      <c r="C57" s="36" t="s">
        <v>366</v>
      </c>
      <c r="D57" s="36" t="s">
        <v>367</v>
      </c>
      <c r="E57" s="36" t="str">
        <f>"0,8978"</f>
        <v>0,8978</v>
      </c>
      <c r="F57" s="36" t="s">
        <v>16</v>
      </c>
      <c r="G57" s="36" t="s">
        <v>759</v>
      </c>
      <c r="H57" s="64" t="s">
        <v>31</v>
      </c>
      <c r="I57" s="63" t="s">
        <v>24</v>
      </c>
      <c r="J57" s="63" t="s">
        <v>24</v>
      </c>
      <c r="K57" s="37"/>
      <c r="L57" s="62" t="s">
        <v>822</v>
      </c>
      <c r="M57" s="36" t="str">
        <f>"175,0710"</f>
        <v>175,0710</v>
      </c>
      <c r="N57" s="36" t="s">
        <v>42</v>
      </c>
    </row>
    <row r="58" spans="1:14" ht="12.75">
      <c r="A58" s="47" t="s">
        <v>801</v>
      </c>
      <c r="B58" s="30" t="s">
        <v>368</v>
      </c>
      <c r="C58" s="30" t="s">
        <v>369</v>
      </c>
      <c r="D58" s="30" t="s">
        <v>370</v>
      </c>
      <c r="E58" s="30" t="str">
        <f>"0,9130"</f>
        <v>0,9130</v>
      </c>
      <c r="F58" s="30" t="s">
        <v>16</v>
      </c>
      <c r="G58" s="30" t="s">
        <v>371</v>
      </c>
      <c r="H58" s="50" t="s">
        <v>59</v>
      </c>
      <c r="I58" s="50" t="s">
        <v>18</v>
      </c>
      <c r="J58" s="49" t="s">
        <v>19</v>
      </c>
      <c r="K58" s="31"/>
      <c r="L58" s="47" t="s">
        <v>819</v>
      </c>
      <c r="M58" s="30" t="str">
        <f>"155,2100"</f>
        <v>155,2100</v>
      </c>
      <c r="N58" s="30" t="s">
        <v>372</v>
      </c>
    </row>
    <row r="59" spans="1:14" ht="12.75">
      <c r="A59" s="62" t="s">
        <v>802</v>
      </c>
      <c r="B59" s="36" t="s">
        <v>373</v>
      </c>
      <c r="C59" s="36" t="s">
        <v>374</v>
      </c>
      <c r="D59" s="36" t="s">
        <v>375</v>
      </c>
      <c r="E59" s="36" t="str">
        <f>"0,8870"</f>
        <v>0,8870</v>
      </c>
      <c r="F59" s="36" t="s">
        <v>72</v>
      </c>
      <c r="G59" s="36" t="s">
        <v>759</v>
      </c>
      <c r="H59" s="64" t="s">
        <v>81</v>
      </c>
      <c r="I59" s="64" t="s">
        <v>18</v>
      </c>
      <c r="J59" s="63" t="s">
        <v>19</v>
      </c>
      <c r="K59" s="37"/>
      <c r="L59" s="62" t="s">
        <v>819</v>
      </c>
      <c r="M59" s="36" t="str">
        <f>"150,7900"</f>
        <v>150,7900</v>
      </c>
      <c r="N59" s="36" t="s">
        <v>42</v>
      </c>
    </row>
    <row r="60" spans="1:14" ht="12.75">
      <c r="A60" s="47" t="s">
        <v>803</v>
      </c>
      <c r="B60" s="30" t="s">
        <v>795</v>
      </c>
      <c r="C60" s="30" t="s">
        <v>377</v>
      </c>
      <c r="D60" s="30" t="s">
        <v>378</v>
      </c>
      <c r="E60" s="30" t="str">
        <f>"0,8900"</f>
        <v>0,8900</v>
      </c>
      <c r="F60" s="30" t="s">
        <v>16</v>
      </c>
      <c r="G60" s="30" t="s">
        <v>218</v>
      </c>
      <c r="H60" s="49" t="s">
        <v>182</v>
      </c>
      <c r="I60" s="49" t="s">
        <v>182</v>
      </c>
      <c r="J60" s="50" t="s">
        <v>182</v>
      </c>
      <c r="K60" s="31"/>
      <c r="L60" s="47">
        <v>167.5</v>
      </c>
      <c r="M60" s="30" t="str">
        <f>"149,0750"</f>
        <v>149,0750</v>
      </c>
      <c r="N60" s="30" t="s">
        <v>379</v>
      </c>
    </row>
    <row r="62" spans="1:13" ht="15.75">
      <c r="A62" s="46"/>
      <c r="B62" s="191" t="s">
        <v>84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</row>
    <row r="63" spans="1:14" ht="12.75">
      <c r="A63" s="47" t="s">
        <v>729</v>
      </c>
      <c r="B63" s="30" t="s">
        <v>796</v>
      </c>
      <c r="C63" s="30" t="s">
        <v>380</v>
      </c>
      <c r="D63" s="30" t="s">
        <v>381</v>
      </c>
      <c r="E63" s="30" t="str">
        <f>"0,8630"</f>
        <v>0,8630</v>
      </c>
      <c r="F63" s="30" t="s">
        <v>16</v>
      </c>
      <c r="G63" s="30" t="s">
        <v>328</v>
      </c>
      <c r="H63" s="50" t="s">
        <v>81</v>
      </c>
      <c r="I63" s="50" t="s">
        <v>29</v>
      </c>
      <c r="J63" s="49" t="s">
        <v>19</v>
      </c>
      <c r="K63" s="31"/>
      <c r="L63" s="47" t="s">
        <v>816</v>
      </c>
      <c r="M63" s="30" t="str">
        <f>"151,0250"</f>
        <v>151,0250</v>
      </c>
      <c r="N63" s="30" t="s">
        <v>42</v>
      </c>
    </row>
    <row r="64" ht="15.75">
      <c r="F64" s="38"/>
    </row>
    <row r="66" spans="1:3" ht="18">
      <c r="A66" s="57"/>
      <c r="B66" s="85" t="s">
        <v>100</v>
      </c>
      <c r="C66" s="39"/>
    </row>
    <row r="67" spans="1:3" ht="15.75">
      <c r="A67" s="58"/>
      <c r="B67" s="86" t="s">
        <v>101</v>
      </c>
      <c r="C67" s="40"/>
    </row>
    <row r="68" spans="1:3" ht="13.5">
      <c r="A68" s="59"/>
      <c r="B68" s="87" t="s">
        <v>108</v>
      </c>
      <c r="C68" s="42"/>
    </row>
    <row r="69" spans="1:6" ht="13.5">
      <c r="A69" s="43"/>
      <c r="B69" s="43" t="s">
        <v>102</v>
      </c>
      <c r="C69" s="43" t="s">
        <v>103</v>
      </c>
      <c r="D69" s="43" t="s">
        <v>104</v>
      </c>
      <c r="E69" s="43" t="s">
        <v>730</v>
      </c>
      <c r="F69" s="43" t="s">
        <v>106</v>
      </c>
    </row>
    <row r="70" spans="1:6" ht="12.75">
      <c r="A70" s="48" t="s">
        <v>729</v>
      </c>
      <c r="B70" s="223" t="s">
        <v>297</v>
      </c>
      <c r="C70" s="83" t="s">
        <v>108</v>
      </c>
      <c r="D70" s="83" t="s">
        <v>382</v>
      </c>
      <c r="E70" s="83" t="s">
        <v>49</v>
      </c>
      <c r="F70" s="48" t="s">
        <v>384</v>
      </c>
    </row>
    <row r="71" spans="1:6" ht="12.75">
      <c r="A71" s="48" t="s">
        <v>731</v>
      </c>
      <c r="B71" s="223" t="s">
        <v>304</v>
      </c>
      <c r="C71" s="83" t="s">
        <v>108</v>
      </c>
      <c r="D71" s="83" t="s">
        <v>123</v>
      </c>
      <c r="E71" s="83" t="s">
        <v>20</v>
      </c>
      <c r="F71" s="48" t="s">
        <v>385</v>
      </c>
    </row>
    <row r="72" spans="1:6" ht="12.75">
      <c r="A72" s="48" t="s">
        <v>732</v>
      </c>
      <c r="B72" s="223" t="s">
        <v>340</v>
      </c>
      <c r="C72" s="83" t="s">
        <v>108</v>
      </c>
      <c r="D72" s="83" t="s">
        <v>112</v>
      </c>
      <c r="E72" s="83" t="s">
        <v>183</v>
      </c>
      <c r="F72" s="48" t="s">
        <v>386</v>
      </c>
    </row>
    <row r="73" spans="2:6" ht="12.75">
      <c r="B73" s="223" t="s">
        <v>355</v>
      </c>
      <c r="C73" s="83" t="s">
        <v>108</v>
      </c>
      <c r="D73" s="83" t="s">
        <v>383</v>
      </c>
      <c r="E73" s="83" t="s">
        <v>170</v>
      </c>
      <c r="F73" s="48" t="s">
        <v>387</v>
      </c>
    </row>
    <row r="74" spans="2:6" ht="12.75">
      <c r="B74" s="41" t="s">
        <v>325</v>
      </c>
      <c r="C74" s="83" t="s">
        <v>108</v>
      </c>
      <c r="D74" s="83" t="s">
        <v>107</v>
      </c>
      <c r="E74" s="83" t="s">
        <v>24</v>
      </c>
      <c r="F74" s="48" t="s">
        <v>388</v>
      </c>
    </row>
    <row r="75" spans="2:6" ht="12.75">
      <c r="B75" s="41" t="s">
        <v>358</v>
      </c>
      <c r="C75" s="83" t="s">
        <v>108</v>
      </c>
      <c r="D75" s="83" t="s">
        <v>383</v>
      </c>
      <c r="E75" s="83" t="s">
        <v>96</v>
      </c>
      <c r="F75" s="48" t="s">
        <v>389</v>
      </c>
    </row>
    <row r="76" spans="2:6" ht="12.75">
      <c r="B76" s="41" t="s">
        <v>223</v>
      </c>
      <c r="C76" s="83" t="s">
        <v>108</v>
      </c>
      <c r="D76" s="83" t="s">
        <v>112</v>
      </c>
      <c r="E76" s="83" t="s">
        <v>74</v>
      </c>
      <c r="F76" s="48" t="s">
        <v>390</v>
      </c>
    </row>
    <row r="77" spans="2:6" ht="12.75">
      <c r="B77" s="41" t="s">
        <v>361</v>
      </c>
      <c r="C77" s="83" t="s">
        <v>108</v>
      </c>
      <c r="D77" s="83" t="s">
        <v>383</v>
      </c>
      <c r="E77" s="83" t="s">
        <v>47</v>
      </c>
      <c r="F77" s="48" t="s">
        <v>391</v>
      </c>
    </row>
    <row r="78" spans="2:6" ht="12.75">
      <c r="B78" s="41" t="s">
        <v>365</v>
      </c>
      <c r="C78" s="83" t="s">
        <v>108</v>
      </c>
      <c r="D78" s="83" t="s">
        <v>383</v>
      </c>
      <c r="E78" s="83" t="s">
        <v>31</v>
      </c>
      <c r="F78" s="48" t="s">
        <v>392</v>
      </c>
    </row>
    <row r="79" spans="2:6" ht="12.75">
      <c r="B79" s="41" t="s">
        <v>329</v>
      </c>
      <c r="C79" s="83" t="s">
        <v>108</v>
      </c>
      <c r="D79" s="83" t="s">
        <v>107</v>
      </c>
      <c r="E79" s="83" t="s">
        <v>29</v>
      </c>
      <c r="F79" s="48" t="s">
        <v>393</v>
      </c>
    </row>
    <row r="80" spans="2:6" ht="12.75">
      <c r="B80" s="41" t="s">
        <v>343</v>
      </c>
      <c r="C80" s="83" t="s">
        <v>108</v>
      </c>
      <c r="D80" s="83" t="s">
        <v>112</v>
      </c>
      <c r="E80" s="83" t="s">
        <v>19</v>
      </c>
      <c r="F80" s="48" t="s">
        <v>394</v>
      </c>
    </row>
    <row r="81" spans="2:6" ht="12.75">
      <c r="B81" s="41" t="s">
        <v>309</v>
      </c>
      <c r="C81" s="83" t="s">
        <v>108</v>
      </c>
      <c r="D81" s="83" t="s">
        <v>109</v>
      </c>
      <c r="E81" s="83" t="s">
        <v>23</v>
      </c>
      <c r="F81" s="48" t="s">
        <v>395</v>
      </c>
    </row>
    <row r="82" spans="2:6" ht="12.75">
      <c r="B82" s="41" t="s">
        <v>368</v>
      </c>
      <c r="C82" s="83" t="s">
        <v>108</v>
      </c>
      <c r="D82" s="83" t="s">
        <v>383</v>
      </c>
      <c r="E82" s="83" t="s">
        <v>18</v>
      </c>
      <c r="F82" s="48" t="s">
        <v>396</v>
      </c>
    </row>
    <row r="83" spans="2:6" ht="12.75">
      <c r="B83" s="41" t="s">
        <v>373</v>
      </c>
      <c r="C83" s="83" t="s">
        <v>108</v>
      </c>
      <c r="D83" s="83" t="s">
        <v>383</v>
      </c>
      <c r="E83" s="83" t="s">
        <v>18</v>
      </c>
      <c r="F83" s="48" t="s">
        <v>397</v>
      </c>
    </row>
    <row r="84" spans="2:6" ht="12.75">
      <c r="B84" s="41" t="s">
        <v>376</v>
      </c>
      <c r="C84" s="83" t="s">
        <v>108</v>
      </c>
      <c r="D84" s="83" t="s">
        <v>383</v>
      </c>
      <c r="E84" s="83" t="s">
        <v>182</v>
      </c>
      <c r="F84" s="48" t="s">
        <v>398</v>
      </c>
    </row>
    <row r="85" spans="2:6" ht="12.75">
      <c r="B85" s="41" t="s">
        <v>313</v>
      </c>
      <c r="C85" s="83" t="s">
        <v>108</v>
      </c>
      <c r="D85" s="83" t="s">
        <v>109</v>
      </c>
      <c r="E85" s="83" t="s">
        <v>21</v>
      </c>
      <c r="F85" s="48" t="s">
        <v>399</v>
      </c>
    </row>
    <row r="86" spans="2:6" ht="12.75">
      <c r="B86" s="41" t="s">
        <v>333</v>
      </c>
      <c r="C86" s="83" t="s">
        <v>108</v>
      </c>
      <c r="D86" s="83" t="s">
        <v>107</v>
      </c>
      <c r="E86" s="83" t="s">
        <v>49</v>
      </c>
      <c r="F86" s="48" t="s">
        <v>400</v>
      </c>
    </row>
    <row r="87" spans="2:6" ht="12.75">
      <c r="B87" s="41" t="s">
        <v>69</v>
      </c>
      <c r="C87" s="83" t="s">
        <v>108</v>
      </c>
      <c r="D87" s="83" t="s">
        <v>112</v>
      </c>
      <c r="E87" s="83" t="s">
        <v>22</v>
      </c>
      <c r="F87" s="48" t="s">
        <v>401</v>
      </c>
    </row>
  </sheetData>
  <sheetProtection/>
  <mergeCells count="25">
    <mergeCell ref="B34:M34"/>
    <mergeCell ref="B42:M42"/>
    <mergeCell ref="B51:M51"/>
    <mergeCell ref="B62:M62"/>
    <mergeCell ref="A3:A4"/>
    <mergeCell ref="B14:M14"/>
    <mergeCell ref="B17:M17"/>
    <mergeCell ref="B20:M20"/>
    <mergeCell ref="B23:M23"/>
    <mergeCell ref="B26:M26"/>
    <mergeCell ref="B29:M29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C14" sqref="C14"/>
    </sheetView>
  </sheetViews>
  <sheetFormatPr defaultColWidth="8.75390625" defaultRowHeight="12.75"/>
  <cols>
    <col min="1" max="1" width="8.75390625" style="48" customWidth="1"/>
    <col min="2" max="2" width="23.25390625" style="29" customWidth="1"/>
    <col min="3" max="3" width="30.25390625" style="29" customWidth="1"/>
    <col min="4" max="4" width="12.25390625" style="29" bestFit="1" customWidth="1"/>
    <col min="5" max="5" width="8.375" style="29" bestFit="1" customWidth="1"/>
    <col min="6" max="6" width="17.125" style="29" customWidth="1"/>
    <col min="7" max="7" width="31.375" style="29" customWidth="1"/>
    <col min="8" max="10" width="5.625" style="29" bestFit="1" customWidth="1"/>
    <col min="11" max="11" width="4.625" style="29" bestFit="1" customWidth="1"/>
    <col min="12" max="12" width="11.25390625" style="48" customWidth="1"/>
    <col min="13" max="13" width="8.625" style="29" bestFit="1" customWidth="1"/>
    <col min="14" max="14" width="17.375" style="29" customWidth="1"/>
  </cols>
  <sheetData>
    <row r="1" spans="1:14" s="1" customFormat="1" ht="15" customHeight="1">
      <c r="A1" s="45"/>
      <c r="B1" s="194" t="s">
        <v>908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11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/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18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54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47" t="s">
        <v>729</v>
      </c>
      <c r="B6" s="225" t="s">
        <v>184</v>
      </c>
      <c r="C6" s="30" t="s">
        <v>185</v>
      </c>
      <c r="D6" s="30" t="s">
        <v>186</v>
      </c>
      <c r="E6" s="30" t="str">
        <f>"0,9790"</f>
        <v>0,9790</v>
      </c>
      <c r="F6" s="30" t="s">
        <v>16</v>
      </c>
      <c r="G6" s="30" t="s">
        <v>1309</v>
      </c>
      <c r="H6" s="49" t="s">
        <v>20</v>
      </c>
      <c r="I6" s="50" t="s">
        <v>20</v>
      </c>
      <c r="J6" s="50" t="s">
        <v>25</v>
      </c>
      <c r="K6" s="31"/>
      <c r="L6" s="47" t="s">
        <v>991</v>
      </c>
      <c r="M6" s="30" t="str">
        <f>"203,1425"</f>
        <v>203,1425</v>
      </c>
      <c r="N6" s="30" t="s">
        <v>187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6" sqref="B6"/>
    </sheetView>
  </sheetViews>
  <sheetFormatPr defaultColWidth="8.75390625" defaultRowHeight="12.75"/>
  <cols>
    <col min="1" max="1" width="6.75390625" style="48" customWidth="1"/>
    <col min="2" max="2" width="21.375" style="29" customWidth="1"/>
    <col min="3" max="3" width="30.375" style="29" customWidth="1"/>
    <col min="4" max="4" width="10.75390625" style="29" customWidth="1"/>
    <col min="5" max="5" width="8.375" style="29" bestFit="1" customWidth="1"/>
    <col min="6" max="6" width="22.75390625" style="29" bestFit="1" customWidth="1"/>
    <col min="7" max="7" width="32.625" style="29" customWidth="1"/>
    <col min="8" max="10" width="5.625" style="29" bestFit="1" customWidth="1"/>
    <col min="11" max="11" width="4.625" style="29" bestFit="1" customWidth="1"/>
    <col min="12" max="12" width="11.375" style="48" customWidth="1"/>
    <col min="13" max="13" width="8.625" style="29" bestFit="1" customWidth="1"/>
    <col min="14" max="14" width="18.00390625" style="29" customWidth="1"/>
  </cols>
  <sheetData>
    <row r="1" spans="1:14" s="1" customFormat="1" ht="15" customHeight="1">
      <c r="A1" s="45"/>
      <c r="B1" s="194" t="s">
        <v>907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24.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07" t="s">
        <v>61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4" ht="12.75">
      <c r="A6" s="47" t="s">
        <v>729</v>
      </c>
      <c r="B6" s="218" t="s">
        <v>69</v>
      </c>
      <c r="C6" s="30" t="s">
        <v>70</v>
      </c>
      <c r="D6" s="30" t="s">
        <v>71</v>
      </c>
      <c r="E6" s="30" t="str">
        <f>"0,9214"</f>
        <v>0,9214</v>
      </c>
      <c r="F6" s="30" t="s">
        <v>72</v>
      </c>
      <c r="G6" s="30" t="s">
        <v>879</v>
      </c>
      <c r="H6" s="49" t="s">
        <v>19</v>
      </c>
      <c r="I6" s="50" t="s">
        <v>19</v>
      </c>
      <c r="J6" s="50" t="s">
        <v>20</v>
      </c>
      <c r="K6" s="31"/>
      <c r="L6" s="47" t="s">
        <v>809</v>
      </c>
      <c r="M6" s="30" t="str">
        <f>"175,0660"</f>
        <v>175,0660</v>
      </c>
      <c r="N6" s="30" t="s">
        <v>42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B10" sqref="B10"/>
    </sheetView>
  </sheetViews>
  <sheetFormatPr defaultColWidth="8.75390625" defaultRowHeight="12.75"/>
  <cols>
    <col min="1" max="1" width="6.625" style="48" customWidth="1"/>
    <col min="2" max="2" width="20.75390625" style="29" customWidth="1"/>
    <col min="3" max="3" width="26.00390625" style="29" bestFit="1" customWidth="1"/>
    <col min="4" max="4" width="9.25390625" style="29" customWidth="1"/>
    <col min="5" max="5" width="8.375" style="29" bestFit="1" customWidth="1"/>
    <col min="6" max="6" width="21.375" style="29" customWidth="1"/>
    <col min="7" max="7" width="32.125" style="29" customWidth="1"/>
    <col min="8" max="10" width="5.625" style="29" bestFit="1" customWidth="1"/>
    <col min="11" max="11" width="4.625" style="29" bestFit="1" customWidth="1"/>
    <col min="12" max="14" width="5.625" style="29" bestFit="1" customWidth="1"/>
    <col min="15" max="15" width="4.625" style="29" bestFit="1" customWidth="1"/>
    <col min="16" max="16" width="7.875" style="48" bestFit="1" customWidth="1"/>
    <col min="17" max="17" width="8.625" style="29" bestFit="1" customWidth="1"/>
    <col min="18" max="18" width="20.375" style="29" bestFit="1" customWidth="1"/>
  </cols>
  <sheetData>
    <row r="1" spans="1:18" s="1" customFormat="1" ht="15" customHeight="1">
      <c r="A1" s="45"/>
      <c r="B1" s="194" t="s">
        <v>906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18" s="1" customFormat="1" ht="108.7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</row>
    <row r="3" spans="1:18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3</v>
      </c>
      <c r="M3" s="204"/>
      <c r="N3" s="204"/>
      <c r="O3" s="204"/>
      <c r="P3" s="204" t="s">
        <v>4</v>
      </c>
      <c r="Q3" s="204" t="s">
        <v>6</v>
      </c>
      <c r="R3" s="205" t="s">
        <v>5</v>
      </c>
    </row>
    <row r="4" spans="1:18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202"/>
      <c r="Q4" s="202"/>
      <c r="R4" s="206"/>
    </row>
    <row r="5" spans="1:17" ht="15.75">
      <c r="A5" s="46"/>
      <c r="B5" s="207" t="s">
        <v>153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8" ht="12.75">
      <c r="A6" s="51" t="s">
        <v>729</v>
      </c>
      <c r="B6" s="219" t="s">
        <v>682</v>
      </c>
      <c r="C6" s="32" t="s">
        <v>683</v>
      </c>
      <c r="D6" s="32" t="s">
        <v>684</v>
      </c>
      <c r="E6" s="32" t="str">
        <f>"1,8210"</f>
        <v>1,8210</v>
      </c>
      <c r="F6" s="32" t="s">
        <v>722</v>
      </c>
      <c r="G6" s="32" t="s">
        <v>897</v>
      </c>
      <c r="H6" s="55" t="s">
        <v>253</v>
      </c>
      <c r="I6" s="55" t="s">
        <v>254</v>
      </c>
      <c r="J6" s="54" t="s">
        <v>139</v>
      </c>
      <c r="K6" s="33"/>
      <c r="L6" s="54" t="s">
        <v>159</v>
      </c>
      <c r="M6" s="55" t="s">
        <v>166</v>
      </c>
      <c r="N6" s="55" t="s">
        <v>259</v>
      </c>
      <c r="O6" s="33"/>
      <c r="P6" s="51" t="s">
        <v>818</v>
      </c>
      <c r="Q6" s="32" t="str">
        <f>"327,7800"</f>
        <v>327,7800</v>
      </c>
      <c r="R6" s="32" t="s">
        <v>685</v>
      </c>
    </row>
    <row r="7" spans="1:18" ht="12.75">
      <c r="A7" s="47" t="s">
        <v>729</v>
      </c>
      <c r="B7" s="218" t="s">
        <v>154</v>
      </c>
      <c r="C7" s="30" t="s">
        <v>155</v>
      </c>
      <c r="D7" s="30" t="s">
        <v>156</v>
      </c>
      <c r="E7" s="30" t="str">
        <f>"1,7854"</f>
        <v>1,7854</v>
      </c>
      <c r="F7" s="30" t="s">
        <v>157</v>
      </c>
      <c r="G7" s="30" t="s">
        <v>158</v>
      </c>
      <c r="H7" s="49" t="s">
        <v>160</v>
      </c>
      <c r="I7" s="50" t="s">
        <v>161</v>
      </c>
      <c r="J7" s="49" t="s">
        <v>136</v>
      </c>
      <c r="K7" s="31"/>
      <c r="L7" s="50" t="s">
        <v>144</v>
      </c>
      <c r="M7" s="49" t="s">
        <v>162</v>
      </c>
      <c r="N7" s="31"/>
      <c r="O7" s="31"/>
      <c r="P7" s="47" t="s">
        <v>992</v>
      </c>
      <c r="Q7" s="30" t="str">
        <f>"307,9815"</f>
        <v>307,9815</v>
      </c>
      <c r="R7" s="30" t="s">
        <v>905</v>
      </c>
    </row>
    <row r="9" spans="1:17" ht="15.75">
      <c r="A9" s="46"/>
      <c r="B9" s="191" t="s">
        <v>76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8" ht="12.75">
      <c r="A10" s="47" t="s">
        <v>729</v>
      </c>
      <c r="B10" s="218" t="s">
        <v>723</v>
      </c>
      <c r="C10" s="30" t="s">
        <v>724</v>
      </c>
      <c r="D10" s="30" t="s">
        <v>725</v>
      </c>
      <c r="E10" s="30" t="str">
        <f>"0,9048"</f>
        <v>0,9048</v>
      </c>
      <c r="F10" s="30" t="s">
        <v>16</v>
      </c>
      <c r="G10" s="30" t="s">
        <v>726</v>
      </c>
      <c r="H10" s="50" t="s">
        <v>59</v>
      </c>
      <c r="I10" s="49" t="s">
        <v>18</v>
      </c>
      <c r="J10" s="49" t="s">
        <v>18</v>
      </c>
      <c r="K10" s="31"/>
      <c r="L10" s="50" t="s">
        <v>57</v>
      </c>
      <c r="M10" s="50" t="s">
        <v>80</v>
      </c>
      <c r="N10" s="31"/>
      <c r="O10" s="31"/>
      <c r="P10" s="47" t="s">
        <v>904</v>
      </c>
      <c r="Q10" s="30" t="str">
        <f>"370,9680"</f>
        <v>370,9680</v>
      </c>
      <c r="R10" s="30" t="s">
        <v>727</v>
      </c>
    </row>
  </sheetData>
  <sheetProtection/>
  <mergeCells count="15">
    <mergeCell ref="A3:A4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  <mergeCell ref="B9:Q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B16" sqref="B16"/>
    </sheetView>
  </sheetViews>
  <sheetFormatPr defaultColWidth="8.75390625" defaultRowHeight="12.75"/>
  <cols>
    <col min="1" max="1" width="6.875" style="48" customWidth="1"/>
    <col min="2" max="2" width="20.375" style="29" customWidth="1"/>
    <col min="3" max="3" width="26.00390625" style="29" bestFit="1" customWidth="1"/>
    <col min="4" max="4" width="10.625" style="29" customWidth="1"/>
    <col min="5" max="5" width="8.375" style="29" bestFit="1" customWidth="1"/>
    <col min="6" max="6" width="17.625" style="29" customWidth="1"/>
    <col min="7" max="7" width="32.00390625" style="29" customWidth="1"/>
    <col min="8" max="10" width="5.625" style="29" bestFit="1" customWidth="1"/>
    <col min="11" max="11" width="4.625" style="29" bestFit="1" customWidth="1"/>
    <col min="12" max="14" width="5.625" style="29" bestFit="1" customWidth="1"/>
    <col min="15" max="15" width="4.625" style="29" bestFit="1" customWidth="1"/>
    <col min="16" max="16" width="7.875" style="48" bestFit="1" customWidth="1"/>
    <col min="17" max="17" width="8.625" style="29" bestFit="1" customWidth="1"/>
    <col min="18" max="18" width="19.625" style="29" bestFit="1" customWidth="1"/>
  </cols>
  <sheetData>
    <row r="1" spans="1:18" s="1" customFormat="1" ht="15" customHeight="1">
      <c r="A1" s="45"/>
      <c r="B1" s="194" t="s">
        <v>900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18" s="1" customFormat="1" ht="114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</row>
    <row r="3" spans="1:18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2</v>
      </c>
      <c r="I3" s="204"/>
      <c r="J3" s="204"/>
      <c r="K3" s="204"/>
      <c r="L3" s="204" t="s">
        <v>3</v>
      </c>
      <c r="M3" s="204"/>
      <c r="N3" s="204"/>
      <c r="O3" s="204"/>
      <c r="P3" s="204" t="s">
        <v>4</v>
      </c>
      <c r="Q3" s="204" t="s">
        <v>6</v>
      </c>
      <c r="R3" s="205" t="s">
        <v>5</v>
      </c>
    </row>
    <row r="4" spans="1:18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202"/>
      <c r="Q4" s="202"/>
      <c r="R4" s="206"/>
    </row>
    <row r="5" spans="1:17" ht="15.75">
      <c r="A5" s="46"/>
      <c r="B5" s="207" t="s">
        <v>153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8" ht="12.75">
      <c r="A6" s="47" t="s">
        <v>729</v>
      </c>
      <c r="B6" s="30" t="s">
        <v>634</v>
      </c>
      <c r="C6" s="30" t="s">
        <v>635</v>
      </c>
      <c r="D6" s="30" t="s">
        <v>291</v>
      </c>
      <c r="E6" s="30" t="str">
        <f>"1,7830"</f>
        <v>1,7830</v>
      </c>
      <c r="F6" s="30" t="s">
        <v>16</v>
      </c>
      <c r="G6" s="30" t="s">
        <v>759</v>
      </c>
      <c r="H6" s="49" t="s">
        <v>151</v>
      </c>
      <c r="I6" s="49" t="s">
        <v>160</v>
      </c>
      <c r="J6" s="50" t="s">
        <v>160</v>
      </c>
      <c r="K6" s="31"/>
      <c r="L6" s="49" t="s">
        <v>23</v>
      </c>
      <c r="M6" s="50" t="s">
        <v>23</v>
      </c>
      <c r="N6" s="50" t="s">
        <v>59</v>
      </c>
      <c r="O6" s="31"/>
      <c r="P6" s="47" t="s">
        <v>901</v>
      </c>
      <c r="Q6" s="30" t="str">
        <f>"401,1750"</f>
        <v>401,1750</v>
      </c>
      <c r="R6" s="30" t="s">
        <v>636</v>
      </c>
    </row>
    <row r="8" spans="1:17" ht="15.75">
      <c r="A8" s="46"/>
      <c r="B8" s="191" t="s">
        <v>34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8" ht="12.75">
      <c r="A9" s="47" t="s">
        <v>729</v>
      </c>
      <c r="B9" s="30" t="s">
        <v>205</v>
      </c>
      <c r="C9" s="30" t="s">
        <v>206</v>
      </c>
      <c r="D9" s="30" t="s">
        <v>207</v>
      </c>
      <c r="E9" s="30" t="str">
        <f>"1,0696"</f>
        <v>1,0696</v>
      </c>
      <c r="F9" s="30" t="s">
        <v>16</v>
      </c>
      <c r="G9" s="30" t="s">
        <v>208</v>
      </c>
      <c r="H9" s="50" t="s">
        <v>21</v>
      </c>
      <c r="I9" s="50" t="s">
        <v>49</v>
      </c>
      <c r="J9" s="49" t="s">
        <v>209</v>
      </c>
      <c r="K9" s="31"/>
      <c r="L9" s="50" t="s">
        <v>170</v>
      </c>
      <c r="M9" s="50" t="s">
        <v>38</v>
      </c>
      <c r="N9" s="49" t="s">
        <v>57</v>
      </c>
      <c r="O9" s="31"/>
      <c r="P9" s="47" t="s">
        <v>902</v>
      </c>
      <c r="Q9" s="30" t="str">
        <f>"401,1000"</f>
        <v>401,1000</v>
      </c>
      <c r="R9" s="30" t="s">
        <v>210</v>
      </c>
    </row>
    <row r="11" spans="1:17" ht="15.75">
      <c r="A11" s="46"/>
      <c r="B11" s="191" t="s">
        <v>54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  <row r="12" spans="1:18" ht="12.75">
      <c r="A12" s="51" t="s">
        <v>729</v>
      </c>
      <c r="B12" s="219" t="s">
        <v>215</v>
      </c>
      <c r="C12" s="32" t="s">
        <v>216</v>
      </c>
      <c r="D12" s="32" t="s">
        <v>217</v>
      </c>
      <c r="E12" s="32" t="str">
        <f>"1,0052"</f>
        <v>1,0052</v>
      </c>
      <c r="F12" s="32" t="s">
        <v>16</v>
      </c>
      <c r="G12" s="32" t="s">
        <v>218</v>
      </c>
      <c r="H12" s="55" t="s">
        <v>159</v>
      </c>
      <c r="I12" s="54" t="s">
        <v>203</v>
      </c>
      <c r="J12" s="55" t="s">
        <v>203</v>
      </c>
      <c r="K12" s="33"/>
      <c r="L12" s="54" t="s">
        <v>23</v>
      </c>
      <c r="M12" s="55" t="s">
        <v>165</v>
      </c>
      <c r="N12" s="55" t="s">
        <v>81</v>
      </c>
      <c r="O12" s="33"/>
      <c r="P12" s="51" t="s">
        <v>993</v>
      </c>
      <c r="Q12" s="32" t="str">
        <f>"283,9690"</f>
        <v>283,9690</v>
      </c>
      <c r="R12" s="32" t="s">
        <v>42</v>
      </c>
    </row>
    <row r="13" spans="1:18" ht="12.75">
      <c r="A13" s="47" t="s">
        <v>729</v>
      </c>
      <c r="B13" s="30" t="s">
        <v>645</v>
      </c>
      <c r="C13" s="30" t="s">
        <v>646</v>
      </c>
      <c r="D13" s="30" t="s">
        <v>647</v>
      </c>
      <c r="E13" s="30" t="str">
        <f>"0,9996"</f>
        <v>0,9996</v>
      </c>
      <c r="F13" s="30" t="s">
        <v>648</v>
      </c>
      <c r="G13" s="30" t="s">
        <v>759</v>
      </c>
      <c r="H13" s="50" t="s">
        <v>259</v>
      </c>
      <c r="I13" s="50" t="s">
        <v>22</v>
      </c>
      <c r="J13" s="49" t="s">
        <v>49</v>
      </c>
      <c r="K13" s="31"/>
      <c r="L13" s="50" t="s">
        <v>190</v>
      </c>
      <c r="M13" s="50" t="s">
        <v>38</v>
      </c>
      <c r="N13" s="50" t="s">
        <v>39</v>
      </c>
      <c r="O13" s="31"/>
      <c r="P13" s="47" t="s">
        <v>902</v>
      </c>
      <c r="Q13" s="30" t="str">
        <f>"374,8500"</f>
        <v>374,8500</v>
      </c>
      <c r="R13" s="30" t="s">
        <v>649</v>
      </c>
    </row>
    <row r="15" spans="1:17" ht="15.75">
      <c r="A15" s="46"/>
      <c r="B15" s="191" t="s">
        <v>61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</row>
    <row r="16" spans="1:18" ht="12.75">
      <c r="A16" s="47" t="s">
        <v>729</v>
      </c>
      <c r="B16" s="218" t="s">
        <v>69</v>
      </c>
      <c r="C16" s="30" t="s">
        <v>70</v>
      </c>
      <c r="D16" s="30" t="s">
        <v>71</v>
      </c>
      <c r="E16" s="30" t="str">
        <f>"0,9214"</f>
        <v>0,9214</v>
      </c>
      <c r="F16" s="30" t="s">
        <v>72</v>
      </c>
      <c r="G16" s="30" t="s">
        <v>879</v>
      </c>
      <c r="H16" s="50" t="s">
        <v>32</v>
      </c>
      <c r="I16" s="50" t="s">
        <v>22</v>
      </c>
      <c r="J16" s="49" t="s">
        <v>23</v>
      </c>
      <c r="K16" s="31"/>
      <c r="L16" s="50" t="s">
        <v>20</v>
      </c>
      <c r="M16" s="50" t="s">
        <v>24</v>
      </c>
      <c r="N16" s="50" t="s">
        <v>74</v>
      </c>
      <c r="O16" s="31"/>
      <c r="P16" s="47" t="s">
        <v>883</v>
      </c>
      <c r="Q16" s="30" t="str">
        <f>"322,4900"</f>
        <v>322,4900</v>
      </c>
      <c r="R16" s="30" t="s">
        <v>42</v>
      </c>
    </row>
    <row r="18" spans="1:17" ht="15.75">
      <c r="A18" s="46"/>
      <c r="B18" s="191" t="s">
        <v>84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8" ht="12.75">
      <c r="A19" s="47" t="s">
        <v>729</v>
      </c>
      <c r="B19" s="30" t="s">
        <v>663</v>
      </c>
      <c r="C19" s="30" t="s">
        <v>664</v>
      </c>
      <c r="D19" s="30" t="s">
        <v>665</v>
      </c>
      <c r="E19" s="30" t="str">
        <f>"0,8790"</f>
        <v>0,8790</v>
      </c>
      <c r="F19" s="30" t="s">
        <v>16</v>
      </c>
      <c r="G19" s="30" t="s">
        <v>759</v>
      </c>
      <c r="H19" s="50" t="s">
        <v>18</v>
      </c>
      <c r="I19" s="49" t="s">
        <v>19</v>
      </c>
      <c r="J19" s="50" t="s">
        <v>19</v>
      </c>
      <c r="K19" s="31"/>
      <c r="L19" s="50" t="s">
        <v>89</v>
      </c>
      <c r="M19" s="49" t="s">
        <v>235</v>
      </c>
      <c r="N19" s="49" t="s">
        <v>235</v>
      </c>
      <c r="O19" s="31"/>
      <c r="P19" s="47" t="s">
        <v>903</v>
      </c>
      <c r="Q19" s="30" t="str">
        <f>"421,9200"</f>
        <v>421,9200</v>
      </c>
      <c r="R19" s="30" t="s">
        <v>42</v>
      </c>
    </row>
    <row r="31" ht="12.75">
      <c r="B31" s="44"/>
    </row>
  </sheetData>
  <sheetProtection/>
  <mergeCells count="18">
    <mergeCell ref="B15:Q15"/>
    <mergeCell ref="B18:Q18"/>
    <mergeCell ref="A3:A4"/>
    <mergeCell ref="P3:P4"/>
    <mergeCell ref="Q3:Q4"/>
    <mergeCell ref="R3:R4"/>
    <mergeCell ref="B5:Q5"/>
    <mergeCell ref="B8:Q8"/>
    <mergeCell ref="B11:Q11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B6" sqref="B6"/>
    </sheetView>
  </sheetViews>
  <sheetFormatPr defaultColWidth="8.75390625" defaultRowHeight="12.75"/>
  <cols>
    <col min="1" max="1" width="6.875" style="48" customWidth="1"/>
    <col min="2" max="2" width="22.875" style="29" customWidth="1"/>
    <col min="3" max="3" width="26.00390625" style="29" customWidth="1"/>
    <col min="4" max="4" width="10.875" style="29" customWidth="1"/>
    <col min="5" max="5" width="8.375" style="29" bestFit="1" customWidth="1"/>
    <col min="6" max="6" width="13.375" style="29" customWidth="1"/>
    <col min="7" max="7" width="28.125" style="29" customWidth="1"/>
    <col min="8" max="10" width="5.625" style="29" bestFit="1" customWidth="1"/>
    <col min="11" max="11" width="4.625" style="29" bestFit="1" customWidth="1"/>
    <col min="12" max="14" width="5.625" style="29" bestFit="1" customWidth="1"/>
    <col min="15" max="15" width="4.625" style="29" bestFit="1" customWidth="1"/>
    <col min="16" max="18" width="5.625" style="29" bestFit="1" customWidth="1"/>
    <col min="19" max="19" width="4.625" style="29" bestFit="1" customWidth="1"/>
    <col min="20" max="20" width="7.875" style="48" bestFit="1" customWidth="1"/>
    <col min="21" max="21" width="8.625" style="29" bestFit="1" customWidth="1"/>
    <col min="22" max="22" width="22.125" style="29" bestFit="1" customWidth="1"/>
  </cols>
  <sheetData>
    <row r="1" spans="1:22" s="1" customFormat="1" ht="15" customHeight="1">
      <c r="A1" s="45"/>
      <c r="B1" s="194" t="s">
        <v>780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2" s="1" customFormat="1" ht="103.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2</v>
      </c>
      <c r="M3" s="204"/>
      <c r="N3" s="204"/>
      <c r="O3" s="204"/>
      <c r="P3" s="204" t="s">
        <v>3</v>
      </c>
      <c r="Q3" s="204"/>
      <c r="R3" s="204"/>
      <c r="S3" s="204"/>
      <c r="T3" s="204" t="s">
        <v>4</v>
      </c>
      <c r="U3" s="204" t="s">
        <v>6</v>
      </c>
      <c r="V3" s="205" t="s">
        <v>5</v>
      </c>
    </row>
    <row r="4" spans="1:22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2"/>
      <c r="U4" s="202"/>
      <c r="V4" s="206"/>
    </row>
    <row r="5" spans="1:21" ht="15.75">
      <c r="A5" s="46"/>
      <c r="B5" s="207" t="s">
        <v>84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2" ht="12.75">
      <c r="A6" s="47" t="s">
        <v>729</v>
      </c>
      <c r="B6" s="218" t="s">
        <v>779</v>
      </c>
      <c r="C6" s="30" t="s">
        <v>270</v>
      </c>
      <c r="D6" s="30" t="s">
        <v>271</v>
      </c>
      <c r="E6" s="30" t="str">
        <f>"0,8610"</f>
        <v>0,8610</v>
      </c>
      <c r="F6" s="30" t="s">
        <v>272</v>
      </c>
      <c r="G6" s="30" t="s">
        <v>273</v>
      </c>
      <c r="H6" s="49" t="s">
        <v>66</v>
      </c>
      <c r="I6" s="50" t="s">
        <v>274</v>
      </c>
      <c r="J6" s="50" t="s">
        <v>89</v>
      </c>
      <c r="K6" s="31"/>
      <c r="L6" s="50" t="s">
        <v>20</v>
      </c>
      <c r="M6" s="50" t="s">
        <v>31</v>
      </c>
      <c r="N6" s="49" t="s">
        <v>24</v>
      </c>
      <c r="O6" s="31"/>
      <c r="P6" s="50" t="s">
        <v>57</v>
      </c>
      <c r="Q6" s="50" t="s">
        <v>80</v>
      </c>
      <c r="R6" s="49" t="s">
        <v>52</v>
      </c>
      <c r="S6" s="31"/>
      <c r="T6" s="47" t="s">
        <v>781</v>
      </c>
      <c r="U6" s="30" t="str">
        <f>"641,4450"</f>
        <v>641,4450</v>
      </c>
      <c r="V6" s="30" t="s">
        <v>275</v>
      </c>
    </row>
  </sheetData>
  <sheetProtection/>
  <mergeCells count="15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A3:A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B9" sqref="B9"/>
    </sheetView>
  </sheetViews>
  <sheetFormatPr defaultColWidth="8.75390625" defaultRowHeight="12.75"/>
  <cols>
    <col min="1" max="1" width="6.25390625" style="48" customWidth="1"/>
    <col min="2" max="2" width="23.875" style="29" customWidth="1"/>
    <col min="3" max="3" width="26.00390625" style="29" bestFit="1" customWidth="1"/>
    <col min="4" max="4" width="9.25390625" style="29" customWidth="1"/>
    <col min="5" max="5" width="8.375" style="29" bestFit="1" customWidth="1"/>
    <col min="6" max="6" width="16.75390625" style="29" customWidth="1"/>
    <col min="7" max="7" width="26.75390625" style="29" customWidth="1"/>
    <col min="8" max="10" width="5.625" style="29" bestFit="1" customWidth="1"/>
    <col min="11" max="11" width="4.625" style="29" bestFit="1" customWidth="1"/>
    <col min="12" max="12" width="5.625" style="29" bestFit="1" customWidth="1"/>
    <col min="13" max="15" width="4.625" style="29" bestFit="1" customWidth="1"/>
    <col min="16" max="18" width="5.625" style="29" bestFit="1" customWidth="1"/>
    <col min="19" max="19" width="4.625" style="29" bestFit="1" customWidth="1"/>
    <col min="20" max="20" width="7.875" style="48" bestFit="1" customWidth="1"/>
    <col min="21" max="21" width="8.625" style="29" bestFit="1" customWidth="1"/>
    <col min="22" max="22" width="16.125" style="29" bestFit="1" customWidth="1"/>
  </cols>
  <sheetData>
    <row r="1" spans="1:22" s="1" customFormat="1" ht="15" customHeight="1">
      <c r="A1" s="45"/>
      <c r="B1" s="194" t="s">
        <v>777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2" s="1" customFormat="1" ht="109.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2</v>
      </c>
      <c r="M3" s="204"/>
      <c r="N3" s="204"/>
      <c r="O3" s="204"/>
      <c r="P3" s="204" t="s">
        <v>3</v>
      </c>
      <c r="Q3" s="204"/>
      <c r="R3" s="204"/>
      <c r="S3" s="204"/>
      <c r="T3" s="204" t="s">
        <v>4</v>
      </c>
      <c r="U3" s="204" t="s">
        <v>6</v>
      </c>
      <c r="V3" s="205" t="s">
        <v>5</v>
      </c>
    </row>
    <row r="4" spans="1:22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2"/>
      <c r="U4" s="202"/>
      <c r="V4" s="206"/>
    </row>
    <row r="5" spans="1:21" ht="15.75">
      <c r="A5" s="46"/>
      <c r="B5" s="207" t="s">
        <v>146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2" ht="12.75">
      <c r="A6" s="47" t="s">
        <v>729</v>
      </c>
      <c r="B6" s="218" t="s">
        <v>775</v>
      </c>
      <c r="C6" s="30" t="s">
        <v>247</v>
      </c>
      <c r="D6" s="30" t="s">
        <v>248</v>
      </c>
      <c r="E6" s="30" t="str">
        <f>"2,1712"</f>
        <v>2,1712</v>
      </c>
      <c r="F6" s="30" t="s">
        <v>249</v>
      </c>
      <c r="G6" s="30" t="s">
        <v>250</v>
      </c>
      <c r="H6" s="50" t="s">
        <v>251</v>
      </c>
      <c r="I6" s="50" t="s">
        <v>137</v>
      </c>
      <c r="J6" s="50" t="s">
        <v>252</v>
      </c>
      <c r="K6" s="31"/>
      <c r="L6" s="50" t="s">
        <v>253</v>
      </c>
      <c r="M6" s="49" t="s">
        <v>254</v>
      </c>
      <c r="N6" s="49" t="s">
        <v>254</v>
      </c>
      <c r="O6" s="31"/>
      <c r="P6" s="50" t="s">
        <v>255</v>
      </c>
      <c r="Q6" s="50" t="s">
        <v>256</v>
      </c>
      <c r="R6" s="50" t="s">
        <v>142</v>
      </c>
      <c r="S6" s="31"/>
      <c r="T6" s="47" t="s">
        <v>990</v>
      </c>
      <c r="U6" s="30" t="str">
        <f>"472,2360"</f>
        <v>472,2360</v>
      </c>
      <c r="V6" s="30" t="s">
        <v>778</v>
      </c>
    </row>
    <row r="8" spans="1:21" ht="15.75">
      <c r="A8" s="46"/>
      <c r="B8" s="191" t="s">
        <v>197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2" ht="12.75">
      <c r="A9" s="47" t="s">
        <v>729</v>
      </c>
      <c r="B9" s="218" t="s">
        <v>776</v>
      </c>
      <c r="C9" s="30" t="s">
        <v>257</v>
      </c>
      <c r="D9" s="30" t="s">
        <v>258</v>
      </c>
      <c r="E9" s="30" t="str">
        <f>"1,6534"</f>
        <v>1,6534</v>
      </c>
      <c r="F9" s="30" t="s">
        <v>16</v>
      </c>
      <c r="G9" s="30" t="s">
        <v>759</v>
      </c>
      <c r="H9" s="50" t="s">
        <v>202</v>
      </c>
      <c r="I9" s="50" t="s">
        <v>166</v>
      </c>
      <c r="J9" s="49" t="s">
        <v>167</v>
      </c>
      <c r="K9" s="31"/>
      <c r="L9" s="50" t="s">
        <v>140</v>
      </c>
      <c r="M9" s="49" t="s">
        <v>141</v>
      </c>
      <c r="N9" s="49" t="s">
        <v>151</v>
      </c>
      <c r="O9" s="31"/>
      <c r="P9" s="50" t="s">
        <v>167</v>
      </c>
      <c r="Q9" s="50" t="s">
        <v>259</v>
      </c>
      <c r="R9" s="49" t="s">
        <v>22</v>
      </c>
      <c r="S9" s="31"/>
      <c r="T9" s="47" t="s">
        <v>994</v>
      </c>
      <c r="U9" s="30" t="str">
        <f>"508,4205"</f>
        <v>508,4205</v>
      </c>
      <c r="V9" s="30" t="s">
        <v>260</v>
      </c>
    </row>
    <row r="10" spans="13:14" ht="12.75">
      <c r="M10" s="61"/>
      <c r="N10" s="61"/>
    </row>
    <row r="11" spans="1:21" ht="15.75">
      <c r="A11" s="46"/>
      <c r="B11" s="191" t="s">
        <v>197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2" spans="1:22" ht="12.75">
      <c r="A12" s="47"/>
      <c r="B12" s="30" t="s">
        <v>261</v>
      </c>
      <c r="C12" s="30" t="s">
        <v>262</v>
      </c>
      <c r="D12" s="30" t="s">
        <v>263</v>
      </c>
      <c r="E12" s="30" t="str">
        <f>"1,2640"</f>
        <v>1,2640</v>
      </c>
      <c r="F12" s="30" t="s">
        <v>16</v>
      </c>
      <c r="G12" s="30" t="s">
        <v>264</v>
      </c>
      <c r="H12" s="49" t="s">
        <v>81</v>
      </c>
      <c r="I12" s="49" t="s">
        <v>81</v>
      </c>
      <c r="J12" s="49" t="s">
        <v>81</v>
      </c>
      <c r="K12" s="49"/>
      <c r="L12" s="49"/>
      <c r="M12" s="49"/>
      <c r="N12" s="49"/>
      <c r="O12" s="49"/>
      <c r="P12" s="49"/>
      <c r="Q12" s="49"/>
      <c r="R12" s="49"/>
      <c r="S12" s="31"/>
      <c r="T12" s="84" t="s">
        <v>82</v>
      </c>
      <c r="U12" s="30" t="str">
        <f>"0,0000"</f>
        <v>0,0000</v>
      </c>
      <c r="V12" s="30" t="s">
        <v>265</v>
      </c>
    </row>
    <row r="14" spans="1:21" ht="15.75">
      <c r="A14" s="46"/>
      <c r="B14" s="191" t="s">
        <v>61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</row>
    <row r="15" spans="1:22" ht="12.75">
      <c r="A15" s="47"/>
      <c r="B15" s="30" t="s">
        <v>266</v>
      </c>
      <c r="C15" s="30" t="s">
        <v>267</v>
      </c>
      <c r="D15" s="30" t="s">
        <v>268</v>
      </c>
      <c r="E15" s="30" t="str">
        <f>"0,9370"</f>
        <v>0,9370</v>
      </c>
      <c r="F15" s="30" t="s">
        <v>16</v>
      </c>
      <c r="G15" s="30" t="s">
        <v>759</v>
      </c>
      <c r="H15" s="49" t="s">
        <v>170</v>
      </c>
      <c r="I15" s="49" t="s">
        <v>170</v>
      </c>
      <c r="J15" s="49" t="s">
        <v>170</v>
      </c>
      <c r="K15" s="49"/>
      <c r="L15" s="49"/>
      <c r="M15" s="49"/>
      <c r="N15" s="49"/>
      <c r="O15" s="49"/>
      <c r="P15" s="49"/>
      <c r="Q15" s="49"/>
      <c r="R15" s="49"/>
      <c r="S15" s="49"/>
      <c r="T15" s="84" t="s">
        <v>82</v>
      </c>
      <c r="U15" s="30" t="str">
        <f>"0,0000"</f>
        <v>0,0000</v>
      </c>
      <c r="V15" s="30" t="s">
        <v>42</v>
      </c>
    </row>
  </sheetData>
  <sheetProtection/>
  <mergeCells count="18">
    <mergeCell ref="B14:U14"/>
    <mergeCell ref="A3:A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2">
      <selection activeCell="G31" sqref="G31"/>
    </sheetView>
  </sheetViews>
  <sheetFormatPr defaultColWidth="8.75390625" defaultRowHeight="12.75"/>
  <cols>
    <col min="1" max="1" width="6.875" style="48" customWidth="1"/>
    <col min="2" max="2" width="21.125" style="29" customWidth="1"/>
    <col min="3" max="3" width="24.875" style="29" customWidth="1"/>
    <col min="4" max="4" width="9.625" style="29" customWidth="1"/>
    <col min="5" max="5" width="8.375" style="29" bestFit="1" customWidth="1"/>
    <col min="6" max="6" width="12.75390625" style="29" customWidth="1"/>
    <col min="7" max="7" width="30.375" style="29" bestFit="1" customWidth="1"/>
    <col min="8" max="10" width="5.625" style="29" bestFit="1" customWidth="1"/>
    <col min="11" max="11" width="4.625" style="29" bestFit="1" customWidth="1"/>
    <col min="12" max="14" width="5.625" style="29" bestFit="1" customWidth="1"/>
    <col min="15" max="15" width="4.625" style="29" bestFit="1" customWidth="1"/>
    <col min="16" max="18" width="5.625" style="29" bestFit="1" customWidth="1"/>
    <col min="19" max="19" width="4.625" style="29" bestFit="1" customWidth="1"/>
    <col min="20" max="20" width="7.875" style="48" bestFit="1" customWidth="1"/>
    <col min="21" max="21" width="8.625" style="29" bestFit="1" customWidth="1"/>
    <col min="22" max="22" width="18.375" style="29" bestFit="1" customWidth="1"/>
  </cols>
  <sheetData>
    <row r="1" spans="1:22" s="1" customFormat="1" ht="15" customHeight="1">
      <c r="A1" s="45"/>
      <c r="B1" s="194" t="s">
        <v>773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2" s="1" customFormat="1" ht="109.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2</v>
      </c>
      <c r="M3" s="204"/>
      <c r="N3" s="204"/>
      <c r="O3" s="204"/>
      <c r="P3" s="204" t="s">
        <v>3</v>
      </c>
      <c r="Q3" s="204"/>
      <c r="R3" s="204"/>
      <c r="S3" s="204"/>
      <c r="T3" s="204" t="s">
        <v>4</v>
      </c>
      <c r="U3" s="204" t="s">
        <v>6</v>
      </c>
      <c r="V3" s="205" t="s">
        <v>5</v>
      </c>
    </row>
    <row r="4" spans="1:22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2"/>
      <c r="U4" s="202"/>
      <c r="V4" s="206"/>
    </row>
    <row r="5" spans="1:21" ht="15.75">
      <c r="A5" s="46"/>
      <c r="B5" s="207" t="s">
        <v>197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2" ht="12.75">
      <c r="A6" s="47" t="s">
        <v>729</v>
      </c>
      <c r="B6" s="30" t="s">
        <v>198</v>
      </c>
      <c r="C6" s="30" t="s">
        <v>199</v>
      </c>
      <c r="D6" s="30" t="s">
        <v>200</v>
      </c>
      <c r="E6" s="30" t="str">
        <f>"1,2700"</f>
        <v>1,2700</v>
      </c>
      <c r="F6" s="30" t="s">
        <v>16</v>
      </c>
      <c r="G6" s="30" t="s">
        <v>759</v>
      </c>
      <c r="H6" s="50" t="s">
        <v>31</v>
      </c>
      <c r="I6" s="50" t="s">
        <v>74</v>
      </c>
      <c r="J6" s="50" t="s">
        <v>96</v>
      </c>
      <c r="K6" s="65"/>
      <c r="L6" s="50" t="s">
        <v>201</v>
      </c>
      <c r="M6" s="50" t="s">
        <v>202</v>
      </c>
      <c r="N6" s="50" t="s">
        <v>203</v>
      </c>
      <c r="O6" s="65"/>
      <c r="P6" s="50" t="s">
        <v>30</v>
      </c>
      <c r="Q6" s="50" t="s">
        <v>31</v>
      </c>
      <c r="R6" s="31"/>
      <c r="S6" s="31"/>
      <c r="T6" s="47" t="s">
        <v>769</v>
      </c>
      <c r="U6" s="30" t="str">
        <f>"673,1000"</f>
        <v>673,1000</v>
      </c>
      <c r="V6" s="30" t="s">
        <v>204</v>
      </c>
    </row>
    <row r="8" spans="1:21" ht="15.75">
      <c r="A8" s="46"/>
      <c r="B8" s="191" t="s">
        <v>34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2" ht="12.75">
      <c r="A9" s="47"/>
      <c r="B9" s="30" t="s">
        <v>205</v>
      </c>
      <c r="C9" s="30" t="s">
        <v>206</v>
      </c>
      <c r="D9" s="30" t="s">
        <v>207</v>
      </c>
      <c r="E9" s="30" t="str">
        <f>"1,0696"</f>
        <v>1,0696</v>
      </c>
      <c r="F9" s="30" t="s">
        <v>16</v>
      </c>
      <c r="G9" s="30" t="s">
        <v>208</v>
      </c>
      <c r="H9" s="49" t="s">
        <v>190</v>
      </c>
      <c r="I9" s="49" t="s">
        <v>190</v>
      </c>
      <c r="J9" s="49" t="s">
        <v>170</v>
      </c>
      <c r="K9" s="31"/>
      <c r="L9" s="49"/>
      <c r="M9" s="49"/>
      <c r="N9" s="49"/>
      <c r="O9" s="31"/>
      <c r="P9" s="50"/>
      <c r="Q9" s="65"/>
      <c r="R9" s="65"/>
      <c r="S9" s="31"/>
      <c r="T9" s="84" t="s">
        <v>82</v>
      </c>
      <c r="U9" s="30" t="str">
        <f>"0,0000"</f>
        <v>0,0000</v>
      </c>
      <c r="V9" s="30" t="s">
        <v>210</v>
      </c>
    </row>
    <row r="10" spans="1:22" ht="12.75">
      <c r="A10" s="52" t="s">
        <v>729</v>
      </c>
      <c r="B10" s="220" t="s">
        <v>762</v>
      </c>
      <c r="C10" s="34" t="s">
        <v>212</v>
      </c>
      <c r="D10" s="34" t="s">
        <v>213</v>
      </c>
      <c r="E10" s="34" t="str">
        <f>"1,0720"</f>
        <v>1,0720</v>
      </c>
      <c r="F10" s="34" t="s">
        <v>16</v>
      </c>
      <c r="G10" s="34" t="s">
        <v>214</v>
      </c>
      <c r="H10" s="56" t="s">
        <v>38</v>
      </c>
      <c r="I10" s="56" t="s">
        <v>51</v>
      </c>
      <c r="J10" s="53" t="s">
        <v>52</v>
      </c>
      <c r="K10" s="35"/>
      <c r="L10" s="56" t="s">
        <v>49</v>
      </c>
      <c r="M10" s="56" t="s">
        <v>23</v>
      </c>
      <c r="N10" s="56" t="s">
        <v>165</v>
      </c>
      <c r="O10" s="35"/>
      <c r="P10" s="56" t="s">
        <v>38</v>
      </c>
      <c r="Q10" s="56" t="s">
        <v>57</v>
      </c>
      <c r="R10" s="56" t="s">
        <v>51</v>
      </c>
      <c r="S10" s="35"/>
      <c r="T10" s="52" t="s">
        <v>770</v>
      </c>
      <c r="U10" s="34" t="str">
        <f>"691,4400"</f>
        <v>691,4400</v>
      </c>
      <c r="V10" s="34" t="s">
        <v>774</v>
      </c>
    </row>
    <row r="12" spans="1:21" ht="15.75">
      <c r="A12" s="46"/>
      <c r="B12" s="191" t="s">
        <v>54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</row>
    <row r="13" spans="1:22" ht="12.75">
      <c r="A13" s="47"/>
      <c r="B13" s="218" t="s">
        <v>215</v>
      </c>
      <c r="C13" s="30" t="s">
        <v>216</v>
      </c>
      <c r="D13" s="30" t="s">
        <v>217</v>
      </c>
      <c r="E13" s="30" t="str">
        <f>"1,0052"</f>
        <v>1,0052</v>
      </c>
      <c r="F13" s="30" t="s">
        <v>16</v>
      </c>
      <c r="G13" s="30" t="s">
        <v>218</v>
      </c>
      <c r="H13" s="49" t="s">
        <v>59</v>
      </c>
      <c r="I13" s="49" t="s">
        <v>18</v>
      </c>
      <c r="J13" s="49" t="s">
        <v>18</v>
      </c>
      <c r="K13" s="49"/>
      <c r="L13" s="49"/>
      <c r="M13" s="49"/>
      <c r="N13" s="49"/>
      <c r="O13" s="49"/>
      <c r="P13" s="49"/>
      <c r="Q13" s="31"/>
      <c r="R13" s="31"/>
      <c r="S13" s="31"/>
      <c r="T13" s="84" t="s">
        <v>82</v>
      </c>
      <c r="U13" s="30" t="str">
        <f>"0,0000"</f>
        <v>0,0000</v>
      </c>
      <c r="V13" s="30" t="s">
        <v>42</v>
      </c>
    </row>
    <row r="14" ht="12.75">
      <c r="B14" s="221"/>
    </row>
    <row r="15" spans="1:21" ht="15.75">
      <c r="A15" s="46"/>
      <c r="B15" s="191" t="s">
        <v>61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</row>
    <row r="16" spans="1:22" ht="12.75">
      <c r="A16" s="51" t="s">
        <v>729</v>
      </c>
      <c r="B16" s="219" t="s">
        <v>763</v>
      </c>
      <c r="C16" s="32" t="s">
        <v>219</v>
      </c>
      <c r="D16" s="32" t="s">
        <v>220</v>
      </c>
      <c r="E16" s="32" t="str">
        <f>"0,9238"</f>
        <v>0,9238</v>
      </c>
      <c r="F16" s="32" t="s">
        <v>221</v>
      </c>
      <c r="G16" s="32" t="s">
        <v>222</v>
      </c>
      <c r="H16" s="55" t="s">
        <v>57</v>
      </c>
      <c r="I16" s="55" t="s">
        <v>53</v>
      </c>
      <c r="J16" s="55" t="s">
        <v>68</v>
      </c>
      <c r="K16" s="33"/>
      <c r="L16" s="55" t="s">
        <v>32</v>
      </c>
      <c r="M16" s="55" t="s">
        <v>22</v>
      </c>
      <c r="N16" s="54" t="s">
        <v>49</v>
      </c>
      <c r="O16" s="33"/>
      <c r="P16" s="55" t="s">
        <v>170</v>
      </c>
      <c r="Q16" s="55" t="s">
        <v>39</v>
      </c>
      <c r="R16" s="55" t="s">
        <v>57</v>
      </c>
      <c r="S16" s="33"/>
      <c r="T16" s="51" t="s">
        <v>770</v>
      </c>
      <c r="U16" s="32" t="str">
        <f>"595,8510"</f>
        <v>595,8510</v>
      </c>
      <c r="V16" s="32" t="s">
        <v>42</v>
      </c>
    </row>
    <row r="17" spans="1:22" ht="12.75">
      <c r="A17" s="47" t="s">
        <v>729</v>
      </c>
      <c r="B17" s="218" t="s">
        <v>223</v>
      </c>
      <c r="C17" s="30" t="s">
        <v>224</v>
      </c>
      <c r="D17" s="30" t="s">
        <v>225</v>
      </c>
      <c r="E17" s="30" t="str">
        <f>"0,9166"</f>
        <v>0,9166</v>
      </c>
      <c r="F17" s="30" t="s">
        <v>16</v>
      </c>
      <c r="G17" s="30" t="s">
        <v>226</v>
      </c>
      <c r="H17" s="49" t="s">
        <v>227</v>
      </c>
      <c r="I17" s="50" t="s">
        <v>227</v>
      </c>
      <c r="J17" s="49" t="s">
        <v>228</v>
      </c>
      <c r="K17" s="31"/>
      <c r="L17" s="50" t="s">
        <v>74</v>
      </c>
      <c r="M17" s="49" t="s">
        <v>170</v>
      </c>
      <c r="N17" s="49" t="s">
        <v>170</v>
      </c>
      <c r="O17" s="31"/>
      <c r="P17" s="50" t="s">
        <v>227</v>
      </c>
      <c r="Q17" s="49" t="s">
        <v>228</v>
      </c>
      <c r="R17" s="31"/>
      <c r="S17" s="31"/>
      <c r="T17" s="47" t="s">
        <v>771</v>
      </c>
      <c r="U17" s="30" t="str">
        <f>"824,9400"</f>
        <v>824,9400</v>
      </c>
      <c r="V17" s="30" t="s">
        <v>42</v>
      </c>
    </row>
    <row r="19" spans="1:21" ht="15.75">
      <c r="A19" s="46"/>
      <c r="B19" s="191" t="s">
        <v>84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</row>
    <row r="20" spans="1:22" ht="12.75">
      <c r="A20" s="47" t="s">
        <v>729</v>
      </c>
      <c r="B20" s="218" t="s">
        <v>764</v>
      </c>
      <c r="C20" s="30" t="s">
        <v>229</v>
      </c>
      <c r="D20" s="30" t="s">
        <v>230</v>
      </c>
      <c r="E20" s="30" t="str">
        <f>"0,8720"</f>
        <v>0,8720</v>
      </c>
      <c r="F20" s="30" t="s">
        <v>16</v>
      </c>
      <c r="G20" s="30" t="s">
        <v>218</v>
      </c>
      <c r="H20" s="49" t="s">
        <v>20</v>
      </c>
      <c r="I20" s="50" t="s">
        <v>20</v>
      </c>
      <c r="J20" s="50" t="s">
        <v>25</v>
      </c>
      <c r="K20" s="31"/>
      <c r="L20" s="50" t="s">
        <v>165</v>
      </c>
      <c r="M20" s="50" t="s">
        <v>81</v>
      </c>
      <c r="N20" s="65" t="s">
        <v>231</v>
      </c>
      <c r="O20" s="31"/>
      <c r="P20" s="50" t="s">
        <v>170</v>
      </c>
      <c r="Q20" s="50" t="s">
        <v>38</v>
      </c>
      <c r="R20" s="50" t="s">
        <v>57</v>
      </c>
      <c r="S20" s="31"/>
      <c r="T20" s="47" t="s">
        <v>995</v>
      </c>
      <c r="U20" s="30" t="str">
        <f>"534,1000"</f>
        <v>534,1000</v>
      </c>
      <c r="V20" s="30" t="s">
        <v>42</v>
      </c>
    </row>
    <row r="22" spans="1:21" ht="15.75">
      <c r="A22" s="46"/>
      <c r="B22" s="191" t="s">
        <v>91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2" ht="12.75">
      <c r="A23" s="47" t="s">
        <v>729</v>
      </c>
      <c r="B23" s="30" t="s">
        <v>232</v>
      </c>
      <c r="C23" s="30" t="s">
        <v>233</v>
      </c>
      <c r="D23" s="30" t="s">
        <v>234</v>
      </c>
      <c r="E23" s="30" t="str">
        <f>"0,8570"</f>
        <v>0,8570</v>
      </c>
      <c r="F23" s="30" t="s">
        <v>16</v>
      </c>
      <c r="G23" s="30" t="s">
        <v>759</v>
      </c>
      <c r="H23" s="50" t="s">
        <v>52</v>
      </c>
      <c r="I23" s="50" t="s">
        <v>68</v>
      </c>
      <c r="J23" s="49" t="s">
        <v>41</v>
      </c>
      <c r="K23" s="31"/>
      <c r="L23" s="50" t="s">
        <v>74</v>
      </c>
      <c r="M23" s="50" t="s">
        <v>96</v>
      </c>
      <c r="N23" s="50" t="s">
        <v>170</v>
      </c>
      <c r="O23" s="31"/>
      <c r="P23" s="49" t="s">
        <v>235</v>
      </c>
      <c r="Q23" s="50" t="s">
        <v>235</v>
      </c>
      <c r="R23" s="49" t="s">
        <v>236</v>
      </c>
      <c r="S23" s="31"/>
      <c r="T23" s="47" t="s">
        <v>772</v>
      </c>
      <c r="U23" s="30" t="str">
        <f>"681,3150"</f>
        <v>681,3150</v>
      </c>
      <c r="V23" s="30" t="s">
        <v>237</v>
      </c>
    </row>
    <row r="25" ht="15.75">
      <c r="F25" s="38"/>
    </row>
    <row r="26" ht="18">
      <c r="B26" s="21" t="s">
        <v>100</v>
      </c>
    </row>
    <row r="27" spans="1:3" ht="18">
      <c r="A27" s="57"/>
      <c r="B27" s="23" t="s">
        <v>101</v>
      </c>
      <c r="C27" s="39"/>
    </row>
    <row r="28" spans="1:3" ht="13.5">
      <c r="A28" s="59"/>
      <c r="B28" s="78" t="s">
        <v>108</v>
      </c>
      <c r="C28" s="42"/>
    </row>
    <row r="29" spans="1:6" ht="13.5">
      <c r="A29" s="43"/>
      <c r="B29" s="43" t="s">
        <v>102</v>
      </c>
      <c r="C29" s="43" t="s">
        <v>103</v>
      </c>
      <c r="D29" s="43" t="s">
        <v>104</v>
      </c>
      <c r="E29" s="43" t="s">
        <v>105</v>
      </c>
      <c r="F29" s="43" t="s">
        <v>106</v>
      </c>
    </row>
    <row r="30" spans="1:6" ht="12.75">
      <c r="A30" s="48" t="s">
        <v>729</v>
      </c>
      <c r="B30" s="82" t="s">
        <v>223</v>
      </c>
      <c r="C30" s="83" t="s">
        <v>108</v>
      </c>
      <c r="D30" s="83" t="s">
        <v>112</v>
      </c>
      <c r="E30" s="83" t="s">
        <v>239</v>
      </c>
      <c r="F30" s="48" t="s">
        <v>240</v>
      </c>
    </row>
    <row r="31" spans="1:6" ht="12.75">
      <c r="A31" s="48" t="s">
        <v>731</v>
      </c>
      <c r="B31" s="82" t="s">
        <v>211</v>
      </c>
      <c r="C31" s="83" t="s">
        <v>108</v>
      </c>
      <c r="D31" s="83" t="s">
        <v>109</v>
      </c>
      <c r="E31" s="83" t="s">
        <v>238</v>
      </c>
      <c r="F31" s="48" t="s">
        <v>241</v>
      </c>
    </row>
    <row r="32" spans="1:6" ht="12.75">
      <c r="A32" s="48" t="s">
        <v>732</v>
      </c>
      <c r="B32" s="82" t="s">
        <v>232</v>
      </c>
      <c r="C32" s="83" t="s">
        <v>108</v>
      </c>
      <c r="D32" s="83" t="s">
        <v>115</v>
      </c>
      <c r="E32" s="83" t="s">
        <v>242</v>
      </c>
      <c r="F32" s="48" t="s">
        <v>243</v>
      </c>
    </row>
    <row r="33" spans="2:6" ht="12.75">
      <c r="B33" s="82" t="s">
        <v>198</v>
      </c>
      <c r="C33" s="83" t="s">
        <v>108</v>
      </c>
      <c r="D33" s="83" t="s">
        <v>244</v>
      </c>
      <c r="E33" s="83" t="s">
        <v>245</v>
      </c>
      <c r="F33" s="48" t="s">
        <v>246</v>
      </c>
    </row>
  </sheetData>
  <sheetProtection/>
  <mergeCells count="20">
    <mergeCell ref="B15:U15"/>
    <mergeCell ref="B19:U19"/>
    <mergeCell ref="B22:U22"/>
    <mergeCell ref="A3:A4"/>
    <mergeCell ref="T3:T4"/>
    <mergeCell ref="U3:U4"/>
    <mergeCell ref="G3:G4"/>
    <mergeCell ref="H3:K3"/>
    <mergeCell ref="L3:O3"/>
    <mergeCell ref="P3:S3"/>
    <mergeCell ref="V3:V4"/>
    <mergeCell ref="B5:U5"/>
    <mergeCell ref="B8:U8"/>
    <mergeCell ref="B12:U12"/>
    <mergeCell ref="B1:V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G35" sqref="G35"/>
    </sheetView>
  </sheetViews>
  <sheetFormatPr defaultColWidth="8.75390625" defaultRowHeight="12.75"/>
  <cols>
    <col min="1" max="1" width="7.375" style="48" customWidth="1"/>
    <col min="2" max="2" width="21.00390625" style="29" customWidth="1"/>
    <col min="3" max="3" width="24.00390625" style="29" customWidth="1"/>
    <col min="4" max="4" width="9.00390625" style="29" customWidth="1"/>
    <col min="5" max="5" width="8.375" style="29" bestFit="1" customWidth="1"/>
    <col min="6" max="6" width="11.00390625" style="29" customWidth="1"/>
    <col min="7" max="7" width="33.125" style="29" customWidth="1"/>
    <col min="8" max="10" width="5.625" style="29" bestFit="1" customWidth="1"/>
    <col min="11" max="11" width="4.625" style="29" bestFit="1" customWidth="1"/>
    <col min="12" max="14" width="5.625" style="29" bestFit="1" customWidth="1"/>
    <col min="15" max="15" width="4.625" style="29" bestFit="1" customWidth="1"/>
    <col min="16" max="18" width="5.625" style="29" bestFit="1" customWidth="1"/>
    <col min="19" max="19" width="4.625" style="29" bestFit="1" customWidth="1"/>
    <col min="20" max="20" width="7.875" style="48" bestFit="1" customWidth="1"/>
    <col min="21" max="21" width="8.625" style="29" bestFit="1" customWidth="1"/>
    <col min="22" max="22" width="17.25390625" style="29" customWidth="1"/>
  </cols>
  <sheetData>
    <row r="1" spans="1:22" s="1" customFormat="1" ht="15" customHeight="1">
      <c r="A1" s="45"/>
      <c r="B1" s="194" t="s">
        <v>750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2" s="1" customFormat="1" ht="108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2</v>
      </c>
      <c r="M3" s="204"/>
      <c r="N3" s="204"/>
      <c r="O3" s="204"/>
      <c r="P3" s="204" t="s">
        <v>3</v>
      </c>
      <c r="Q3" s="204"/>
      <c r="R3" s="204"/>
      <c r="S3" s="204"/>
      <c r="T3" s="204" t="s">
        <v>4</v>
      </c>
      <c r="U3" s="204" t="s">
        <v>6</v>
      </c>
      <c r="V3" s="205" t="s">
        <v>5</v>
      </c>
    </row>
    <row r="4" spans="1:22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2"/>
      <c r="U4" s="202"/>
      <c r="V4" s="206"/>
    </row>
    <row r="5" spans="1:21" ht="15.75">
      <c r="A5" s="46"/>
      <c r="B5" s="207" t="s">
        <v>132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2" ht="12.75">
      <c r="A6" s="47" t="s">
        <v>729</v>
      </c>
      <c r="B6" s="218" t="s">
        <v>751</v>
      </c>
      <c r="C6" s="30" t="s">
        <v>133</v>
      </c>
      <c r="D6" s="30" t="s">
        <v>134</v>
      </c>
      <c r="E6" s="30" t="str">
        <f>"2,3342"</f>
        <v>2,3342</v>
      </c>
      <c r="F6" s="30" t="s">
        <v>16</v>
      </c>
      <c r="G6" s="30" t="s">
        <v>135</v>
      </c>
      <c r="H6" s="50" t="s">
        <v>136</v>
      </c>
      <c r="I6" s="50" t="s">
        <v>137</v>
      </c>
      <c r="J6" s="49" t="s">
        <v>138</v>
      </c>
      <c r="K6" s="31"/>
      <c r="L6" s="50" t="s">
        <v>139</v>
      </c>
      <c r="M6" s="50" t="s">
        <v>140</v>
      </c>
      <c r="N6" s="50" t="s">
        <v>141</v>
      </c>
      <c r="O6" s="31"/>
      <c r="P6" s="50" t="s">
        <v>142</v>
      </c>
      <c r="Q6" s="50" t="s">
        <v>143</v>
      </c>
      <c r="R6" s="49" t="s">
        <v>144</v>
      </c>
      <c r="S6" s="31"/>
      <c r="T6" s="47" t="s">
        <v>765</v>
      </c>
      <c r="U6" s="30" t="str">
        <f>"548,5370"</f>
        <v>548,5370</v>
      </c>
      <c r="V6" s="30" t="s">
        <v>145</v>
      </c>
    </row>
    <row r="8" spans="1:21" ht="15.75">
      <c r="A8" s="46"/>
      <c r="B8" s="191" t="s">
        <v>146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2" ht="12.75">
      <c r="A9" s="47" t="s">
        <v>729</v>
      </c>
      <c r="B9" s="218" t="s">
        <v>147</v>
      </c>
      <c r="C9" s="30" t="s">
        <v>148</v>
      </c>
      <c r="D9" s="30" t="s">
        <v>149</v>
      </c>
      <c r="E9" s="30" t="str">
        <f>"2,1024"</f>
        <v>2,1024</v>
      </c>
      <c r="F9" s="30" t="s">
        <v>16</v>
      </c>
      <c r="G9" s="30" t="s">
        <v>759</v>
      </c>
      <c r="H9" s="50" t="s">
        <v>137</v>
      </c>
      <c r="I9" s="49" t="s">
        <v>138</v>
      </c>
      <c r="J9" s="50" t="s">
        <v>138</v>
      </c>
      <c r="K9" s="31"/>
      <c r="L9" s="50" t="s">
        <v>150</v>
      </c>
      <c r="M9" s="49" t="s">
        <v>141</v>
      </c>
      <c r="N9" s="50" t="s">
        <v>151</v>
      </c>
      <c r="O9" s="31"/>
      <c r="P9" s="50" t="s">
        <v>137</v>
      </c>
      <c r="Q9" s="50" t="s">
        <v>138</v>
      </c>
      <c r="R9" s="50" t="s">
        <v>142</v>
      </c>
      <c r="S9" s="31"/>
      <c r="T9" s="47" t="s">
        <v>765</v>
      </c>
      <c r="U9" s="30" t="str">
        <f>"494,0640"</f>
        <v>494,0640</v>
      </c>
      <c r="V9" s="30" t="s">
        <v>152</v>
      </c>
    </row>
    <row r="11" spans="1:21" ht="15.75">
      <c r="A11" s="46"/>
      <c r="B11" s="191" t="s">
        <v>153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2" spans="1:22" ht="12.75">
      <c r="A12" s="47" t="s">
        <v>729</v>
      </c>
      <c r="B12" s="218" t="s">
        <v>154</v>
      </c>
      <c r="C12" s="30" t="s">
        <v>155</v>
      </c>
      <c r="D12" s="30" t="s">
        <v>156</v>
      </c>
      <c r="E12" s="30" t="str">
        <f>"1,7854"</f>
        <v>1,7854</v>
      </c>
      <c r="F12" s="30" t="s">
        <v>157</v>
      </c>
      <c r="G12" s="30" t="s">
        <v>158</v>
      </c>
      <c r="H12" s="50" t="s">
        <v>143</v>
      </c>
      <c r="I12" s="49" t="s">
        <v>159</v>
      </c>
      <c r="J12" s="49" t="s">
        <v>159</v>
      </c>
      <c r="K12" s="31"/>
      <c r="L12" s="49" t="s">
        <v>160</v>
      </c>
      <c r="M12" s="50" t="s">
        <v>161</v>
      </c>
      <c r="N12" s="49" t="s">
        <v>136</v>
      </c>
      <c r="O12" s="31"/>
      <c r="P12" s="50" t="s">
        <v>144</v>
      </c>
      <c r="Q12" s="49" t="s">
        <v>162</v>
      </c>
      <c r="R12" s="31"/>
      <c r="S12" s="31"/>
      <c r="T12" s="47" t="s">
        <v>1000</v>
      </c>
      <c r="U12" s="30" t="str">
        <f>"486,5215"</f>
        <v>486,5215</v>
      </c>
      <c r="V12" s="30" t="s">
        <v>905</v>
      </c>
    </row>
    <row r="14" spans="1:21" ht="15.75">
      <c r="A14" s="46"/>
      <c r="B14" s="191" t="s">
        <v>12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</row>
    <row r="15" spans="1:22" ht="12.75">
      <c r="A15" s="47" t="s">
        <v>729</v>
      </c>
      <c r="B15" s="218" t="s">
        <v>752</v>
      </c>
      <c r="C15" s="30" t="s">
        <v>163</v>
      </c>
      <c r="D15" s="30" t="s">
        <v>164</v>
      </c>
      <c r="E15" s="30" t="str">
        <f>"1,1272"</f>
        <v>1,1272</v>
      </c>
      <c r="F15" s="30" t="s">
        <v>16</v>
      </c>
      <c r="G15" s="30" t="s">
        <v>759</v>
      </c>
      <c r="H15" s="50" t="s">
        <v>165</v>
      </c>
      <c r="I15" s="49" t="s">
        <v>81</v>
      </c>
      <c r="J15" s="50" t="s">
        <v>81</v>
      </c>
      <c r="K15" s="31"/>
      <c r="L15" s="50" t="s">
        <v>159</v>
      </c>
      <c r="M15" s="50" t="s">
        <v>166</v>
      </c>
      <c r="N15" s="49" t="s">
        <v>167</v>
      </c>
      <c r="O15" s="31"/>
      <c r="P15" s="50" t="s">
        <v>97</v>
      </c>
      <c r="Q15" s="31"/>
      <c r="R15" s="31"/>
      <c r="S15" s="31"/>
      <c r="T15" s="47" t="s">
        <v>738</v>
      </c>
      <c r="U15" s="30" t="str">
        <f>"574,8720"</f>
        <v>574,8720</v>
      </c>
      <c r="V15" s="30" t="s">
        <v>999</v>
      </c>
    </row>
    <row r="17" spans="1:21" ht="15.75">
      <c r="A17" s="46"/>
      <c r="B17" s="191" t="s">
        <v>34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</row>
    <row r="18" spans="1:22" ht="12.75">
      <c r="A18" s="51" t="s">
        <v>729</v>
      </c>
      <c r="B18" s="219" t="s">
        <v>753</v>
      </c>
      <c r="C18" s="32" t="s">
        <v>168</v>
      </c>
      <c r="D18" s="32" t="s">
        <v>169</v>
      </c>
      <c r="E18" s="32" t="str">
        <f>"1,0406"</f>
        <v>1,0406</v>
      </c>
      <c r="F18" s="32" t="s">
        <v>16</v>
      </c>
      <c r="G18" s="32" t="s">
        <v>760</v>
      </c>
      <c r="H18" s="55" t="s">
        <v>170</v>
      </c>
      <c r="I18" s="55" t="s">
        <v>39</v>
      </c>
      <c r="J18" s="55" t="s">
        <v>51</v>
      </c>
      <c r="K18" s="33"/>
      <c r="L18" s="55" t="s">
        <v>32</v>
      </c>
      <c r="M18" s="55" t="s">
        <v>22</v>
      </c>
      <c r="N18" s="54" t="s">
        <v>49</v>
      </c>
      <c r="O18" s="33"/>
      <c r="P18" s="55" t="s">
        <v>51</v>
      </c>
      <c r="Q18" s="55" t="s">
        <v>171</v>
      </c>
      <c r="R18" s="54" t="s">
        <v>41</v>
      </c>
      <c r="S18" s="33"/>
      <c r="T18" s="51" t="s">
        <v>996</v>
      </c>
      <c r="U18" s="32" t="str">
        <f>"678,9915"</f>
        <v>678,9915</v>
      </c>
      <c r="V18" s="32" t="s">
        <v>172</v>
      </c>
    </row>
    <row r="19" spans="1:22" ht="12.75">
      <c r="A19" s="47" t="s">
        <v>729</v>
      </c>
      <c r="B19" s="218" t="s">
        <v>754</v>
      </c>
      <c r="C19" s="30" t="s">
        <v>173</v>
      </c>
      <c r="D19" s="30" t="s">
        <v>174</v>
      </c>
      <c r="E19" s="30" t="str">
        <f>"1,0648"</f>
        <v>1,0648</v>
      </c>
      <c r="F19" s="30" t="s">
        <v>16</v>
      </c>
      <c r="G19" s="30" t="s">
        <v>175</v>
      </c>
      <c r="H19" s="50" t="s">
        <v>167</v>
      </c>
      <c r="I19" s="50" t="s">
        <v>21</v>
      </c>
      <c r="J19" s="49" t="s">
        <v>49</v>
      </c>
      <c r="K19" s="31"/>
      <c r="L19" s="50" t="s">
        <v>142</v>
      </c>
      <c r="M19" s="50" t="s">
        <v>176</v>
      </c>
      <c r="N19" s="49" t="s">
        <v>177</v>
      </c>
      <c r="O19" s="31"/>
      <c r="P19" s="50" t="s">
        <v>22</v>
      </c>
      <c r="Q19" s="50" t="s">
        <v>165</v>
      </c>
      <c r="R19" s="50" t="s">
        <v>81</v>
      </c>
      <c r="S19" s="31"/>
      <c r="T19" s="47" t="s">
        <v>766</v>
      </c>
      <c r="U19" s="30" t="str">
        <f>"420,5960"</f>
        <v>420,5960</v>
      </c>
      <c r="V19" s="30" t="s">
        <v>178</v>
      </c>
    </row>
    <row r="21" spans="1:21" ht="15.75">
      <c r="A21" s="46"/>
      <c r="B21" s="191" t="s">
        <v>54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2" ht="12.75">
      <c r="A22" s="51" t="s">
        <v>729</v>
      </c>
      <c r="B22" s="219" t="s">
        <v>755</v>
      </c>
      <c r="C22" s="32" t="s">
        <v>179</v>
      </c>
      <c r="D22" s="32" t="s">
        <v>180</v>
      </c>
      <c r="E22" s="32" t="str">
        <f>"0,9720"</f>
        <v>0,9720</v>
      </c>
      <c r="F22" s="32" t="s">
        <v>16</v>
      </c>
      <c r="G22" s="30" t="s">
        <v>759</v>
      </c>
      <c r="H22" s="55" t="s">
        <v>24</v>
      </c>
      <c r="I22" s="55" t="s">
        <v>25</v>
      </c>
      <c r="J22" s="55" t="s">
        <v>48</v>
      </c>
      <c r="K22" s="33"/>
      <c r="L22" s="55" t="s">
        <v>165</v>
      </c>
      <c r="M22" s="55" t="s">
        <v>181</v>
      </c>
      <c r="N22" s="54" t="s">
        <v>182</v>
      </c>
      <c r="O22" s="33"/>
      <c r="P22" s="55" t="s">
        <v>74</v>
      </c>
      <c r="Q22" s="55" t="s">
        <v>183</v>
      </c>
      <c r="R22" s="33"/>
      <c r="S22" s="33"/>
      <c r="T22" s="51" t="s">
        <v>997</v>
      </c>
      <c r="U22" s="32" t="str">
        <f>"580,7700"</f>
        <v>580,7700</v>
      </c>
      <c r="V22" s="32" t="s">
        <v>42</v>
      </c>
    </row>
    <row r="23" spans="1:22" ht="12.75">
      <c r="A23" s="47" t="s">
        <v>731</v>
      </c>
      <c r="B23" s="218" t="s">
        <v>184</v>
      </c>
      <c r="C23" s="30" t="s">
        <v>185</v>
      </c>
      <c r="D23" s="30" t="s">
        <v>186</v>
      </c>
      <c r="E23" s="30" t="str">
        <f>"0,9790"</f>
        <v>0,9790</v>
      </c>
      <c r="F23" s="30" t="s">
        <v>16</v>
      </c>
      <c r="G23" s="30" t="s">
        <v>1309</v>
      </c>
      <c r="H23" s="49" t="s">
        <v>20</v>
      </c>
      <c r="I23" s="50" t="s">
        <v>20</v>
      </c>
      <c r="J23" s="50" t="s">
        <v>25</v>
      </c>
      <c r="K23" s="31"/>
      <c r="L23" s="50" t="s">
        <v>50</v>
      </c>
      <c r="M23" s="50" t="s">
        <v>59</v>
      </c>
      <c r="N23" s="49" t="s">
        <v>81</v>
      </c>
      <c r="O23" s="31"/>
      <c r="P23" s="50" t="s">
        <v>23</v>
      </c>
      <c r="Q23" s="50" t="s">
        <v>18</v>
      </c>
      <c r="R23" s="50" t="s">
        <v>30</v>
      </c>
      <c r="S23" s="31"/>
      <c r="T23" s="47" t="s">
        <v>998</v>
      </c>
      <c r="U23" s="30" t="str">
        <f>"540,8975"</f>
        <v>540,8975</v>
      </c>
      <c r="V23" s="30" t="s">
        <v>187</v>
      </c>
    </row>
    <row r="24" spans="1:22" ht="12.75">
      <c r="A24" s="52" t="s">
        <v>732</v>
      </c>
      <c r="B24" s="220" t="s">
        <v>756</v>
      </c>
      <c r="C24" s="34" t="s">
        <v>188</v>
      </c>
      <c r="D24" s="34" t="s">
        <v>189</v>
      </c>
      <c r="E24" s="34" t="str">
        <f>"0,9846"</f>
        <v>0,9846</v>
      </c>
      <c r="F24" s="34" t="s">
        <v>16</v>
      </c>
      <c r="G24" s="30" t="s">
        <v>759</v>
      </c>
      <c r="H24" s="53" t="s">
        <v>81</v>
      </c>
      <c r="I24" s="53" t="s">
        <v>18</v>
      </c>
      <c r="J24" s="56" t="s">
        <v>19</v>
      </c>
      <c r="K24" s="35"/>
      <c r="L24" s="56" t="s">
        <v>32</v>
      </c>
      <c r="M24" s="56" t="s">
        <v>21</v>
      </c>
      <c r="N24" s="56" t="s">
        <v>22</v>
      </c>
      <c r="O24" s="35"/>
      <c r="P24" s="56" t="s">
        <v>74</v>
      </c>
      <c r="Q24" s="56" t="s">
        <v>190</v>
      </c>
      <c r="R24" s="53" t="s">
        <v>96</v>
      </c>
      <c r="S24" s="35"/>
      <c r="T24" s="52" t="s">
        <v>767</v>
      </c>
      <c r="U24" s="34" t="str">
        <f>"526,7610"</f>
        <v>526,7610</v>
      </c>
      <c r="V24" s="34" t="s">
        <v>42</v>
      </c>
    </row>
    <row r="26" spans="1:21" ht="15.75">
      <c r="A26" s="46"/>
      <c r="B26" s="191" t="s">
        <v>84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2" ht="12.75">
      <c r="A27" s="47" t="s">
        <v>729</v>
      </c>
      <c r="B27" s="218" t="s">
        <v>757</v>
      </c>
      <c r="C27" s="30" t="s">
        <v>191</v>
      </c>
      <c r="D27" s="30" t="s">
        <v>192</v>
      </c>
      <c r="E27" s="30" t="str">
        <f>"0,8620"</f>
        <v>0,8620</v>
      </c>
      <c r="F27" s="30" t="s">
        <v>16</v>
      </c>
      <c r="G27" s="30" t="s">
        <v>95</v>
      </c>
      <c r="H27" s="50" t="s">
        <v>170</v>
      </c>
      <c r="I27" s="50" t="s">
        <v>38</v>
      </c>
      <c r="J27" s="50" t="s">
        <v>57</v>
      </c>
      <c r="K27" s="65"/>
      <c r="L27" s="50" t="s">
        <v>18</v>
      </c>
      <c r="M27" s="50" t="s">
        <v>19</v>
      </c>
      <c r="N27" s="49" t="s">
        <v>30</v>
      </c>
      <c r="O27" s="31"/>
      <c r="P27" s="50" t="s">
        <v>38</v>
      </c>
      <c r="Q27" s="50" t="s">
        <v>80</v>
      </c>
      <c r="R27" s="50" t="s">
        <v>40</v>
      </c>
      <c r="S27" s="31"/>
      <c r="T27" s="47" t="s">
        <v>768</v>
      </c>
      <c r="U27" s="30" t="str">
        <f>"594,7800"</f>
        <v>594,7800</v>
      </c>
      <c r="V27" s="30" t="s">
        <v>193</v>
      </c>
    </row>
  </sheetData>
  <sheetProtection/>
  <mergeCells count="21">
    <mergeCell ref="B26:U26"/>
    <mergeCell ref="A3:A4"/>
    <mergeCell ref="T3:T4"/>
    <mergeCell ref="U3:U4"/>
    <mergeCell ref="G3:G4"/>
    <mergeCell ref="H3:K3"/>
    <mergeCell ref="P3:S3"/>
    <mergeCell ref="B5:U5"/>
    <mergeCell ref="B1:V2"/>
    <mergeCell ref="B3:B4"/>
    <mergeCell ref="C3:C4"/>
    <mergeCell ref="D3:D4"/>
    <mergeCell ref="E3:E4"/>
    <mergeCell ref="B11:U11"/>
    <mergeCell ref="F3:F4"/>
    <mergeCell ref="L3:O3"/>
    <mergeCell ref="B8:U8"/>
    <mergeCell ref="V3:V4"/>
    <mergeCell ref="B14:U14"/>
    <mergeCell ref="B17:U17"/>
    <mergeCell ref="B21:U2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 topLeftCell="A9">
      <selection activeCell="G35" sqref="G35"/>
    </sheetView>
  </sheetViews>
  <sheetFormatPr defaultColWidth="9.125" defaultRowHeight="12.75"/>
  <cols>
    <col min="1" max="1" width="7.00390625" style="4" customWidth="1"/>
    <col min="2" max="2" width="22.625" style="4" customWidth="1"/>
    <col min="3" max="3" width="25.625" style="1" customWidth="1"/>
    <col min="4" max="4" width="10.625" style="6" customWidth="1"/>
    <col min="5" max="5" width="8.375" style="1" bestFit="1" customWidth="1"/>
    <col min="6" max="6" width="10.125" style="5" customWidth="1"/>
    <col min="7" max="7" width="32.875" style="5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8.625" style="1" bestFit="1" customWidth="1"/>
    <col min="22" max="22" width="19.75390625" style="5" customWidth="1"/>
    <col min="23" max="16384" width="9.125" style="1" customWidth="1"/>
  </cols>
  <sheetData>
    <row r="1" spans="1:22" ht="15" customHeight="1">
      <c r="A1" s="1"/>
      <c r="B1" s="194" t="s">
        <v>748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2" ht="100.5" customHeight="1" thickBot="1">
      <c r="A2" s="1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1</v>
      </c>
      <c r="I3" s="204"/>
      <c r="J3" s="204"/>
      <c r="K3" s="204"/>
      <c r="L3" s="204" t="s">
        <v>2</v>
      </c>
      <c r="M3" s="204"/>
      <c r="N3" s="204"/>
      <c r="O3" s="204"/>
      <c r="P3" s="204" t="s">
        <v>3</v>
      </c>
      <c r="Q3" s="204"/>
      <c r="R3" s="204"/>
      <c r="S3" s="204"/>
      <c r="T3" s="204" t="s">
        <v>4</v>
      </c>
      <c r="U3" s="204" t="s">
        <v>6</v>
      </c>
      <c r="V3" s="205" t="s">
        <v>5</v>
      </c>
    </row>
    <row r="4" spans="1:22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2"/>
      <c r="U4" s="202"/>
      <c r="V4" s="206"/>
    </row>
    <row r="5" spans="1:21" ht="15.75">
      <c r="A5" s="1"/>
      <c r="B5" s="214" t="s">
        <v>12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2" ht="12.75">
      <c r="A6" s="79" t="s">
        <v>729</v>
      </c>
      <c r="B6" s="216" t="s">
        <v>13</v>
      </c>
      <c r="C6" s="7" t="s">
        <v>14</v>
      </c>
      <c r="D6" s="8" t="s">
        <v>15</v>
      </c>
      <c r="E6" s="7" t="str">
        <f>"1,1454"</f>
        <v>1,1454</v>
      </c>
      <c r="F6" s="9" t="s">
        <v>16</v>
      </c>
      <c r="G6" s="9" t="s">
        <v>17</v>
      </c>
      <c r="H6" s="73" t="s">
        <v>18</v>
      </c>
      <c r="I6" s="73" t="s">
        <v>19</v>
      </c>
      <c r="J6" s="73" t="s">
        <v>20</v>
      </c>
      <c r="K6" s="10"/>
      <c r="L6" s="73" t="s">
        <v>21</v>
      </c>
      <c r="M6" s="73" t="s">
        <v>22</v>
      </c>
      <c r="N6" s="71" t="s">
        <v>23</v>
      </c>
      <c r="O6" s="10"/>
      <c r="P6" s="73" t="s">
        <v>19</v>
      </c>
      <c r="Q6" s="73" t="s">
        <v>24</v>
      </c>
      <c r="R6" s="73" t="s">
        <v>25</v>
      </c>
      <c r="S6" s="10"/>
      <c r="T6" s="123" t="s">
        <v>737</v>
      </c>
      <c r="U6" s="7" t="str">
        <f>"615,6525"</f>
        <v>615,6525</v>
      </c>
      <c r="V6" s="9" t="s">
        <v>749</v>
      </c>
    </row>
    <row r="7" spans="1:22" ht="12.75">
      <c r="A7" s="81" t="s">
        <v>731</v>
      </c>
      <c r="B7" s="68" t="s">
        <v>26</v>
      </c>
      <c r="C7" s="15" t="s">
        <v>27</v>
      </c>
      <c r="D7" s="16" t="s">
        <v>28</v>
      </c>
      <c r="E7" s="15" t="str">
        <f>"1,1288"</f>
        <v>1,1288</v>
      </c>
      <c r="F7" s="17" t="s">
        <v>16</v>
      </c>
      <c r="G7" s="17" t="s">
        <v>761</v>
      </c>
      <c r="H7" s="75" t="s">
        <v>29</v>
      </c>
      <c r="I7" s="75" t="s">
        <v>30</v>
      </c>
      <c r="J7" s="72" t="s">
        <v>31</v>
      </c>
      <c r="K7" s="18"/>
      <c r="L7" s="75" t="s">
        <v>32</v>
      </c>
      <c r="M7" s="72" t="s">
        <v>22</v>
      </c>
      <c r="N7" s="72" t="s">
        <v>22</v>
      </c>
      <c r="O7" s="18"/>
      <c r="P7" s="75" t="s">
        <v>18</v>
      </c>
      <c r="Q7" s="75" t="s">
        <v>19</v>
      </c>
      <c r="R7" s="75" t="s">
        <v>31</v>
      </c>
      <c r="S7" s="18"/>
      <c r="T7" s="124" t="s">
        <v>738</v>
      </c>
      <c r="U7" s="15" t="str">
        <f>"575,6880"</f>
        <v>575,6880</v>
      </c>
      <c r="V7" s="17" t="s">
        <v>33</v>
      </c>
    </row>
    <row r="9" spans="1:21" ht="15.75">
      <c r="A9" s="1"/>
      <c r="B9" s="212" t="s">
        <v>34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</row>
    <row r="10" spans="1:22" ht="12.75">
      <c r="A10" s="79" t="s">
        <v>729</v>
      </c>
      <c r="B10" s="216" t="s">
        <v>35</v>
      </c>
      <c r="C10" s="7" t="s">
        <v>36</v>
      </c>
      <c r="D10" s="8" t="s">
        <v>37</v>
      </c>
      <c r="E10" s="7" t="str">
        <f>"1,0356"</f>
        <v>1,0356</v>
      </c>
      <c r="F10" s="9" t="s">
        <v>16</v>
      </c>
      <c r="G10" s="9" t="s">
        <v>1300</v>
      </c>
      <c r="H10" s="73" t="s">
        <v>38</v>
      </c>
      <c r="I10" s="71" t="s">
        <v>39</v>
      </c>
      <c r="J10" s="73" t="s">
        <v>39</v>
      </c>
      <c r="K10" s="10"/>
      <c r="L10" s="73" t="s">
        <v>18</v>
      </c>
      <c r="M10" s="73" t="s">
        <v>29</v>
      </c>
      <c r="N10" s="71" t="s">
        <v>19</v>
      </c>
      <c r="O10" s="10"/>
      <c r="P10" s="73" t="s">
        <v>40</v>
      </c>
      <c r="Q10" s="71" t="s">
        <v>41</v>
      </c>
      <c r="R10" s="71" t="s">
        <v>41</v>
      </c>
      <c r="S10" s="10"/>
      <c r="T10" s="123" t="s">
        <v>739</v>
      </c>
      <c r="U10" s="7" t="str">
        <f>"704,2080"</f>
        <v>704,2080</v>
      </c>
      <c r="V10" s="9" t="s">
        <v>42</v>
      </c>
    </row>
    <row r="11" spans="1:22" ht="12.75">
      <c r="A11" s="81" t="s">
        <v>731</v>
      </c>
      <c r="B11" s="217" t="s">
        <v>43</v>
      </c>
      <c r="C11" s="15" t="s">
        <v>44</v>
      </c>
      <c r="D11" s="16" t="s">
        <v>45</v>
      </c>
      <c r="E11" s="15" t="str">
        <f>"1,0504"</f>
        <v>1,0504</v>
      </c>
      <c r="F11" s="17" t="s">
        <v>16</v>
      </c>
      <c r="G11" s="17" t="s">
        <v>46</v>
      </c>
      <c r="H11" s="72" t="s">
        <v>24</v>
      </c>
      <c r="I11" s="75" t="s">
        <v>47</v>
      </c>
      <c r="J11" s="72" t="s">
        <v>48</v>
      </c>
      <c r="K11" s="18"/>
      <c r="L11" s="75" t="s">
        <v>49</v>
      </c>
      <c r="M11" s="72" t="s">
        <v>50</v>
      </c>
      <c r="N11" s="72" t="s">
        <v>50</v>
      </c>
      <c r="O11" s="18"/>
      <c r="P11" s="75" t="s">
        <v>51</v>
      </c>
      <c r="Q11" s="75" t="s">
        <v>52</v>
      </c>
      <c r="R11" s="75" t="s">
        <v>53</v>
      </c>
      <c r="S11" s="18"/>
      <c r="T11" s="124" t="s">
        <v>740</v>
      </c>
      <c r="U11" s="15" t="str">
        <f>"640,7440"</f>
        <v>640,7440</v>
      </c>
      <c r="V11" s="17" t="s">
        <v>42</v>
      </c>
    </row>
    <row r="13" spans="1:21" ht="15.75">
      <c r="A13" s="1"/>
      <c r="B13" s="212" t="s">
        <v>54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22" ht="12.75">
      <c r="A14" s="81" t="s">
        <v>729</v>
      </c>
      <c r="B14" s="68" t="s">
        <v>734</v>
      </c>
      <c r="C14" s="15" t="s">
        <v>55</v>
      </c>
      <c r="D14" s="16" t="s">
        <v>56</v>
      </c>
      <c r="E14" s="15" t="str">
        <f>"0,9940"</f>
        <v>0,9940</v>
      </c>
      <c r="F14" s="17" t="s">
        <v>16</v>
      </c>
      <c r="G14" s="17" t="s">
        <v>746</v>
      </c>
      <c r="H14" s="75" t="s">
        <v>57</v>
      </c>
      <c r="I14" s="72" t="s">
        <v>58</v>
      </c>
      <c r="J14" s="75" t="s">
        <v>58</v>
      </c>
      <c r="K14" s="76"/>
      <c r="L14" s="75" t="s">
        <v>59</v>
      </c>
      <c r="M14" s="75" t="s">
        <v>29</v>
      </c>
      <c r="N14" s="75" t="s">
        <v>19</v>
      </c>
      <c r="O14" s="76"/>
      <c r="P14" s="75" t="s">
        <v>40</v>
      </c>
      <c r="Q14" s="75" t="s">
        <v>60</v>
      </c>
      <c r="R14" s="18"/>
      <c r="S14" s="18"/>
      <c r="T14" s="124" t="s">
        <v>741</v>
      </c>
      <c r="U14" s="15" t="str">
        <f>"730,5900"</f>
        <v>730,5900</v>
      </c>
      <c r="V14" s="17" t="s">
        <v>42</v>
      </c>
    </row>
    <row r="16" spans="1:21" ht="15.75">
      <c r="A16" s="1"/>
      <c r="B16" s="212" t="s">
        <v>61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</row>
    <row r="17" spans="1:22" ht="12.75">
      <c r="A17" s="79" t="s">
        <v>729</v>
      </c>
      <c r="B17" s="66" t="s">
        <v>735</v>
      </c>
      <c r="C17" s="7" t="s">
        <v>63</v>
      </c>
      <c r="D17" s="8" t="s">
        <v>64</v>
      </c>
      <c r="E17" s="7" t="str">
        <f>"0,9324"</f>
        <v>0,9324</v>
      </c>
      <c r="F17" s="9" t="s">
        <v>16</v>
      </c>
      <c r="G17" s="9" t="s">
        <v>65</v>
      </c>
      <c r="H17" s="73" t="s">
        <v>40</v>
      </c>
      <c r="I17" s="73" t="s">
        <v>66</v>
      </c>
      <c r="J17" s="71" t="s">
        <v>67</v>
      </c>
      <c r="K17" s="10"/>
      <c r="L17" s="73" t="s">
        <v>24</v>
      </c>
      <c r="M17" s="71" t="s">
        <v>25</v>
      </c>
      <c r="N17" s="10"/>
      <c r="O17" s="10"/>
      <c r="P17" s="73" t="s">
        <v>68</v>
      </c>
      <c r="Q17" s="73" t="s">
        <v>41</v>
      </c>
      <c r="R17" s="71" t="s">
        <v>66</v>
      </c>
      <c r="S17" s="10"/>
      <c r="T17" s="123" t="s">
        <v>742</v>
      </c>
      <c r="U17" s="7" t="str">
        <f>"703,9620"</f>
        <v>703,9620</v>
      </c>
      <c r="V17" s="9" t="s">
        <v>42</v>
      </c>
    </row>
    <row r="18" spans="1:22" ht="12.75">
      <c r="A18" s="81" t="s">
        <v>731</v>
      </c>
      <c r="B18" s="217" t="s">
        <v>69</v>
      </c>
      <c r="C18" s="15" t="s">
        <v>70</v>
      </c>
      <c r="D18" s="16" t="s">
        <v>71</v>
      </c>
      <c r="E18" s="15" t="str">
        <f>"0,9214"</f>
        <v>0,9214</v>
      </c>
      <c r="F18" s="17" t="s">
        <v>72</v>
      </c>
      <c r="G18" s="17" t="s">
        <v>747</v>
      </c>
      <c r="H18" s="72" t="s">
        <v>19</v>
      </c>
      <c r="I18" s="75" t="s">
        <v>19</v>
      </c>
      <c r="J18" s="75" t="s">
        <v>20</v>
      </c>
      <c r="K18" s="18"/>
      <c r="L18" s="75" t="s">
        <v>32</v>
      </c>
      <c r="M18" s="75" t="s">
        <v>22</v>
      </c>
      <c r="N18" s="72" t="s">
        <v>23</v>
      </c>
      <c r="O18" s="18"/>
      <c r="P18" s="75" t="s">
        <v>20</v>
      </c>
      <c r="Q18" s="75" t="s">
        <v>24</v>
      </c>
      <c r="R18" s="75" t="s">
        <v>74</v>
      </c>
      <c r="S18" s="18"/>
      <c r="T18" s="124" t="s">
        <v>743</v>
      </c>
      <c r="U18" s="15" t="str">
        <f>"497,5560"</f>
        <v>497,5560</v>
      </c>
      <c r="V18" s="17" t="s">
        <v>42</v>
      </c>
    </row>
    <row r="19" spans="1:22" ht="12.75">
      <c r="A19" s="80" t="s">
        <v>729</v>
      </c>
      <c r="B19" s="67" t="s">
        <v>62</v>
      </c>
      <c r="C19" s="11" t="s">
        <v>75</v>
      </c>
      <c r="D19" s="12" t="s">
        <v>64</v>
      </c>
      <c r="E19" s="11" t="str">
        <f>"0,9324"</f>
        <v>0,9324</v>
      </c>
      <c r="F19" s="13" t="s">
        <v>16</v>
      </c>
      <c r="G19" s="13" t="s">
        <v>65</v>
      </c>
      <c r="H19" s="74" t="s">
        <v>40</v>
      </c>
      <c r="I19" s="74" t="s">
        <v>66</v>
      </c>
      <c r="J19" s="70" t="s">
        <v>67</v>
      </c>
      <c r="K19" s="14"/>
      <c r="L19" s="74" t="s">
        <v>24</v>
      </c>
      <c r="M19" s="14"/>
      <c r="N19" s="14"/>
      <c r="O19" s="14"/>
      <c r="P19" s="74" t="s">
        <v>68</v>
      </c>
      <c r="Q19" s="74" t="s">
        <v>41</v>
      </c>
      <c r="R19" s="70" t="s">
        <v>66</v>
      </c>
      <c r="S19" s="14"/>
      <c r="T19" s="125" t="s">
        <v>742</v>
      </c>
      <c r="U19" s="11" t="str">
        <f>"896,1436"</f>
        <v>896,1436</v>
      </c>
      <c r="V19" s="13" t="s">
        <v>42</v>
      </c>
    </row>
    <row r="21" spans="1:21" ht="15.75">
      <c r="A21" s="1"/>
      <c r="B21" s="212" t="s">
        <v>76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</row>
    <row r="22" spans="1:22" ht="12.75">
      <c r="A22" s="66"/>
      <c r="B22" s="66" t="s">
        <v>880</v>
      </c>
      <c r="C22" s="7" t="s">
        <v>77</v>
      </c>
      <c r="D22" s="8" t="s">
        <v>78</v>
      </c>
      <c r="E22" s="7" t="str">
        <f>"0,8940"</f>
        <v>0,8940</v>
      </c>
      <c r="F22" s="9" t="s">
        <v>16</v>
      </c>
      <c r="G22" s="9" t="s">
        <v>79</v>
      </c>
      <c r="H22" s="73" t="s">
        <v>38</v>
      </c>
      <c r="I22" s="73" t="s">
        <v>57</v>
      </c>
      <c r="J22" s="73" t="s">
        <v>80</v>
      </c>
      <c r="K22" s="77"/>
      <c r="L22" s="73" t="s">
        <v>81</v>
      </c>
      <c r="M22" s="73" t="s">
        <v>29</v>
      </c>
      <c r="N22" s="71" t="s">
        <v>19</v>
      </c>
      <c r="O22" s="10"/>
      <c r="P22" s="139" t="s">
        <v>1301</v>
      </c>
      <c r="Q22" s="10"/>
      <c r="R22" s="10"/>
      <c r="S22" s="10"/>
      <c r="T22" s="92" t="s">
        <v>82</v>
      </c>
      <c r="U22" s="7" t="str">
        <f>"0,0000"</f>
        <v>0,0000</v>
      </c>
      <c r="V22" s="9" t="s">
        <v>42</v>
      </c>
    </row>
    <row r="23" spans="1:22" ht="12.75">
      <c r="A23" s="68"/>
      <c r="B23" s="68" t="s">
        <v>880</v>
      </c>
      <c r="C23" s="15" t="s">
        <v>83</v>
      </c>
      <c r="D23" s="16" t="s">
        <v>78</v>
      </c>
      <c r="E23" s="15" t="str">
        <f>"0,8940"</f>
        <v>0,8940</v>
      </c>
      <c r="F23" s="17" t="s">
        <v>16</v>
      </c>
      <c r="G23" s="17" t="s">
        <v>79</v>
      </c>
      <c r="H23" s="75" t="s">
        <v>38</v>
      </c>
      <c r="I23" s="75" t="s">
        <v>57</v>
      </c>
      <c r="J23" s="75" t="s">
        <v>80</v>
      </c>
      <c r="K23" s="76"/>
      <c r="L23" s="75" t="s">
        <v>81</v>
      </c>
      <c r="M23" s="75" t="s">
        <v>29</v>
      </c>
      <c r="N23" s="72" t="s">
        <v>19</v>
      </c>
      <c r="O23" s="18"/>
      <c r="P23" s="72"/>
      <c r="Q23" s="18"/>
      <c r="R23" s="18"/>
      <c r="S23" s="18"/>
      <c r="T23" s="84" t="s">
        <v>82</v>
      </c>
      <c r="U23" s="15" t="str">
        <f>"0,0000"</f>
        <v>0,0000</v>
      </c>
      <c r="V23" s="17" t="s">
        <v>42</v>
      </c>
    </row>
    <row r="25" spans="1:21" ht="15.75">
      <c r="A25" s="1"/>
      <c r="B25" s="212" t="s">
        <v>84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</row>
    <row r="26" spans="1:22" ht="12.75">
      <c r="A26" s="81" t="s">
        <v>729</v>
      </c>
      <c r="B26" s="68" t="s">
        <v>736</v>
      </c>
      <c r="C26" s="15" t="s">
        <v>86</v>
      </c>
      <c r="D26" s="16" t="s">
        <v>87</v>
      </c>
      <c r="E26" s="15" t="str">
        <f>"0,8600"</f>
        <v>0,8600</v>
      </c>
      <c r="F26" s="17" t="s">
        <v>16</v>
      </c>
      <c r="G26" s="17" t="s">
        <v>88</v>
      </c>
      <c r="H26" s="75" t="s">
        <v>66</v>
      </c>
      <c r="I26" s="72" t="s">
        <v>89</v>
      </c>
      <c r="J26" s="72" t="s">
        <v>89</v>
      </c>
      <c r="K26" s="18"/>
      <c r="L26" s="75" t="s">
        <v>19</v>
      </c>
      <c r="M26" s="72" t="s">
        <v>20</v>
      </c>
      <c r="N26" s="18"/>
      <c r="O26" s="18"/>
      <c r="P26" s="75" t="s">
        <v>80</v>
      </c>
      <c r="Q26" s="75" t="s">
        <v>41</v>
      </c>
      <c r="R26" s="75" t="s">
        <v>89</v>
      </c>
      <c r="S26" s="18"/>
      <c r="T26" s="124" t="s">
        <v>744</v>
      </c>
      <c r="U26" s="15" t="str">
        <f>"653,6000"</f>
        <v>653,6000</v>
      </c>
      <c r="V26" s="17" t="s">
        <v>90</v>
      </c>
    </row>
    <row r="28" spans="1:21" ht="15.75">
      <c r="A28" s="1"/>
      <c r="B28" s="212" t="s">
        <v>91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:22" ht="12.75">
      <c r="A29" s="81" t="s">
        <v>729</v>
      </c>
      <c r="B29" s="68" t="s">
        <v>193</v>
      </c>
      <c r="C29" s="15" t="s">
        <v>93</v>
      </c>
      <c r="D29" s="16" t="s">
        <v>94</v>
      </c>
      <c r="E29" s="15" t="str">
        <f>"0,8570"</f>
        <v>0,8570</v>
      </c>
      <c r="F29" s="17" t="s">
        <v>16</v>
      </c>
      <c r="G29" s="17" t="s">
        <v>95</v>
      </c>
      <c r="H29" s="75" t="s">
        <v>66</v>
      </c>
      <c r="I29" s="72" t="s">
        <v>67</v>
      </c>
      <c r="J29" s="18"/>
      <c r="K29" s="18"/>
      <c r="L29" s="75" t="s">
        <v>96</v>
      </c>
      <c r="M29" s="72" t="s">
        <v>97</v>
      </c>
      <c r="N29" s="72" t="s">
        <v>98</v>
      </c>
      <c r="O29" s="18"/>
      <c r="P29" s="75" t="s">
        <v>66</v>
      </c>
      <c r="Q29" s="75" t="s">
        <v>89</v>
      </c>
      <c r="R29" s="75" t="s">
        <v>99</v>
      </c>
      <c r="S29" s="18"/>
      <c r="T29" s="124" t="s">
        <v>745</v>
      </c>
      <c r="U29" s="15" t="str">
        <f>"700,5975"</f>
        <v>700,5975</v>
      </c>
      <c r="V29" s="17" t="s">
        <v>42</v>
      </c>
    </row>
    <row r="31" ht="15.75">
      <c r="F31" s="19"/>
    </row>
    <row r="33" spans="1:3" ht="18">
      <c r="A33" s="21"/>
      <c r="B33" s="21" t="s">
        <v>100</v>
      </c>
      <c r="C33" s="22"/>
    </row>
    <row r="34" spans="1:3" ht="15.75">
      <c r="A34" s="23"/>
      <c r="B34" s="23" t="s">
        <v>101</v>
      </c>
      <c r="C34" s="24"/>
    </row>
    <row r="35" spans="1:3" ht="13.5">
      <c r="A35" s="25"/>
      <c r="B35" s="78" t="s">
        <v>108</v>
      </c>
      <c r="C35" s="26"/>
    </row>
    <row r="36" spans="1:6" ht="13.5">
      <c r="A36" s="27"/>
      <c r="B36" s="27" t="s">
        <v>102</v>
      </c>
      <c r="C36" s="27" t="s">
        <v>103</v>
      </c>
      <c r="D36" s="28" t="s">
        <v>104</v>
      </c>
      <c r="E36" s="27" t="s">
        <v>105</v>
      </c>
      <c r="F36" s="27" t="s">
        <v>106</v>
      </c>
    </row>
    <row r="37" spans="1:6" ht="12.75">
      <c r="A37" s="69" t="s">
        <v>729</v>
      </c>
      <c r="B37" s="69" t="s">
        <v>35</v>
      </c>
      <c r="C37" s="1" t="s">
        <v>108</v>
      </c>
      <c r="D37" s="6" t="s">
        <v>109</v>
      </c>
      <c r="E37" s="1" t="s">
        <v>110</v>
      </c>
      <c r="F37" s="45" t="s">
        <v>111</v>
      </c>
    </row>
    <row r="38" spans="1:6" ht="12.75">
      <c r="A38" s="69" t="s">
        <v>731</v>
      </c>
      <c r="B38" s="69" t="s">
        <v>62</v>
      </c>
      <c r="C38" s="1" t="s">
        <v>108</v>
      </c>
      <c r="D38" s="6" t="s">
        <v>112</v>
      </c>
      <c r="E38" s="1" t="s">
        <v>113</v>
      </c>
      <c r="F38" s="45" t="s">
        <v>114</v>
      </c>
    </row>
    <row r="39" spans="1:6" ht="12.75">
      <c r="A39" s="69" t="s">
        <v>732</v>
      </c>
      <c r="B39" s="69" t="s">
        <v>92</v>
      </c>
      <c r="C39" s="1" t="s">
        <v>108</v>
      </c>
      <c r="D39" s="6" t="s">
        <v>115</v>
      </c>
      <c r="E39" s="1" t="s">
        <v>116</v>
      </c>
      <c r="F39" s="45" t="s">
        <v>117</v>
      </c>
    </row>
    <row r="40" spans="1:6" ht="12.75">
      <c r="A40" s="69"/>
      <c r="B40" s="69" t="s">
        <v>85</v>
      </c>
      <c r="C40" s="1" t="s">
        <v>108</v>
      </c>
      <c r="D40" s="6" t="s">
        <v>118</v>
      </c>
      <c r="E40" s="1" t="s">
        <v>119</v>
      </c>
      <c r="F40" s="45" t="s">
        <v>120</v>
      </c>
    </row>
    <row r="41" spans="1:6" ht="12.75">
      <c r="A41" s="69"/>
      <c r="B41" s="69" t="s">
        <v>43</v>
      </c>
      <c r="C41" s="1" t="s">
        <v>108</v>
      </c>
      <c r="D41" s="6" t="s">
        <v>109</v>
      </c>
      <c r="E41" s="1" t="s">
        <v>121</v>
      </c>
      <c r="F41" s="45" t="s">
        <v>122</v>
      </c>
    </row>
    <row r="42" spans="1:6" ht="12.75">
      <c r="A42" s="69"/>
      <c r="B42" s="69" t="s">
        <v>13</v>
      </c>
      <c r="C42" s="1" t="s">
        <v>108</v>
      </c>
      <c r="D42" s="6" t="s">
        <v>123</v>
      </c>
      <c r="E42" s="1" t="s">
        <v>124</v>
      </c>
      <c r="F42" s="45" t="s">
        <v>125</v>
      </c>
    </row>
    <row r="43" spans="1:6" ht="12.75">
      <c r="A43" s="69"/>
      <c r="B43" s="69" t="s">
        <v>26</v>
      </c>
      <c r="C43" s="1" t="s">
        <v>108</v>
      </c>
      <c r="D43" s="6" t="s">
        <v>123</v>
      </c>
      <c r="E43" s="1" t="s">
        <v>126</v>
      </c>
      <c r="F43" s="45" t="s">
        <v>127</v>
      </c>
    </row>
    <row r="44" spans="1:6" ht="12.75">
      <c r="A44" s="69"/>
      <c r="B44" s="69" t="s">
        <v>69</v>
      </c>
      <c r="C44" s="1" t="s">
        <v>108</v>
      </c>
      <c r="D44" s="6" t="s">
        <v>112</v>
      </c>
      <c r="E44" s="1" t="s">
        <v>128</v>
      </c>
      <c r="F44" s="45" t="s">
        <v>129</v>
      </c>
    </row>
  </sheetData>
  <sheetProtection/>
  <mergeCells count="21">
    <mergeCell ref="A3:A4"/>
    <mergeCell ref="B5:U5"/>
    <mergeCell ref="B9:U9"/>
    <mergeCell ref="B13:U13"/>
    <mergeCell ref="B16:U16"/>
    <mergeCell ref="C3:C4"/>
    <mergeCell ref="B28:U28"/>
    <mergeCell ref="D3:D4"/>
    <mergeCell ref="B21:U21"/>
    <mergeCell ref="G3:G4"/>
    <mergeCell ref="E3:E4"/>
    <mergeCell ref="U3:U4"/>
    <mergeCell ref="B1:V2"/>
    <mergeCell ref="H3:K3"/>
    <mergeCell ref="L3:O3"/>
    <mergeCell ref="P3:S3"/>
    <mergeCell ref="B3:B4"/>
    <mergeCell ref="B25:U25"/>
    <mergeCell ref="V3:V4"/>
    <mergeCell ref="T3:T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3">
      <selection activeCell="B44" sqref="B44:B46"/>
    </sheetView>
  </sheetViews>
  <sheetFormatPr defaultColWidth="11.00390625" defaultRowHeight="12.75"/>
  <cols>
    <col min="1" max="1" width="7.375" style="0" customWidth="1"/>
    <col min="2" max="2" width="20.375" style="0" customWidth="1"/>
    <col min="3" max="3" width="23.625" style="0" customWidth="1"/>
    <col min="4" max="4" width="12.375" style="0" customWidth="1"/>
    <col min="5" max="5" width="19.00390625" style="0" customWidth="1"/>
    <col min="6" max="6" width="34.375" style="0" customWidth="1"/>
    <col min="8" max="8" width="17.75390625" style="0" customWidth="1"/>
  </cols>
  <sheetData>
    <row r="1" spans="1:8" ht="57.75" customHeight="1">
      <c r="A1" s="176"/>
      <c r="B1" s="165" t="s">
        <v>1271</v>
      </c>
      <c r="C1" s="165"/>
      <c r="D1" s="165"/>
      <c r="E1" s="165"/>
      <c r="F1" s="165"/>
      <c r="G1" s="165"/>
      <c r="H1" s="166"/>
    </row>
    <row r="2" spans="1:8" ht="28.5">
      <c r="A2" s="176"/>
      <c r="B2" s="148"/>
      <c r="C2" s="148"/>
      <c r="D2" s="148"/>
      <c r="E2" s="148"/>
      <c r="F2" s="148"/>
      <c r="G2" s="148"/>
      <c r="H2" s="169"/>
    </row>
    <row r="3" spans="1:8" ht="30" thickBot="1">
      <c r="A3" s="48"/>
      <c r="B3" s="171" t="s">
        <v>910</v>
      </c>
      <c r="C3" s="171"/>
      <c r="D3" s="171"/>
      <c r="E3" s="171"/>
      <c r="F3" s="171"/>
      <c r="G3" s="171"/>
      <c r="H3" s="172"/>
    </row>
    <row r="4" spans="1:8" ht="13.5">
      <c r="A4" s="154" t="s">
        <v>728</v>
      </c>
      <c r="B4" s="175" t="s">
        <v>0</v>
      </c>
      <c r="C4" s="95" t="s">
        <v>911</v>
      </c>
      <c r="D4" s="174" t="s">
        <v>733</v>
      </c>
      <c r="E4" s="175" t="s">
        <v>7</v>
      </c>
      <c r="F4" s="175" t="s">
        <v>758</v>
      </c>
      <c r="G4" s="174" t="s">
        <v>730</v>
      </c>
      <c r="H4" s="162" t="s">
        <v>5</v>
      </c>
    </row>
    <row r="5" spans="1:8" ht="15" thickBot="1">
      <c r="A5" s="177"/>
      <c r="B5" s="159"/>
      <c r="C5" s="96" t="s">
        <v>912</v>
      </c>
      <c r="D5" s="157"/>
      <c r="E5" s="159"/>
      <c r="F5" s="159"/>
      <c r="G5" s="157"/>
      <c r="H5" s="163"/>
    </row>
    <row r="6" spans="1:8" ht="15.75">
      <c r="A6" s="46"/>
      <c r="B6" s="153" t="s">
        <v>153</v>
      </c>
      <c r="C6" s="153"/>
      <c r="D6" s="153"/>
      <c r="E6" s="153"/>
      <c r="F6" s="153"/>
      <c r="G6" s="153"/>
      <c r="H6" s="29"/>
    </row>
    <row r="7" spans="1:8" ht="12.75">
      <c r="A7" s="47" t="s">
        <v>729</v>
      </c>
      <c r="B7" s="109" t="s">
        <v>1272</v>
      </c>
      <c r="C7" s="109" t="s">
        <v>1273</v>
      </c>
      <c r="D7" s="109" t="s">
        <v>1274</v>
      </c>
      <c r="E7" s="109" t="s">
        <v>16</v>
      </c>
      <c r="F7" s="109" t="s">
        <v>1264</v>
      </c>
      <c r="G7" s="112" t="s">
        <v>425</v>
      </c>
      <c r="H7" s="109" t="s">
        <v>1261</v>
      </c>
    </row>
    <row r="8" spans="1:8" ht="12.75">
      <c r="A8" s="52" t="s">
        <v>731</v>
      </c>
      <c r="B8" s="118" t="s">
        <v>404</v>
      </c>
      <c r="C8" s="118" t="s">
        <v>405</v>
      </c>
      <c r="D8" s="118" t="s">
        <v>1275</v>
      </c>
      <c r="E8" s="118" t="s">
        <v>221</v>
      </c>
      <c r="F8" s="118" t="s">
        <v>222</v>
      </c>
      <c r="G8" s="120" t="s">
        <v>136</v>
      </c>
      <c r="H8" s="118" t="s">
        <v>407</v>
      </c>
    </row>
    <row r="9" spans="1:8" ht="12.75">
      <c r="A9" s="48"/>
      <c r="B9" s="29"/>
      <c r="C9" s="29"/>
      <c r="D9" s="29"/>
      <c r="E9" s="29"/>
      <c r="F9" s="29"/>
      <c r="G9" s="48"/>
      <c r="H9" s="29"/>
    </row>
    <row r="10" spans="1:8" ht="15.75">
      <c r="A10" s="46"/>
      <c r="B10" s="153" t="s">
        <v>1213</v>
      </c>
      <c r="C10" s="153"/>
      <c r="D10" s="153"/>
      <c r="E10" s="153"/>
      <c r="F10" s="153"/>
      <c r="G10" s="153"/>
      <c r="H10" s="29"/>
    </row>
    <row r="11" spans="1:8" ht="12.75">
      <c r="A11" s="51" t="s">
        <v>729</v>
      </c>
      <c r="B11" s="106" t="s">
        <v>948</v>
      </c>
      <c r="C11" s="106" t="s">
        <v>949</v>
      </c>
      <c r="D11" s="106" t="s">
        <v>1276</v>
      </c>
      <c r="E11" s="106" t="s">
        <v>16</v>
      </c>
      <c r="F11" s="99" t="s">
        <v>759</v>
      </c>
      <c r="G11" s="108" t="s">
        <v>143</v>
      </c>
      <c r="H11" s="106" t="s">
        <v>42</v>
      </c>
    </row>
    <row r="12" spans="1:8" ht="12.75">
      <c r="A12" s="47" t="s">
        <v>731</v>
      </c>
      <c r="B12" s="109" t="s">
        <v>1214</v>
      </c>
      <c r="C12" s="109" t="s">
        <v>1215</v>
      </c>
      <c r="D12" s="109" t="s">
        <v>1216</v>
      </c>
      <c r="E12" s="109" t="s">
        <v>16</v>
      </c>
      <c r="F12" s="118" t="s">
        <v>1217</v>
      </c>
      <c r="G12" s="112" t="s">
        <v>143</v>
      </c>
      <c r="H12" s="109" t="s">
        <v>42</v>
      </c>
    </row>
    <row r="13" spans="1:8" ht="12.75">
      <c r="A13" s="48"/>
      <c r="B13" s="29"/>
      <c r="C13" s="29"/>
      <c r="D13" s="29"/>
      <c r="E13" s="29"/>
      <c r="F13" s="29"/>
      <c r="G13" s="48"/>
      <c r="H13" s="29"/>
    </row>
    <row r="14" spans="1:8" ht="15.75">
      <c r="A14" s="46"/>
      <c r="B14" s="153" t="s">
        <v>1219</v>
      </c>
      <c r="C14" s="153"/>
      <c r="D14" s="153"/>
      <c r="E14" s="153"/>
      <c r="F14" s="153"/>
      <c r="G14" s="153"/>
      <c r="H14" s="29"/>
    </row>
    <row r="15" spans="1:8" ht="12.75">
      <c r="A15" s="51" t="s">
        <v>729</v>
      </c>
      <c r="B15" s="106" t="s">
        <v>1228</v>
      </c>
      <c r="C15" s="106" t="s">
        <v>1237</v>
      </c>
      <c r="D15" s="106" t="s">
        <v>456</v>
      </c>
      <c r="E15" s="106" t="s">
        <v>1230</v>
      </c>
      <c r="F15" s="106" t="s">
        <v>218</v>
      </c>
      <c r="G15" s="108" t="s">
        <v>22</v>
      </c>
      <c r="H15" s="129" t="s">
        <v>1312</v>
      </c>
    </row>
    <row r="16" spans="1:8" ht="12.75">
      <c r="A16" s="47" t="s">
        <v>731</v>
      </c>
      <c r="B16" s="109" t="s">
        <v>1238</v>
      </c>
      <c r="C16" s="109" t="s">
        <v>1239</v>
      </c>
      <c r="D16" s="109" t="s">
        <v>1240</v>
      </c>
      <c r="E16" s="109" t="s">
        <v>923</v>
      </c>
      <c r="F16" s="109" t="s">
        <v>924</v>
      </c>
      <c r="G16" s="112" t="s">
        <v>22</v>
      </c>
      <c r="H16" s="109" t="s">
        <v>1242</v>
      </c>
    </row>
    <row r="17" spans="1:8" ht="12.75">
      <c r="A17" s="62" t="s">
        <v>729</v>
      </c>
      <c r="B17" s="114" t="s">
        <v>1220</v>
      </c>
      <c r="C17" s="114" t="s">
        <v>1221</v>
      </c>
      <c r="D17" s="114" t="s">
        <v>1222</v>
      </c>
      <c r="E17" s="114" t="s">
        <v>16</v>
      </c>
      <c r="F17" s="114" t="s">
        <v>1309</v>
      </c>
      <c r="G17" s="116" t="s">
        <v>59</v>
      </c>
      <c r="H17" s="114" t="s">
        <v>774</v>
      </c>
    </row>
    <row r="18" spans="1:8" ht="12.75">
      <c r="A18" s="47" t="s">
        <v>731</v>
      </c>
      <c r="B18" s="109" t="s">
        <v>1232</v>
      </c>
      <c r="C18" s="109" t="s">
        <v>1233</v>
      </c>
      <c r="D18" s="109" t="s">
        <v>1234</v>
      </c>
      <c r="E18" s="109" t="s">
        <v>16</v>
      </c>
      <c r="F18" s="109" t="s">
        <v>273</v>
      </c>
      <c r="G18" s="112" t="s">
        <v>23</v>
      </c>
      <c r="H18" s="109" t="s">
        <v>1236</v>
      </c>
    </row>
    <row r="19" spans="1:8" ht="12.75">
      <c r="A19" s="48"/>
      <c r="B19" s="29"/>
      <c r="C19" s="29"/>
      <c r="D19" s="29"/>
      <c r="E19" s="29"/>
      <c r="F19" s="29"/>
      <c r="G19" s="48"/>
      <c r="H19" s="29"/>
    </row>
    <row r="20" spans="1:8" ht="15.75">
      <c r="A20" s="46"/>
      <c r="B20" s="153" t="s">
        <v>54</v>
      </c>
      <c r="C20" s="153"/>
      <c r="D20" s="153"/>
      <c r="E20" s="153"/>
      <c r="F20" s="153"/>
      <c r="G20" s="153"/>
      <c r="H20" s="29"/>
    </row>
    <row r="21" spans="1:8" ht="12.75">
      <c r="A21" s="47" t="s">
        <v>729</v>
      </c>
      <c r="B21" s="109" t="s">
        <v>1243</v>
      </c>
      <c r="C21" s="109" t="s">
        <v>1244</v>
      </c>
      <c r="D21" s="109" t="s">
        <v>1245</v>
      </c>
      <c r="E21" s="109" t="s">
        <v>16</v>
      </c>
      <c r="F21" s="109" t="s">
        <v>273</v>
      </c>
      <c r="G21" s="112" t="s">
        <v>18</v>
      </c>
      <c r="H21" s="109" t="s">
        <v>42</v>
      </c>
    </row>
    <row r="22" spans="1:8" ht="12.75">
      <c r="A22" s="62" t="s">
        <v>731</v>
      </c>
      <c r="B22" s="114" t="s">
        <v>1277</v>
      </c>
      <c r="C22" s="114" t="s">
        <v>1278</v>
      </c>
      <c r="D22" s="114" t="s">
        <v>1279</v>
      </c>
      <c r="E22" s="114" t="s">
        <v>923</v>
      </c>
      <c r="F22" s="114" t="s">
        <v>924</v>
      </c>
      <c r="G22" s="116" t="s">
        <v>18</v>
      </c>
      <c r="H22" s="114" t="s">
        <v>1242</v>
      </c>
    </row>
    <row r="23" spans="1:8" ht="12.75">
      <c r="A23" s="47" t="s">
        <v>732</v>
      </c>
      <c r="B23" s="109" t="s">
        <v>1280</v>
      </c>
      <c r="C23" s="109" t="s">
        <v>1281</v>
      </c>
      <c r="D23" s="109" t="s">
        <v>1282</v>
      </c>
      <c r="E23" s="109" t="s">
        <v>221</v>
      </c>
      <c r="F23" s="109" t="s">
        <v>222</v>
      </c>
      <c r="G23" s="112" t="s">
        <v>23</v>
      </c>
      <c r="H23" s="109" t="s">
        <v>407</v>
      </c>
    </row>
    <row r="24" spans="1:8" ht="12.75">
      <c r="A24" s="52" t="s">
        <v>729</v>
      </c>
      <c r="B24" s="118" t="s">
        <v>1243</v>
      </c>
      <c r="C24" s="118" t="s">
        <v>1283</v>
      </c>
      <c r="D24" s="118" t="s">
        <v>1245</v>
      </c>
      <c r="E24" s="118" t="s">
        <v>16</v>
      </c>
      <c r="F24" s="118" t="s">
        <v>273</v>
      </c>
      <c r="G24" s="120" t="s">
        <v>18</v>
      </c>
      <c r="H24" s="118" t="s">
        <v>42</v>
      </c>
    </row>
    <row r="25" spans="1:8" ht="12.75">
      <c r="A25" s="48"/>
      <c r="B25" s="29"/>
      <c r="C25" s="29"/>
      <c r="D25" s="29"/>
      <c r="E25" s="29"/>
      <c r="F25" s="29"/>
      <c r="G25" s="48"/>
      <c r="H25" s="29"/>
    </row>
    <row r="26" spans="1:8" ht="15.75">
      <c r="A26" s="46"/>
      <c r="B26" s="153" t="s">
        <v>61</v>
      </c>
      <c r="C26" s="153"/>
      <c r="D26" s="153"/>
      <c r="E26" s="153"/>
      <c r="F26" s="153"/>
      <c r="G26" s="153"/>
      <c r="H26" s="29"/>
    </row>
    <row r="27" spans="1:8" ht="12.75">
      <c r="A27" s="51" t="s">
        <v>729</v>
      </c>
      <c r="B27" s="106" t="s">
        <v>920</v>
      </c>
      <c r="C27" s="106" t="s">
        <v>921</v>
      </c>
      <c r="D27" s="106" t="s">
        <v>1250</v>
      </c>
      <c r="E27" s="106" t="s">
        <v>923</v>
      </c>
      <c r="F27" s="106" t="s">
        <v>924</v>
      </c>
      <c r="G27" s="108" t="s">
        <v>30</v>
      </c>
      <c r="H27" s="106" t="s">
        <v>42</v>
      </c>
    </row>
    <row r="28" spans="1:8" ht="12.75">
      <c r="A28" s="47" t="s">
        <v>731</v>
      </c>
      <c r="B28" s="109" t="s">
        <v>1254</v>
      </c>
      <c r="C28" s="109" t="s">
        <v>1255</v>
      </c>
      <c r="D28" s="109" t="s">
        <v>1256</v>
      </c>
      <c r="E28" s="106" t="s">
        <v>923</v>
      </c>
      <c r="F28" s="109" t="s">
        <v>924</v>
      </c>
      <c r="G28" s="112" t="s">
        <v>29</v>
      </c>
      <c r="H28" s="109" t="s">
        <v>1242</v>
      </c>
    </row>
    <row r="29" spans="1:8" ht="12.75">
      <c r="A29" s="62" t="s">
        <v>732</v>
      </c>
      <c r="B29" s="114" t="s">
        <v>69</v>
      </c>
      <c r="C29" s="114" t="s">
        <v>70</v>
      </c>
      <c r="D29" s="114" t="s">
        <v>927</v>
      </c>
      <c r="E29" s="30" t="s">
        <v>1310</v>
      </c>
      <c r="F29" s="114" t="s">
        <v>879</v>
      </c>
      <c r="G29" s="116" t="s">
        <v>23</v>
      </c>
      <c r="H29" s="114" t="s">
        <v>42</v>
      </c>
    </row>
    <row r="30" spans="1:8" ht="12.75">
      <c r="A30" s="47" t="s">
        <v>800</v>
      </c>
      <c r="B30" s="109" t="s">
        <v>1257</v>
      </c>
      <c r="C30" s="109" t="s">
        <v>1258</v>
      </c>
      <c r="D30" s="109" t="s">
        <v>1259</v>
      </c>
      <c r="E30" s="109" t="s">
        <v>1230</v>
      </c>
      <c r="F30" s="109" t="s">
        <v>218</v>
      </c>
      <c r="G30" s="112" t="s">
        <v>22</v>
      </c>
      <c r="H30" s="109" t="s">
        <v>42</v>
      </c>
    </row>
    <row r="31" spans="1:8" ht="12.75">
      <c r="A31" s="48"/>
      <c r="B31" s="29"/>
      <c r="C31" s="29"/>
      <c r="D31" s="29"/>
      <c r="E31" s="29"/>
      <c r="F31" s="29"/>
      <c r="G31" s="48"/>
      <c r="H31" s="29"/>
    </row>
    <row r="32" spans="1:8" ht="15.75">
      <c r="A32" s="46"/>
      <c r="B32" s="153" t="s">
        <v>76</v>
      </c>
      <c r="C32" s="153"/>
      <c r="D32" s="153"/>
      <c r="E32" s="153"/>
      <c r="F32" s="153"/>
      <c r="G32" s="153"/>
      <c r="H32" s="29"/>
    </row>
    <row r="33" spans="1:8" ht="12.75">
      <c r="A33" s="47" t="s">
        <v>729</v>
      </c>
      <c r="B33" s="109" t="s">
        <v>1284</v>
      </c>
      <c r="C33" s="109" t="s">
        <v>1285</v>
      </c>
      <c r="D33" s="109" t="s">
        <v>1286</v>
      </c>
      <c r="E33" s="109" t="s">
        <v>923</v>
      </c>
      <c r="F33" s="109" t="s">
        <v>924</v>
      </c>
      <c r="G33" s="112" t="s">
        <v>31</v>
      </c>
      <c r="H33" s="109" t="s">
        <v>1242</v>
      </c>
    </row>
    <row r="34" spans="1:8" ht="12.75">
      <c r="A34" s="48"/>
      <c r="B34" s="29"/>
      <c r="C34" s="29"/>
      <c r="D34" s="29"/>
      <c r="E34" s="29"/>
      <c r="F34" s="29"/>
      <c r="G34" s="48"/>
      <c r="H34" s="29"/>
    </row>
    <row r="35" spans="1:8" ht="15.75">
      <c r="A35" s="46"/>
      <c r="B35" s="153" t="s">
        <v>84</v>
      </c>
      <c r="C35" s="153"/>
      <c r="D35" s="153"/>
      <c r="E35" s="153"/>
      <c r="F35" s="153"/>
      <c r="G35" s="153"/>
      <c r="H35" s="29"/>
    </row>
    <row r="36" spans="1:8" ht="12.75">
      <c r="A36" s="51" t="s">
        <v>729</v>
      </c>
      <c r="B36" s="106" t="s">
        <v>1266</v>
      </c>
      <c r="C36" s="106" t="s">
        <v>1267</v>
      </c>
      <c r="D36" s="106" t="s">
        <v>1093</v>
      </c>
      <c r="E36" s="106" t="s">
        <v>16</v>
      </c>
      <c r="F36" s="99" t="s">
        <v>759</v>
      </c>
      <c r="G36" s="108" t="s">
        <v>19</v>
      </c>
      <c r="H36" s="106" t="s">
        <v>42</v>
      </c>
    </row>
    <row r="37" spans="1:8" ht="12.75">
      <c r="A37" s="47" t="s">
        <v>729</v>
      </c>
      <c r="B37" s="109" t="s">
        <v>1268</v>
      </c>
      <c r="C37" s="109" t="s">
        <v>1269</v>
      </c>
      <c r="D37" s="109" t="s">
        <v>1270</v>
      </c>
      <c r="E37" s="109" t="s">
        <v>1230</v>
      </c>
      <c r="F37" s="118" t="s">
        <v>218</v>
      </c>
      <c r="G37" s="112" t="s">
        <v>29</v>
      </c>
      <c r="H37" s="109" t="s">
        <v>42</v>
      </c>
    </row>
    <row r="38" spans="1:8" ht="12.75">
      <c r="A38" s="48"/>
      <c r="B38" s="29"/>
      <c r="C38" s="29"/>
      <c r="D38" s="29"/>
      <c r="E38" s="29"/>
      <c r="F38" s="29"/>
      <c r="G38" s="48"/>
      <c r="H38" s="29"/>
    </row>
    <row r="39" spans="1:8" ht="12.75">
      <c r="A39" s="48"/>
      <c r="B39" s="29"/>
      <c r="C39" s="29"/>
      <c r="D39" s="29"/>
      <c r="E39" s="29"/>
      <c r="F39" s="29"/>
      <c r="G39" s="48"/>
      <c r="H39" s="29"/>
    </row>
    <row r="40" spans="1:8" ht="18">
      <c r="A40" s="57"/>
      <c r="B40" s="85" t="s">
        <v>100</v>
      </c>
      <c r="C40" s="39"/>
      <c r="D40" s="29"/>
      <c r="E40" s="29"/>
      <c r="F40" s="29"/>
      <c r="G40" s="48"/>
      <c r="H40" s="29"/>
    </row>
    <row r="41" spans="1:8" ht="15.75">
      <c r="A41" s="58"/>
      <c r="B41" s="86" t="s">
        <v>101</v>
      </c>
      <c r="C41" s="40"/>
      <c r="D41" s="29"/>
      <c r="E41" s="29"/>
      <c r="F41" s="29"/>
      <c r="G41" s="48"/>
      <c r="H41" s="29"/>
    </row>
    <row r="42" spans="1:8" ht="13.5">
      <c r="A42" s="59"/>
      <c r="B42" s="121" t="s">
        <v>108</v>
      </c>
      <c r="C42" s="42"/>
      <c r="D42" s="29"/>
      <c r="E42" s="29"/>
      <c r="F42" s="29"/>
      <c r="G42" s="48"/>
      <c r="H42" s="29"/>
    </row>
    <row r="43" spans="1:8" ht="13.5">
      <c r="A43" s="43"/>
      <c r="B43" s="122" t="s">
        <v>102</v>
      </c>
      <c r="C43" s="122" t="s">
        <v>103</v>
      </c>
      <c r="D43" s="122" t="s">
        <v>730</v>
      </c>
      <c r="E43" s="29"/>
      <c r="F43" s="29"/>
      <c r="G43" s="48"/>
      <c r="H43" s="29"/>
    </row>
    <row r="44" spans="1:7" ht="12.75">
      <c r="A44" s="48" t="s">
        <v>729</v>
      </c>
      <c r="B44" s="223" t="s">
        <v>1284</v>
      </c>
      <c r="C44" s="83" t="s">
        <v>108</v>
      </c>
      <c r="D44" s="48" t="s">
        <v>31</v>
      </c>
      <c r="E44" s="29"/>
      <c r="F44" s="29"/>
      <c r="G44" s="48"/>
    </row>
    <row r="45" spans="1:7" ht="12.75">
      <c r="A45" s="48" t="s">
        <v>731</v>
      </c>
      <c r="B45" s="223" t="s">
        <v>920</v>
      </c>
      <c r="C45" s="83" t="s">
        <v>108</v>
      </c>
      <c r="D45" s="48" t="s">
        <v>30</v>
      </c>
      <c r="E45" s="29"/>
      <c r="F45" s="29"/>
      <c r="G45" s="48"/>
    </row>
    <row r="46" spans="1:7" ht="12.75">
      <c r="A46" s="48" t="s">
        <v>732</v>
      </c>
      <c r="B46" s="223" t="s">
        <v>1266</v>
      </c>
      <c r="C46" s="83" t="s">
        <v>108</v>
      </c>
      <c r="D46" s="48" t="s">
        <v>19</v>
      </c>
      <c r="E46" s="29"/>
      <c r="F46" s="29"/>
      <c r="G46" s="48"/>
    </row>
    <row r="47" spans="1:7" ht="12.75">
      <c r="A47" s="48"/>
      <c r="B47" s="29"/>
      <c r="C47" s="29"/>
      <c r="D47" s="29"/>
      <c r="E47" s="29"/>
      <c r="F47" s="29"/>
      <c r="G47" s="48"/>
    </row>
    <row r="48" spans="1:8" ht="12.75">
      <c r="A48" s="48"/>
      <c r="B48" s="29"/>
      <c r="C48" s="29"/>
      <c r="D48" s="29"/>
      <c r="E48" s="29"/>
      <c r="F48" s="29"/>
      <c r="G48" s="48"/>
      <c r="H48" s="29"/>
    </row>
    <row r="49" spans="1:8" ht="12.75">
      <c r="A49" s="48"/>
      <c r="B49" s="29"/>
      <c r="C49" s="29"/>
      <c r="D49" s="29"/>
      <c r="E49" s="29"/>
      <c r="F49" s="29"/>
      <c r="G49" s="48"/>
      <c r="H49" s="29"/>
    </row>
    <row r="50" spans="1:8" ht="12.75">
      <c r="A50" s="48"/>
      <c r="B50" s="29"/>
      <c r="C50" s="29"/>
      <c r="D50" s="29"/>
      <c r="E50" s="29"/>
      <c r="F50" s="29"/>
      <c r="G50" s="48"/>
      <c r="H50" s="29"/>
    </row>
    <row r="51" spans="1:8" ht="12.75">
      <c r="A51" s="48"/>
      <c r="B51" s="29"/>
      <c r="C51" s="29"/>
      <c r="D51" s="29"/>
      <c r="E51" s="29"/>
      <c r="F51" s="29"/>
      <c r="G51" s="48"/>
      <c r="H51" s="29"/>
    </row>
    <row r="52" spans="1:8" ht="12.75">
      <c r="A52" s="48"/>
      <c r="B52" s="29"/>
      <c r="C52" s="29"/>
      <c r="D52" s="29"/>
      <c r="E52" s="29"/>
      <c r="F52" s="29"/>
      <c r="G52" s="48"/>
      <c r="H52" s="29"/>
    </row>
    <row r="53" spans="1:8" ht="12.75">
      <c r="A53" s="48"/>
      <c r="B53" s="29"/>
      <c r="C53" s="29"/>
      <c r="D53" s="29"/>
      <c r="E53" s="29"/>
      <c r="F53" s="29"/>
      <c r="G53" s="48"/>
      <c r="H53" s="29"/>
    </row>
    <row r="54" spans="1:8" ht="12.75">
      <c r="A54" s="48"/>
      <c r="B54" s="29"/>
      <c r="C54" s="29"/>
      <c r="D54" s="29"/>
      <c r="E54" s="29"/>
      <c r="F54" s="29"/>
      <c r="G54" s="48"/>
      <c r="H54" s="29"/>
    </row>
    <row r="55" spans="1:8" ht="12.75">
      <c r="A55" s="48"/>
      <c r="B55" s="29"/>
      <c r="C55" s="29"/>
      <c r="D55" s="29"/>
      <c r="E55" s="29"/>
      <c r="F55" s="29"/>
      <c r="G55" s="48"/>
      <c r="H55" s="29"/>
    </row>
    <row r="56" spans="1:8" ht="12.75">
      <c r="A56" s="48"/>
      <c r="B56" s="29"/>
      <c r="C56" s="29"/>
      <c r="D56" s="29"/>
      <c r="E56" s="29"/>
      <c r="F56" s="29"/>
      <c r="G56" s="48"/>
      <c r="H56" s="29"/>
    </row>
    <row r="57" spans="1:8" ht="12.75">
      <c r="A57" s="48"/>
      <c r="B57" s="29"/>
      <c r="C57" s="29"/>
      <c r="D57" s="29"/>
      <c r="E57" s="29"/>
      <c r="F57" s="29"/>
      <c r="G57" s="48"/>
      <c r="H57" s="29"/>
    </row>
  </sheetData>
  <sheetProtection/>
  <mergeCells count="18">
    <mergeCell ref="B32:G32"/>
    <mergeCell ref="B35:G35"/>
    <mergeCell ref="H4:H5"/>
    <mergeCell ref="B6:G6"/>
    <mergeCell ref="B10:G10"/>
    <mergeCell ref="B14:G14"/>
    <mergeCell ref="B20:G20"/>
    <mergeCell ref="B26:G26"/>
    <mergeCell ref="A1:A2"/>
    <mergeCell ref="B1:H1"/>
    <mergeCell ref="B2:H2"/>
    <mergeCell ref="B3:H3"/>
    <mergeCell ref="A4:A5"/>
    <mergeCell ref="B4:B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2" sqref="A2:M2"/>
    </sheetView>
  </sheetViews>
  <sheetFormatPr defaultColWidth="11.00390625" defaultRowHeight="12.75"/>
  <cols>
    <col min="13" max="13" width="51.125" style="0" customWidth="1"/>
  </cols>
  <sheetData>
    <row r="1" spans="1:13" ht="87" customHeight="1">
      <c r="A1" s="164" t="s">
        <v>1319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30" thickBot="1">
      <c r="A2" s="170" t="s">
        <v>1318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4" spans="1:13" ht="15.75">
      <c r="A4" s="143" t="s">
        <v>1315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5.75">
      <c r="A5" s="143" t="s">
        <v>1321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.75">
      <c r="A6" s="143" t="s">
        <v>1316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.75">
      <c r="A7" s="143" t="s">
        <v>1317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5.75">
      <c r="A8" s="143" t="s">
        <v>1320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15.75">
      <c r="A9" s="143" t="s">
        <v>1322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5.75">
      <c r="A10" s="143" t="s">
        <v>1323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3" ht="12.75" customHeight="1"/>
    <row r="14" ht="15.75" customHeight="1"/>
    <row r="21" ht="12" customHeight="1"/>
    <row r="22" ht="12" customHeight="1"/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2">
      <selection activeCell="C52" sqref="C52"/>
    </sheetView>
  </sheetViews>
  <sheetFormatPr defaultColWidth="11.00390625" defaultRowHeight="12.75"/>
  <cols>
    <col min="1" max="1" width="6.75390625" style="0" customWidth="1"/>
    <col min="2" max="2" width="20.25390625" style="0" customWidth="1"/>
    <col min="3" max="3" width="23.75390625" style="0" customWidth="1"/>
    <col min="4" max="4" width="12.25390625" style="0" customWidth="1"/>
    <col min="5" max="5" width="18.75390625" style="0" customWidth="1"/>
    <col min="6" max="6" width="35.125" style="0" customWidth="1"/>
    <col min="8" max="8" width="21.375" style="0" customWidth="1"/>
  </cols>
  <sheetData>
    <row r="1" spans="1:8" ht="57.75" customHeight="1">
      <c r="A1" s="176"/>
      <c r="B1" s="178" t="s">
        <v>1206</v>
      </c>
      <c r="C1" s="178"/>
      <c r="D1" s="178"/>
      <c r="E1" s="178"/>
      <c r="F1" s="178"/>
      <c r="G1" s="178"/>
      <c r="H1" s="179"/>
    </row>
    <row r="2" spans="1:8" ht="28.5">
      <c r="A2" s="176"/>
      <c r="B2" s="180"/>
      <c r="C2" s="180"/>
      <c r="D2" s="180"/>
      <c r="E2" s="180"/>
      <c r="F2" s="180"/>
      <c r="G2" s="180"/>
      <c r="H2" s="181"/>
    </row>
    <row r="3" spans="1:8" ht="30" thickBot="1">
      <c r="A3" s="48"/>
      <c r="B3" s="182" t="s">
        <v>1207</v>
      </c>
      <c r="C3" s="182"/>
      <c r="D3" s="182"/>
      <c r="E3" s="182"/>
      <c r="F3" s="182"/>
      <c r="G3" s="182"/>
      <c r="H3" s="183"/>
    </row>
    <row r="4" spans="1:8" ht="13.5">
      <c r="A4" s="154" t="s">
        <v>728</v>
      </c>
      <c r="B4" s="184" t="s">
        <v>0</v>
      </c>
      <c r="C4" s="95" t="s">
        <v>911</v>
      </c>
      <c r="D4" s="174" t="s">
        <v>733</v>
      </c>
      <c r="E4" s="175" t="s">
        <v>7</v>
      </c>
      <c r="F4" s="175" t="s">
        <v>758</v>
      </c>
      <c r="G4" s="175" t="s">
        <v>730</v>
      </c>
      <c r="H4" s="162" t="s">
        <v>5</v>
      </c>
    </row>
    <row r="5" spans="1:8" ht="15" thickBot="1">
      <c r="A5" s="177"/>
      <c r="B5" s="185"/>
      <c r="C5" s="96" t="s">
        <v>912</v>
      </c>
      <c r="D5" s="157"/>
      <c r="E5" s="159"/>
      <c r="F5" s="159"/>
      <c r="G5" s="159"/>
      <c r="H5" s="163"/>
    </row>
    <row r="6" spans="1:8" ht="15.75">
      <c r="A6" s="48"/>
      <c r="B6" s="153" t="s">
        <v>153</v>
      </c>
      <c r="C6" s="153"/>
      <c r="D6" s="153"/>
      <c r="E6" s="153"/>
      <c r="F6" s="153"/>
      <c r="G6" s="153"/>
      <c r="H6" s="82"/>
    </row>
    <row r="7" spans="1:8" ht="12.75">
      <c r="A7" s="47" t="s">
        <v>729</v>
      </c>
      <c r="B7" s="99" t="s">
        <v>1208</v>
      </c>
      <c r="C7" s="111" t="s">
        <v>1209</v>
      </c>
      <c r="D7" s="127" t="s">
        <v>1210</v>
      </c>
      <c r="E7" s="99" t="s">
        <v>1211</v>
      </c>
      <c r="F7" s="99" t="s">
        <v>709</v>
      </c>
      <c r="G7" s="112" t="s">
        <v>1308</v>
      </c>
      <c r="H7" s="99" t="s">
        <v>1212</v>
      </c>
    </row>
    <row r="8" spans="1:8" ht="12.75">
      <c r="A8" s="48"/>
      <c r="B8" s="82"/>
      <c r="C8" s="83"/>
      <c r="D8" s="102"/>
      <c r="E8" s="82"/>
      <c r="F8" s="82"/>
      <c r="G8" s="48"/>
      <c r="H8" s="82"/>
    </row>
    <row r="9" spans="1:8" ht="15.75">
      <c r="A9" s="48"/>
      <c r="B9" s="153" t="s">
        <v>1213</v>
      </c>
      <c r="C9" s="153"/>
      <c r="D9" s="153"/>
      <c r="E9" s="153"/>
      <c r="F9" s="153"/>
      <c r="G9" s="153"/>
      <c r="H9" s="82"/>
    </row>
    <row r="10" spans="1:8" ht="12.75">
      <c r="A10" s="47" t="s">
        <v>729</v>
      </c>
      <c r="B10" s="99" t="s">
        <v>1214</v>
      </c>
      <c r="C10" s="111" t="s">
        <v>1215</v>
      </c>
      <c r="D10" s="127" t="s">
        <v>1216</v>
      </c>
      <c r="E10" s="99" t="s">
        <v>16</v>
      </c>
      <c r="F10" s="99" t="s">
        <v>1217</v>
      </c>
      <c r="G10" s="112" t="s">
        <v>1218</v>
      </c>
      <c r="H10" s="99" t="s">
        <v>42</v>
      </c>
    </row>
    <row r="11" spans="1:8" ht="12.75">
      <c r="A11" s="47"/>
      <c r="B11" s="140" t="s">
        <v>1304</v>
      </c>
      <c r="C11" s="111" t="s">
        <v>1305</v>
      </c>
      <c r="D11" s="141" t="s">
        <v>1306</v>
      </c>
      <c r="E11" s="140" t="s">
        <v>1307</v>
      </c>
      <c r="F11" s="99" t="s">
        <v>759</v>
      </c>
      <c r="G11" s="142" t="s">
        <v>1235</v>
      </c>
      <c r="H11" s="140" t="s">
        <v>42</v>
      </c>
    </row>
    <row r="12" spans="1:8" ht="12.75">
      <c r="A12" s="48"/>
      <c r="B12" s="82"/>
      <c r="C12" s="83"/>
      <c r="D12" s="102"/>
      <c r="E12" s="82"/>
      <c r="F12" s="82"/>
      <c r="G12" s="48"/>
      <c r="H12" s="82"/>
    </row>
    <row r="13" spans="1:8" ht="15.75">
      <c r="A13" s="48"/>
      <c r="B13" s="153" t="s">
        <v>1219</v>
      </c>
      <c r="C13" s="153"/>
      <c r="D13" s="153"/>
      <c r="E13" s="153"/>
      <c r="F13" s="153"/>
      <c r="G13" s="153"/>
      <c r="H13" s="82"/>
    </row>
    <row r="14" spans="1:8" ht="12.75">
      <c r="A14" s="51" t="s">
        <v>729</v>
      </c>
      <c r="B14" s="129" t="s">
        <v>1220</v>
      </c>
      <c r="C14" s="107" t="s">
        <v>1221</v>
      </c>
      <c r="D14" s="130" t="s">
        <v>1222</v>
      </c>
      <c r="E14" s="129" t="s">
        <v>16</v>
      </c>
      <c r="F14" s="114" t="s">
        <v>1309</v>
      </c>
      <c r="G14" s="108" t="s">
        <v>1223</v>
      </c>
      <c r="H14" s="129" t="s">
        <v>42</v>
      </c>
    </row>
    <row r="15" spans="1:8" ht="12.75">
      <c r="A15" s="47" t="s">
        <v>731</v>
      </c>
      <c r="B15" s="99" t="s">
        <v>1224</v>
      </c>
      <c r="C15" s="111" t="s">
        <v>1225</v>
      </c>
      <c r="D15" s="127" t="s">
        <v>1226</v>
      </c>
      <c r="E15" s="99" t="s">
        <v>221</v>
      </c>
      <c r="F15" s="99" t="s">
        <v>222</v>
      </c>
      <c r="G15" s="112" t="s">
        <v>1227</v>
      </c>
      <c r="H15" s="99" t="s">
        <v>42</v>
      </c>
    </row>
    <row r="16" spans="1:8" ht="12.75">
      <c r="A16" s="62" t="s">
        <v>732</v>
      </c>
      <c r="B16" s="131" t="s">
        <v>1228</v>
      </c>
      <c r="C16" s="115" t="s">
        <v>1229</v>
      </c>
      <c r="D16" s="132" t="s">
        <v>456</v>
      </c>
      <c r="E16" s="131" t="s">
        <v>1230</v>
      </c>
      <c r="F16" s="131" t="s">
        <v>218</v>
      </c>
      <c r="G16" s="116" t="s">
        <v>1231</v>
      </c>
      <c r="H16" s="129" t="s">
        <v>1312</v>
      </c>
    </row>
    <row r="17" spans="1:8" ht="12.75">
      <c r="A17" s="47" t="s">
        <v>800</v>
      </c>
      <c r="B17" s="99" t="s">
        <v>1232</v>
      </c>
      <c r="C17" s="111" t="s">
        <v>1233</v>
      </c>
      <c r="D17" s="127" t="s">
        <v>1234</v>
      </c>
      <c r="E17" s="99" t="s">
        <v>16</v>
      </c>
      <c r="F17" s="99" t="s">
        <v>273</v>
      </c>
      <c r="G17" s="112" t="s">
        <v>1235</v>
      </c>
      <c r="H17" s="99" t="s">
        <v>1236</v>
      </c>
    </row>
    <row r="18" spans="1:8" ht="12.75">
      <c r="A18" s="48"/>
      <c r="B18" s="82"/>
      <c r="C18" s="83"/>
      <c r="D18" s="102"/>
      <c r="E18" s="82"/>
      <c r="F18" s="82"/>
      <c r="G18" s="48"/>
      <c r="H18" s="82"/>
    </row>
    <row r="19" spans="1:8" ht="15.75">
      <c r="A19" s="48"/>
      <c r="B19" s="153" t="s">
        <v>54</v>
      </c>
      <c r="C19" s="153"/>
      <c r="D19" s="153"/>
      <c r="E19" s="153"/>
      <c r="F19" s="153"/>
      <c r="G19" s="153"/>
      <c r="H19" s="82"/>
    </row>
    <row r="20" spans="1:8" ht="12.75">
      <c r="A20" s="51" t="s">
        <v>729</v>
      </c>
      <c r="B20" s="129" t="s">
        <v>1228</v>
      </c>
      <c r="C20" s="107" t="s">
        <v>1237</v>
      </c>
      <c r="D20" s="130" t="s">
        <v>456</v>
      </c>
      <c r="E20" s="129" t="s">
        <v>1230</v>
      </c>
      <c r="F20" s="129" t="s">
        <v>218</v>
      </c>
      <c r="G20" s="108" t="s">
        <v>1231</v>
      </c>
      <c r="H20" s="129" t="s">
        <v>1312</v>
      </c>
    </row>
    <row r="21" spans="1:8" ht="12" customHeight="1">
      <c r="A21" s="47" t="s">
        <v>731</v>
      </c>
      <c r="B21" s="99" t="s">
        <v>1238</v>
      </c>
      <c r="C21" s="111" t="s">
        <v>1239</v>
      </c>
      <c r="D21" s="127" t="s">
        <v>1240</v>
      </c>
      <c r="E21" s="99" t="s">
        <v>923</v>
      </c>
      <c r="F21" s="99" t="s">
        <v>924</v>
      </c>
      <c r="G21" s="112" t="s">
        <v>1241</v>
      </c>
      <c r="H21" s="99" t="s">
        <v>1242</v>
      </c>
    </row>
    <row r="22" spans="1:8" ht="12.75">
      <c r="A22" s="62" t="s">
        <v>729</v>
      </c>
      <c r="B22" s="131" t="s">
        <v>1243</v>
      </c>
      <c r="C22" s="115" t="s">
        <v>1244</v>
      </c>
      <c r="D22" s="132" t="s">
        <v>1245</v>
      </c>
      <c r="E22" s="131" t="s">
        <v>16</v>
      </c>
      <c r="F22" s="131" t="s">
        <v>273</v>
      </c>
      <c r="G22" s="116" t="s">
        <v>1246</v>
      </c>
      <c r="H22" s="131" t="s">
        <v>42</v>
      </c>
    </row>
    <row r="23" spans="1:8" ht="12.75">
      <c r="A23" s="47" t="s">
        <v>731</v>
      </c>
      <c r="B23" s="99" t="s">
        <v>1247</v>
      </c>
      <c r="C23" s="111" t="s">
        <v>1248</v>
      </c>
      <c r="D23" s="127" t="s">
        <v>1249</v>
      </c>
      <c r="E23" s="99" t="s">
        <v>16</v>
      </c>
      <c r="F23" s="99" t="s">
        <v>759</v>
      </c>
      <c r="G23" s="112" t="s">
        <v>1223</v>
      </c>
      <c r="H23" s="99" t="s">
        <v>42</v>
      </c>
    </row>
    <row r="24" spans="1:8" ht="12.75">
      <c r="A24" s="48"/>
      <c r="B24" s="82"/>
      <c r="C24" s="83"/>
      <c r="D24" s="102"/>
      <c r="E24" s="82"/>
      <c r="F24" s="82"/>
      <c r="G24" s="48"/>
      <c r="H24" s="82"/>
    </row>
    <row r="25" spans="1:8" ht="15.75">
      <c r="A25" s="48"/>
      <c r="B25" s="153" t="s">
        <v>61</v>
      </c>
      <c r="C25" s="153"/>
      <c r="D25" s="153"/>
      <c r="E25" s="153"/>
      <c r="F25" s="153"/>
      <c r="G25" s="153"/>
      <c r="H25" s="82"/>
    </row>
    <row r="26" spans="1:8" ht="12.75">
      <c r="A26" s="51" t="s">
        <v>729</v>
      </c>
      <c r="B26" s="129" t="s">
        <v>920</v>
      </c>
      <c r="C26" s="107" t="s">
        <v>921</v>
      </c>
      <c r="D26" s="130" t="s">
        <v>1250</v>
      </c>
      <c r="E26" s="129" t="s">
        <v>923</v>
      </c>
      <c r="F26" s="129" t="s">
        <v>924</v>
      </c>
      <c r="G26" s="108" t="s">
        <v>1246</v>
      </c>
      <c r="H26" s="129" t="s">
        <v>42</v>
      </c>
    </row>
    <row r="27" spans="1:8" ht="12.75">
      <c r="A27" s="47" t="s">
        <v>731</v>
      </c>
      <c r="B27" s="99" t="s">
        <v>1251</v>
      </c>
      <c r="C27" s="111" t="s">
        <v>1252</v>
      </c>
      <c r="D27" s="127" t="s">
        <v>1253</v>
      </c>
      <c r="E27" s="99" t="s">
        <v>16</v>
      </c>
      <c r="F27" s="99" t="s">
        <v>759</v>
      </c>
      <c r="G27" s="112" t="s">
        <v>1246</v>
      </c>
      <c r="H27" s="99" t="s">
        <v>42</v>
      </c>
    </row>
    <row r="28" spans="1:8" ht="12.75">
      <c r="A28" s="62" t="s">
        <v>732</v>
      </c>
      <c r="B28" s="131" t="s">
        <v>1254</v>
      </c>
      <c r="C28" s="115" t="s">
        <v>1255</v>
      </c>
      <c r="D28" s="132" t="s">
        <v>1256</v>
      </c>
      <c r="E28" s="129" t="s">
        <v>923</v>
      </c>
      <c r="F28" s="131" t="s">
        <v>924</v>
      </c>
      <c r="G28" s="116" t="s">
        <v>1246</v>
      </c>
      <c r="H28" s="131" t="s">
        <v>1242</v>
      </c>
    </row>
    <row r="29" spans="1:8" ht="12.75">
      <c r="A29" s="47" t="s">
        <v>800</v>
      </c>
      <c r="B29" s="99" t="s">
        <v>1257</v>
      </c>
      <c r="C29" s="111" t="s">
        <v>1258</v>
      </c>
      <c r="D29" s="127" t="s">
        <v>1259</v>
      </c>
      <c r="E29" s="99" t="s">
        <v>1230</v>
      </c>
      <c r="F29" s="99" t="s">
        <v>218</v>
      </c>
      <c r="G29" s="112" t="s">
        <v>1260</v>
      </c>
      <c r="H29" s="99" t="s">
        <v>42</v>
      </c>
    </row>
    <row r="30" spans="1:8" ht="12.75">
      <c r="A30" s="48"/>
      <c r="B30" s="82"/>
      <c r="C30" s="83"/>
      <c r="D30" s="102"/>
      <c r="E30" s="82"/>
      <c r="F30" s="82"/>
      <c r="G30" s="48"/>
      <c r="H30" s="82"/>
    </row>
    <row r="31" spans="1:8" ht="15.75">
      <c r="A31" s="48"/>
      <c r="B31" s="153" t="s">
        <v>76</v>
      </c>
      <c r="C31" s="153"/>
      <c r="D31" s="153"/>
      <c r="E31" s="153"/>
      <c r="F31" s="153"/>
      <c r="G31" s="153"/>
      <c r="H31" s="82"/>
    </row>
    <row r="32" spans="1:8" ht="12.75">
      <c r="A32" s="51" t="s">
        <v>729</v>
      </c>
      <c r="B32" s="129" t="s">
        <v>1261</v>
      </c>
      <c r="C32" s="107" t="s">
        <v>1262</v>
      </c>
      <c r="D32" s="130" t="s">
        <v>1263</v>
      </c>
      <c r="E32" s="129" t="s">
        <v>16</v>
      </c>
      <c r="F32" s="129" t="s">
        <v>1264</v>
      </c>
      <c r="G32" s="108" t="s">
        <v>1231</v>
      </c>
      <c r="H32" s="129" t="s">
        <v>42</v>
      </c>
    </row>
    <row r="33" spans="1:8" ht="12.75">
      <c r="A33" s="47" t="s">
        <v>731</v>
      </c>
      <c r="B33" s="99" t="s">
        <v>516</v>
      </c>
      <c r="C33" s="111" t="s">
        <v>517</v>
      </c>
      <c r="D33" s="127" t="s">
        <v>518</v>
      </c>
      <c r="E33" s="99" t="s">
        <v>519</v>
      </c>
      <c r="F33" s="99" t="s">
        <v>759</v>
      </c>
      <c r="G33" s="112" t="s">
        <v>1241</v>
      </c>
      <c r="H33" s="99" t="s">
        <v>42</v>
      </c>
    </row>
    <row r="34" spans="1:8" ht="12.75">
      <c r="A34" s="52" t="s">
        <v>729</v>
      </c>
      <c r="B34" s="101" t="s">
        <v>516</v>
      </c>
      <c r="C34" s="119" t="s">
        <v>1265</v>
      </c>
      <c r="D34" s="128" t="s">
        <v>518</v>
      </c>
      <c r="E34" s="101" t="s">
        <v>519</v>
      </c>
      <c r="F34" s="101" t="s">
        <v>759</v>
      </c>
      <c r="G34" s="120" t="s">
        <v>1241</v>
      </c>
      <c r="H34" s="101" t="s">
        <v>42</v>
      </c>
    </row>
    <row r="35" spans="1:8" ht="12.75">
      <c r="A35" s="48"/>
      <c r="B35" s="82"/>
      <c r="C35" s="83"/>
      <c r="D35" s="102"/>
      <c r="E35" s="82"/>
      <c r="F35" s="82"/>
      <c r="G35" s="48"/>
      <c r="H35" s="82"/>
    </row>
    <row r="36" spans="1:8" ht="15.75">
      <c r="A36" s="48"/>
      <c r="B36" s="153" t="s">
        <v>84</v>
      </c>
      <c r="C36" s="153"/>
      <c r="D36" s="153"/>
      <c r="E36" s="153"/>
      <c r="F36" s="153"/>
      <c r="G36" s="153"/>
      <c r="H36" s="82"/>
    </row>
    <row r="37" spans="1:8" ht="12.75">
      <c r="A37" s="51" t="s">
        <v>729</v>
      </c>
      <c r="B37" s="129" t="s">
        <v>1266</v>
      </c>
      <c r="C37" s="107" t="s">
        <v>1267</v>
      </c>
      <c r="D37" s="130" t="s">
        <v>1093</v>
      </c>
      <c r="E37" s="129" t="s">
        <v>16</v>
      </c>
      <c r="F37" s="129" t="s">
        <v>759</v>
      </c>
      <c r="G37" s="108" t="s">
        <v>1223</v>
      </c>
      <c r="H37" s="129" t="s">
        <v>42</v>
      </c>
    </row>
    <row r="38" spans="1:8" ht="12.75">
      <c r="A38" s="47" t="s">
        <v>729</v>
      </c>
      <c r="B38" s="99" t="s">
        <v>1268</v>
      </c>
      <c r="C38" s="111" t="s">
        <v>1269</v>
      </c>
      <c r="D38" s="127" t="s">
        <v>1270</v>
      </c>
      <c r="E38" s="99" t="s">
        <v>1230</v>
      </c>
      <c r="F38" s="99" t="s">
        <v>218</v>
      </c>
      <c r="G38" s="112" t="s">
        <v>1223</v>
      </c>
      <c r="H38" s="99" t="s">
        <v>42</v>
      </c>
    </row>
    <row r="39" spans="1:8" ht="12.75">
      <c r="A39" s="48"/>
      <c r="B39" s="82"/>
      <c r="C39" s="83"/>
      <c r="D39" s="102"/>
      <c r="E39" s="82"/>
      <c r="F39" s="82"/>
      <c r="G39" s="48"/>
      <c r="H39" s="82"/>
    </row>
    <row r="40" spans="1:8" ht="12.75">
      <c r="A40" s="48"/>
      <c r="B40" s="82"/>
      <c r="C40" s="83"/>
      <c r="D40" s="102"/>
      <c r="E40" s="82"/>
      <c r="F40" s="82"/>
      <c r="G40" s="48"/>
      <c r="H40" s="82"/>
    </row>
    <row r="41" spans="1:8" ht="18">
      <c r="A41" s="57"/>
      <c r="B41" s="133" t="s">
        <v>100</v>
      </c>
      <c r="C41" s="134"/>
      <c r="D41" s="102"/>
      <c r="E41" s="82"/>
      <c r="F41" s="82"/>
      <c r="G41" s="48"/>
      <c r="H41" s="82"/>
    </row>
    <row r="42" spans="1:8" ht="15.75">
      <c r="A42" s="58"/>
      <c r="B42" s="278" t="s">
        <v>101</v>
      </c>
      <c r="C42" s="20"/>
      <c r="D42" s="102"/>
      <c r="E42" s="82"/>
      <c r="F42" s="82"/>
      <c r="G42" s="48"/>
      <c r="H42" s="82"/>
    </row>
    <row r="43" spans="1:8" ht="13.5">
      <c r="A43" s="59"/>
      <c r="B43" s="261" t="s">
        <v>108</v>
      </c>
      <c r="C43" s="89"/>
      <c r="D43" s="102"/>
      <c r="E43" s="82"/>
      <c r="F43" s="82"/>
      <c r="G43" s="48"/>
      <c r="H43" s="82"/>
    </row>
    <row r="44" spans="1:8" ht="13.5">
      <c r="A44" s="43"/>
      <c r="B44" s="336" t="s">
        <v>102</v>
      </c>
      <c r="C44" s="122" t="s">
        <v>103</v>
      </c>
      <c r="D44" s="122" t="s">
        <v>730</v>
      </c>
      <c r="E44" s="83"/>
      <c r="F44" s="83"/>
      <c r="G44" s="83"/>
      <c r="H44" s="83"/>
    </row>
    <row r="45" spans="1:8" ht="12.75">
      <c r="A45" s="48" t="s">
        <v>729</v>
      </c>
      <c r="B45" s="229" t="s">
        <v>1243</v>
      </c>
      <c r="C45" s="83" t="s">
        <v>108</v>
      </c>
      <c r="D45" s="48" t="s">
        <v>1246</v>
      </c>
      <c r="E45" s="83"/>
      <c r="F45" s="83"/>
      <c r="G45" s="83"/>
      <c r="H45" s="83"/>
    </row>
    <row r="46" spans="1:8" ht="12.75">
      <c r="A46" s="48" t="s">
        <v>731</v>
      </c>
      <c r="B46" s="229" t="s">
        <v>920</v>
      </c>
      <c r="C46" s="83" t="s">
        <v>108</v>
      </c>
      <c r="D46" s="48" t="s">
        <v>1246</v>
      </c>
      <c r="E46" s="83"/>
      <c r="F46" s="83"/>
      <c r="G46" s="83"/>
      <c r="H46" s="83"/>
    </row>
    <row r="47" spans="1:8" ht="12.75">
      <c r="A47" s="48" t="s">
        <v>732</v>
      </c>
      <c r="B47" s="229" t="s">
        <v>1251</v>
      </c>
      <c r="C47" s="83" t="s">
        <v>108</v>
      </c>
      <c r="D47" s="48" t="s">
        <v>1246</v>
      </c>
      <c r="E47" s="83"/>
      <c r="F47" s="83"/>
      <c r="G47" s="83"/>
      <c r="H47" s="83"/>
    </row>
    <row r="48" spans="1:8" ht="12.75">
      <c r="A48" s="48"/>
      <c r="B48" s="82"/>
      <c r="C48" s="83"/>
      <c r="D48" s="102"/>
      <c r="E48" s="82"/>
      <c r="F48" s="82"/>
      <c r="G48" s="48"/>
      <c r="H48" s="82"/>
    </row>
    <row r="49" spans="1:8" ht="12.75">
      <c r="A49" s="48"/>
      <c r="B49" s="82"/>
      <c r="C49" s="83"/>
      <c r="D49" s="102"/>
      <c r="E49" s="82"/>
      <c r="F49" s="82"/>
      <c r="G49" s="48"/>
      <c r="H49" s="82"/>
    </row>
    <row r="50" spans="1:8" ht="12.75">
      <c r="A50" s="48"/>
      <c r="B50" s="82"/>
      <c r="C50" s="83"/>
      <c r="D50" s="102"/>
      <c r="E50" s="82"/>
      <c r="F50" s="82"/>
      <c r="G50" s="48"/>
      <c r="H50" s="82"/>
    </row>
    <row r="51" spans="1:8" ht="12.75">
      <c r="A51" s="48"/>
      <c r="B51" s="82"/>
      <c r="C51" s="83"/>
      <c r="D51" s="102"/>
      <c r="E51" s="82"/>
      <c r="F51" s="82"/>
      <c r="G51" s="48"/>
      <c r="H51" s="82"/>
    </row>
    <row r="52" spans="1:8" ht="12.75">
      <c r="A52" s="48"/>
      <c r="B52" s="82"/>
      <c r="C52" s="83"/>
      <c r="D52" s="102"/>
      <c r="E52" s="82"/>
      <c r="F52" s="82"/>
      <c r="G52" s="48"/>
      <c r="H52" s="82"/>
    </row>
    <row r="53" spans="1:8" ht="12.75">
      <c r="A53" s="48"/>
      <c r="B53" s="82"/>
      <c r="C53" s="83"/>
      <c r="D53" s="102"/>
      <c r="E53" s="82"/>
      <c r="F53" s="82"/>
      <c r="G53" s="48"/>
      <c r="H53" s="82"/>
    </row>
    <row r="54" spans="1:8" ht="12.75">
      <c r="A54" s="48"/>
      <c r="B54" s="82"/>
      <c r="C54" s="83"/>
      <c r="D54" s="102"/>
      <c r="E54" s="82"/>
      <c r="F54" s="82"/>
      <c r="G54" s="48"/>
      <c r="H54" s="82"/>
    </row>
    <row r="55" spans="1:8" ht="12.75">
      <c r="A55" s="48"/>
      <c r="B55" s="82"/>
      <c r="C55" s="83"/>
      <c r="D55" s="102"/>
      <c r="E55" s="82"/>
      <c r="F55" s="82"/>
      <c r="G55" s="48"/>
      <c r="H55" s="82"/>
    </row>
    <row r="56" spans="1:8" ht="12.75">
      <c r="A56" s="48"/>
      <c r="B56" s="82"/>
      <c r="C56" s="83"/>
      <c r="D56" s="102"/>
      <c r="E56" s="82"/>
      <c r="F56" s="82"/>
      <c r="G56" s="48"/>
      <c r="H56" s="82"/>
    </row>
  </sheetData>
  <sheetProtection/>
  <mergeCells count="18">
    <mergeCell ref="B31:G31"/>
    <mergeCell ref="B36:G36"/>
    <mergeCell ref="H4:H5"/>
    <mergeCell ref="B6:G6"/>
    <mergeCell ref="B9:G9"/>
    <mergeCell ref="B13:G13"/>
    <mergeCell ref="B19:G19"/>
    <mergeCell ref="B25:G25"/>
    <mergeCell ref="A1:A2"/>
    <mergeCell ref="B1:H1"/>
    <mergeCell ref="B2:H2"/>
    <mergeCell ref="B3:H3"/>
    <mergeCell ref="A4:A5"/>
    <mergeCell ref="B4:B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">
      <selection activeCell="B47" sqref="B47"/>
    </sheetView>
  </sheetViews>
  <sheetFormatPr defaultColWidth="11.00390625" defaultRowHeight="12.75"/>
  <cols>
    <col min="1" max="1" width="6.75390625" style="0" customWidth="1"/>
    <col min="2" max="2" width="20.625" style="0" customWidth="1"/>
    <col min="3" max="3" width="24.875" style="0" customWidth="1"/>
    <col min="5" max="5" width="9.00390625" style="0" customWidth="1"/>
    <col min="7" max="7" width="32.125" style="0" customWidth="1"/>
    <col min="8" max="8" width="5.625" style="0" customWidth="1"/>
    <col min="9" max="9" width="5.125" style="0" customWidth="1"/>
    <col min="10" max="10" width="5.25390625" style="0" customWidth="1"/>
    <col min="11" max="11" width="4.25390625" style="0" customWidth="1"/>
    <col min="12" max="12" width="5.00390625" style="0" customWidth="1"/>
    <col min="13" max="13" width="5.25390625" style="0" customWidth="1"/>
    <col min="14" max="14" width="5.125" style="0" customWidth="1"/>
    <col min="15" max="15" width="4.25390625" style="0" customWidth="1"/>
    <col min="18" max="18" width="15.00390625" style="0" customWidth="1"/>
  </cols>
  <sheetData>
    <row r="1" spans="1:19" ht="57" customHeight="1">
      <c r="A1" s="176"/>
      <c r="B1" s="165" t="s">
        <v>935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186"/>
    </row>
    <row r="2" spans="1:19" ht="27" customHeight="1">
      <c r="A2" s="17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69"/>
      <c r="S2" s="186"/>
    </row>
    <row r="3" spans="1:19" ht="30" thickBot="1">
      <c r="A3" s="48"/>
      <c r="B3" s="168" t="s">
        <v>910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S3" s="83"/>
    </row>
    <row r="4" spans="1:19" ht="13.5">
      <c r="A4" s="154" t="s">
        <v>728</v>
      </c>
      <c r="B4" s="158" t="s">
        <v>0</v>
      </c>
      <c r="C4" s="104" t="s">
        <v>911</v>
      </c>
      <c r="D4" s="156" t="s">
        <v>733</v>
      </c>
      <c r="E4" s="158" t="s">
        <v>913</v>
      </c>
      <c r="F4" s="158" t="s">
        <v>7</v>
      </c>
      <c r="G4" s="158" t="s">
        <v>758</v>
      </c>
      <c r="H4" s="187" t="s">
        <v>936</v>
      </c>
      <c r="I4" s="188"/>
      <c r="J4" s="188"/>
      <c r="K4" s="189"/>
      <c r="L4" s="187" t="s">
        <v>937</v>
      </c>
      <c r="M4" s="188"/>
      <c r="N4" s="188"/>
      <c r="O4" s="189"/>
      <c r="P4" s="158" t="s">
        <v>4</v>
      </c>
      <c r="Q4" s="158" t="s">
        <v>6</v>
      </c>
      <c r="R4" s="160" t="s">
        <v>5</v>
      </c>
      <c r="S4" s="94"/>
    </row>
    <row r="5" spans="1:19" ht="15" thickBot="1">
      <c r="A5" s="155"/>
      <c r="B5" s="159"/>
      <c r="C5" s="103" t="s">
        <v>912</v>
      </c>
      <c r="D5" s="157"/>
      <c r="E5" s="159"/>
      <c r="F5" s="159"/>
      <c r="G5" s="159"/>
      <c r="H5" s="97" t="s">
        <v>729</v>
      </c>
      <c r="I5" s="97" t="s">
        <v>731</v>
      </c>
      <c r="J5" s="97" t="s">
        <v>732</v>
      </c>
      <c r="K5" s="97" t="s">
        <v>8</v>
      </c>
      <c r="L5" s="97" t="s">
        <v>729</v>
      </c>
      <c r="M5" s="97" t="s">
        <v>731</v>
      </c>
      <c r="N5" s="97" t="s">
        <v>732</v>
      </c>
      <c r="O5" s="97" t="s">
        <v>8</v>
      </c>
      <c r="P5" s="159"/>
      <c r="Q5" s="159"/>
      <c r="R5" s="161"/>
      <c r="S5" s="94"/>
    </row>
    <row r="6" spans="1:18" ht="15.75">
      <c r="A6" s="46"/>
      <c r="B6" s="252" t="s">
        <v>197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9"/>
    </row>
    <row r="7" spans="1:18" ht="12.75">
      <c r="A7" s="51" t="s">
        <v>729</v>
      </c>
      <c r="B7" s="254" t="s">
        <v>938</v>
      </c>
      <c r="C7" s="254" t="s">
        <v>939</v>
      </c>
      <c r="D7" s="254" t="s">
        <v>940</v>
      </c>
      <c r="E7" s="254" t="s">
        <v>941</v>
      </c>
      <c r="F7" s="254" t="s">
        <v>942</v>
      </c>
      <c r="G7" s="254" t="s">
        <v>943</v>
      </c>
      <c r="H7" s="316" t="s">
        <v>136</v>
      </c>
      <c r="I7" s="316" t="s">
        <v>425</v>
      </c>
      <c r="J7" s="316" t="s">
        <v>137</v>
      </c>
      <c r="K7" s="317"/>
      <c r="L7" s="316" t="s">
        <v>254</v>
      </c>
      <c r="M7" s="318" t="s">
        <v>139</v>
      </c>
      <c r="N7" s="318" t="s">
        <v>139</v>
      </c>
      <c r="O7" s="317"/>
      <c r="P7" s="319" t="s">
        <v>167</v>
      </c>
      <c r="Q7" s="254" t="s">
        <v>944</v>
      </c>
      <c r="R7" s="106" t="s">
        <v>945</v>
      </c>
    </row>
    <row r="8" spans="1:18" ht="12.75">
      <c r="A8" s="47" t="s">
        <v>731</v>
      </c>
      <c r="B8" s="249" t="s">
        <v>946</v>
      </c>
      <c r="C8" s="249" t="s">
        <v>707</v>
      </c>
      <c r="D8" s="249" t="s">
        <v>957</v>
      </c>
      <c r="E8" s="255" t="s">
        <v>958</v>
      </c>
      <c r="F8" s="249" t="s">
        <v>16</v>
      </c>
      <c r="G8" s="249" t="s">
        <v>460</v>
      </c>
      <c r="H8" s="320" t="s">
        <v>160</v>
      </c>
      <c r="I8" s="321" t="s">
        <v>161</v>
      </c>
      <c r="J8" s="321" t="s">
        <v>161</v>
      </c>
      <c r="K8" s="322"/>
      <c r="L8" s="320" t="s">
        <v>139</v>
      </c>
      <c r="M8" s="320" t="s">
        <v>150</v>
      </c>
      <c r="N8" s="321" t="s">
        <v>140</v>
      </c>
      <c r="O8" s="322"/>
      <c r="P8" s="323" t="s">
        <v>203</v>
      </c>
      <c r="Q8" s="249" t="s">
        <v>947</v>
      </c>
      <c r="R8" s="109" t="s">
        <v>42</v>
      </c>
    </row>
    <row r="9" spans="1:18" ht="12.75">
      <c r="A9" s="62" t="s">
        <v>732</v>
      </c>
      <c r="B9" s="324" t="s">
        <v>948</v>
      </c>
      <c r="C9" s="324" t="s">
        <v>949</v>
      </c>
      <c r="D9" s="324" t="s">
        <v>950</v>
      </c>
      <c r="E9" s="324" t="s">
        <v>951</v>
      </c>
      <c r="F9" s="324" t="s">
        <v>16</v>
      </c>
      <c r="G9" s="324" t="s">
        <v>952</v>
      </c>
      <c r="H9" s="325" t="s">
        <v>140</v>
      </c>
      <c r="I9" s="326" t="s">
        <v>151</v>
      </c>
      <c r="J9" s="326" t="s">
        <v>151</v>
      </c>
      <c r="K9" s="327"/>
      <c r="L9" s="325" t="s">
        <v>150</v>
      </c>
      <c r="M9" s="326" t="s">
        <v>141</v>
      </c>
      <c r="N9" s="325" t="s">
        <v>141</v>
      </c>
      <c r="O9" s="327"/>
      <c r="P9" s="328" t="s">
        <v>202</v>
      </c>
      <c r="Q9" s="324" t="s">
        <v>953</v>
      </c>
      <c r="R9" s="114" t="s">
        <v>42</v>
      </c>
    </row>
    <row r="10" spans="1:18" ht="12.75">
      <c r="A10" s="47" t="s">
        <v>729</v>
      </c>
      <c r="B10" s="249" t="s">
        <v>938</v>
      </c>
      <c r="C10" s="249" t="s">
        <v>954</v>
      </c>
      <c r="D10" s="249" t="s">
        <v>940</v>
      </c>
      <c r="E10" s="249" t="s">
        <v>941</v>
      </c>
      <c r="F10" s="249" t="s">
        <v>942</v>
      </c>
      <c r="G10" s="249" t="s">
        <v>943</v>
      </c>
      <c r="H10" s="320" t="s">
        <v>136</v>
      </c>
      <c r="I10" s="320" t="s">
        <v>425</v>
      </c>
      <c r="J10" s="320" t="s">
        <v>137</v>
      </c>
      <c r="K10" s="322"/>
      <c r="L10" s="320" t="s">
        <v>254</v>
      </c>
      <c r="M10" s="321" t="s">
        <v>139</v>
      </c>
      <c r="N10" s="321" t="s">
        <v>139</v>
      </c>
      <c r="O10" s="322"/>
      <c r="P10" s="323" t="s">
        <v>167</v>
      </c>
      <c r="Q10" s="249" t="s">
        <v>955</v>
      </c>
      <c r="R10" s="106" t="s">
        <v>945</v>
      </c>
    </row>
    <row r="11" spans="1:18" ht="12.75">
      <c r="A11" s="52" t="s">
        <v>731</v>
      </c>
      <c r="B11" s="255" t="s">
        <v>946</v>
      </c>
      <c r="C11" s="255" t="s">
        <v>956</v>
      </c>
      <c r="D11" s="255" t="s">
        <v>957</v>
      </c>
      <c r="E11" s="255" t="s">
        <v>958</v>
      </c>
      <c r="F11" s="255" t="s">
        <v>16</v>
      </c>
      <c r="G11" s="255" t="s">
        <v>460</v>
      </c>
      <c r="H11" s="329" t="s">
        <v>160</v>
      </c>
      <c r="I11" s="330" t="s">
        <v>161</v>
      </c>
      <c r="J11" s="330" t="s">
        <v>161</v>
      </c>
      <c r="K11" s="331"/>
      <c r="L11" s="329" t="s">
        <v>139</v>
      </c>
      <c r="M11" s="329" t="s">
        <v>150</v>
      </c>
      <c r="N11" s="330" t="s">
        <v>140</v>
      </c>
      <c r="O11" s="331"/>
      <c r="P11" s="332" t="s">
        <v>203</v>
      </c>
      <c r="Q11" s="255" t="s">
        <v>959</v>
      </c>
      <c r="R11" s="118" t="s">
        <v>42</v>
      </c>
    </row>
    <row r="12" spans="1:18" ht="12.75">
      <c r="A12" s="4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30"/>
      <c r="Q12" s="229"/>
      <c r="R12" s="29"/>
    </row>
    <row r="13" spans="1:18" ht="15.75">
      <c r="A13" s="46"/>
      <c r="B13" s="252" t="s">
        <v>12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9"/>
    </row>
    <row r="14" spans="1:18" ht="12.75">
      <c r="A14" s="51" t="s">
        <v>729</v>
      </c>
      <c r="B14" s="254" t="s">
        <v>457</v>
      </c>
      <c r="C14" s="254" t="s">
        <v>458</v>
      </c>
      <c r="D14" s="254" t="s">
        <v>459</v>
      </c>
      <c r="E14" s="254" t="s">
        <v>960</v>
      </c>
      <c r="F14" s="254" t="s">
        <v>16</v>
      </c>
      <c r="G14" s="254" t="s">
        <v>460</v>
      </c>
      <c r="H14" s="316" t="s">
        <v>136</v>
      </c>
      <c r="I14" s="316" t="s">
        <v>425</v>
      </c>
      <c r="J14" s="316" t="s">
        <v>255</v>
      </c>
      <c r="K14" s="333"/>
      <c r="L14" s="316" t="s">
        <v>139</v>
      </c>
      <c r="M14" s="316" t="s">
        <v>140</v>
      </c>
      <c r="N14" s="316" t="s">
        <v>151</v>
      </c>
      <c r="O14" s="317"/>
      <c r="P14" s="319" t="s">
        <v>22</v>
      </c>
      <c r="Q14" s="254" t="s">
        <v>961</v>
      </c>
      <c r="R14" s="106" t="s">
        <v>42</v>
      </c>
    </row>
    <row r="15" spans="1:18" ht="12.75">
      <c r="A15" s="47" t="s">
        <v>731</v>
      </c>
      <c r="B15" s="249" t="s">
        <v>962</v>
      </c>
      <c r="C15" s="249" t="s">
        <v>963</v>
      </c>
      <c r="D15" s="249" t="s">
        <v>964</v>
      </c>
      <c r="E15" s="249" t="s">
        <v>965</v>
      </c>
      <c r="F15" s="249" t="s">
        <v>16</v>
      </c>
      <c r="G15" s="249" t="s">
        <v>966</v>
      </c>
      <c r="H15" s="320" t="s">
        <v>151</v>
      </c>
      <c r="I15" s="320" t="s">
        <v>251</v>
      </c>
      <c r="J15" s="320" t="s">
        <v>137</v>
      </c>
      <c r="K15" s="334"/>
      <c r="L15" s="320" t="s">
        <v>253</v>
      </c>
      <c r="M15" s="320" t="s">
        <v>150</v>
      </c>
      <c r="N15" s="321" t="s">
        <v>141</v>
      </c>
      <c r="O15" s="322"/>
      <c r="P15" s="323" t="s">
        <v>32</v>
      </c>
      <c r="Q15" s="249" t="s">
        <v>967</v>
      </c>
      <c r="R15" s="109" t="s">
        <v>968</v>
      </c>
    </row>
    <row r="16" spans="1:18" ht="12.75">
      <c r="A16" s="4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30"/>
      <c r="Q16" s="229"/>
      <c r="R16" s="29"/>
    </row>
    <row r="17" spans="1:18" ht="15.75">
      <c r="A17" s="46"/>
      <c r="B17" s="252" t="s">
        <v>34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9"/>
    </row>
    <row r="18" spans="1:18" ht="12.75">
      <c r="A18" s="47" t="s">
        <v>729</v>
      </c>
      <c r="B18" s="249" t="s">
        <v>754</v>
      </c>
      <c r="C18" s="249" t="s">
        <v>173</v>
      </c>
      <c r="D18" s="249" t="s">
        <v>174</v>
      </c>
      <c r="E18" s="249" t="s">
        <v>969</v>
      </c>
      <c r="F18" s="249" t="s">
        <v>16</v>
      </c>
      <c r="G18" s="249" t="s">
        <v>175</v>
      </c>
      <c r="H18" s="320" t="s">
        <v>151</v>
      </c>
      <c r="I18" s="321" t="s">
        <v>136</v>
      </c>
      <c r="J18" s="321" t="s">
        <v>136</v>
      </c>
      <c r="K18" s="322"/>
      <c r="L18" s="320" t="s">
        <v>278</v>
      </c>
      <c r="M18" s="320" t="s">
        <v>139</v>
      </c>
      <c r="N18" s="320" t="s">
        <v>140</v>
      </c>
      <c r="O18" s="322"/>
      <c r="P18" s="323" t="s">
        <v>162</v>
      </c>
      <c r="Q18" s="249" t="s">
        <v>970</v>
      </c>
      <c r="R18" s="109" t="s">
        <v>178</v>
      </c>
    </row>
    <row r="19" spans="1:18" ht="12.75">
      <c r="A19" s="4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30"/>
      <c r="Q19" s="229"/>
      <c r="R19" s="29"/>
    </row>
    <row r="20" spans="1:18" ht="15.75">
      <c r="A20" s="46"/>
      <c r="B20" s="252" t="s">
        <v>54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9"/>
    </row>
    <row r="21" spans="1:18" ht="12.75">
      <c r="A21" s="47" t="s">
        <v>729</v>
      </c>
      <c r="B21" s="249" t="s">
        <v>184</v>
      </c>
      <c r="C21" s="249" t="s">
        <v>185</v>
      </c>
      <c r="D21" s="249" t="s">
        <v>186</v>
      </c>
      <c r="E21" s="249" t="s">
        <v>971</v>
      </c>
      <c r="F21" s="249" t="s">
        <v>16</v>
      </c>
      <c r="G21" s="225" t="s">
        <v>1309</v>
      </c>
      <c r="H21" s="320" t="s">
        <v>176</v>
      </c>
      <c r="I21" s="320" t="s">
        <v>972</v>
      </c>
      <c r="J21" s="321" t="s">
        <v>144</v>
      </c>
      <c r="K21" s="322"/>
      <c r="L21" s="320" t="s">
        <v>141</v>
      </c>
      <c r="M21" s="320" t="s">
        <v>151</v>
      </c>
      <c r="N21" s="320" t="s">
        <v>288</v>
      </c>
      <c r="O21" s="322"/>
      <c r="P21" s="323" t="s">
        <v>81</v>
      </c>
      <c r="Q21" s="249" t="s">
        <v>973</v>
      </c>
      <c r="R21" s="109" t="s">
        <v>187</v>
      </c>
    </row>
    <row r="22" spans="1:18" ht="12.75">
      <c r="A22" s="4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  <c r="Q22" s="229"/>
      <c r="R22" s="29"/>
    </row>
    <row r="23" spans="1:18" ht="15.75">
      <c r="A23" s="46"/>
      <c r="B23" s="252" t="s">
        <v>61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9"/>
    </row>
    <row r="24" spans="1:18" ht="12.75">
      <c r="A24" s="47" t="s">
        <v>729</v>
      </c>
      <c r="B24" s="249" t="s">
        <v>974</v>
      </c>
      <c r="C24" s="249" t="s">
        <v>975</v>
      </c>
      <c r="D24" s="249" t="s">
        <v>976</v>
      </c>
      <c r="E24" s="249" t="s">
        <v>977</v>
      </c>
      <c r="F24" s="249" t="s">
        <v>221</v>
      </c>
      <c r="G24" s="249" t="s">
        <v>222</v>
      </c>
      <c r="H24" s="320" t="s">
        <v>160</v>
      </c>
      <c r="I24" s="320" t="s">
        <v>136</v>
      </c>
      <c r="J24" s="320" t="s">
        <v>425</v>
      </c>
      <c r="K24" s="322"/>
      <c r="L24" s="320" t="s">
        <v>140</v>
      </c>
      <c r="M24" s="320" t="s">
        <v>151</v>
      </c>
      <c r="N24" s="320" t="s">
        <v>160</v>
      </c>
      <c r="O24" s="322"/>
      <c r="P24" s="323" t="s">
        <v>22</v>
      </c>
      <c r="Q24" s="249" t="s">
        <v>978</v>
      </c>
      <c r="R24" s="109" t="s">
        <v>42</v>
      </c>
    </row>
    <row r="25" spans="1:18" ht="12.75">
      <c r="A25" s="4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  <c r="Q25" s="229"/>
      <c r="R25" s="29"/>
    </row>
    <row r="26" spans="1:18" ht="12.75">
      <c r="A26" s="4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0"/>
      <c r="Q26" s="229"/>
      <c r="R26" s="29"/>
    </row>
    <row r="27" spans="1:18" ht="18">
      <c r="A27" s="57"/>
      <c r="B27" s="335" t="s">
        <v>100</v>
      </c>
      <c r="C27" s="335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  <c r="Q27" s="229"/>
      <c r="R27" s="29"/>
    </row>
    <row r="28" spans="1:18" ht="15.75">
      <c r="A28" s="58"/>
      <c r="B28" s="259" t="s">
        <v>101</v>
      </c>
      <c r="C28" s="260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30"/>
      <c r="Q28" s="229"/>
      <c r="R28" s="29"/>
    </row>
    <row r="29" spans="1:18" ht="13.5">
      <c r="A29" s="59"/>
      <c r="B29" s="261" t="s">
        <v>108</v>
      </c>
      <c r="C29" s="262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30"/>
      <c r="Q29" s="229"/>
      <c r="R29" s="29"/>
    </row>
    <row r="30" spans="1:18" ht="13.5">
      <c r="A30" s="43"/>
      <c r="B30" s="263" t="s">
        <v>102</v>
      </c>
      <c r="C30" s="263" t="s">
        <v>103</v>
      </c>
      <c r="D30" s="263" t="s">
        <v>104</v>
      </c>
      <c r="E30" s="263" t="s">
        <v>105</v>
      </c>
      <c r="F30" s="263" t="s">
        <v>979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30"/>
      <c r="Q30" s="229"/>
      <c r="R30" s="29"/>
    </row>
    <row r="31" spans="1:18" ht="12.75">
      <c r="A31" s="48" t="s">
        <v>729</v>
      </c>
      <c r="B31" s="267" t="s">
        <v>184</v>
      </c>
      <c r="C31" s="251" t="s">
        <v>108</v>
      </c>
      <c r="D31" s="251" t="s">
        <v>107</v>
      </c>
      <c r="E31" s="251" t="s">
        <v>81</v>
      </c>
      <c r="F31" s="230" t="s">
        <v>973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229"/>
      <c r="R31" s="29"/>
    </row>
    <row r="32" spans="1:18" ht="12.75">
      <c r="A32" s="48" t="s">
        <v>731</v>
      </c>
      <c r="B32" s="267" t="s">
        <v>938</v>
      </c>
      <c r="C32" s="251" t="s">
        <v>108</v>
      </c>
      <c r="D32" s="251" t="s">
        <v>980</v>
      </c>
      <c r="E32" s="251" t="s">
        <v>167</v>
      </c>
      <c r="F32" s="230" t="s">
        <v>944</v>
      </c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29"/>
      <c r="R32" s="29"/>
    </row>
    <row r="33" spans="1:18" ht="12.75">
      <c r="A33" s="48" t="s">
        <v>732</v>
      </c>
      <c r="B33" s="267" t="s">
        <v>457</v>
      </c>
      <c r="C33" s="251" t="s">
        <v>108</v>
      </c>
      <c r="D33" s="251" t="s">
        <v>123</v>
      </c>
      <c r="E33" s="251" t="s">
        <v>22</v>
      </c>
      <c r="F33" s="230" t="s">
        <v>961</v>
      </c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29"/>
      <c r="R33" s="29"/>
    </row>
    <row r="34" spans="1:18" ht="12.75">
      <c r="A34" s="48"/>
      <c r="B34" s="267" t="s">
        <v>962</v>
      </c>
      <c r="C34" s="251" t="s">
        <v>108</v>
      </c>
      <c r="D34" s="251" t="s">
        <v>123</v>
      </c>
      <c r="E34" s="251" t="s">
        <v>32</v>
      </c>
      <c r="F34" s="230" t="s">
        <v>967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30"/>
      <c r="Q34" s="229"/>
      <c r="R34" s="29"/>
    </row>
    <row r="35" spans="1:18" ht="12.75">
      <c r="A35" s="48"/>
      <c r="B35" s="267" t="s">
        <v>948</v>
      </c>
      <c r="C35" s="251" t="s">
        <v>108</v>
      </c>
      <c r="D35" s="251" t="s">
        <v>980</v>
      </c>
      <c r="E35" s="251" t="s">
        <v>202</v>
      </c>
      <c r="F35" s="230" t="s">
        <v>953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30"/>
      <c r="Q35" s="229"/>
      <c r="R35" s="29"/>
    </row>
    <row r="36" spans="1:18" ht="12.75">
      <c r="A36" s="48"/>
      <c r="B36" s="267" t="s">
        <v>946</v>
      </c>
      <c r="C36" s="251" t="s">
        <v>108</v>
      </c>
      <c r="D36" s="251" t="s">
        <v>980</v>
      </c>
      <c r="E36" s="251" t="s">
        <v>203</v>
      </c>
      <c r="F36" s="230" t="s">
        <v>947</v>
      </c>
      <c r="G36" s="229"/>
      <c r="H36" s="229"/>
      <c r="I36" s="229"/>
      <c r="J36" s="229"/>
      <c r="K36" s="229"/>
      <c r="L36" s="229"/>
      <c r="M36" s="229"/>
      <c r="N36" s="229"/>
      <c r="O36" s="229"/>
      <c r="P36" s="230"/>
      <c r="Q36" s="229"/>
      <c r="R36" s="29"/>
    </row>
    <row r="37" spans="1:18" ht="12.75">
      <c r="A37" s="48"/>
      <c r="B37" s="82" t="s">
        <v>974</v>
      </c>
      <c r="C37" s="83" t="s">
        <v>108</v>
      </c>
      <c r="D37" s="83" t="s">
        <v>112</v>
      </c>
      <c r="E37" s="83" t="s">
        <v>22</v>
      </c>
      <c r="F37" s="48" t="s">
        <v>978</v>
      </c>
      <c r="G37" s="29"/>
      <c r="H37" s="29"/>
      <c r="I37" s="29"/>
      <c r="J37" s="29"/>
      <c r="K37" s="29"/>
      <c r="L37" s="29"/>
      <c r="M37" s="29"/>
      <c r="N37" s="29"/>
      <c r="O37" s="29"/>
      <c r="P37" s="48"/>
      <c r="Q37" s="29"/>
      <c r="R37" s="29"/>
    </row>
    <row r="38" spans="1:18" ht="12.75">
      <c r="A38" s="48"/>
      <c r="B38" s="82" t="s">
        <v>754</v>
      </c>
      <c r="C38" s="83" t="s">
        <v>108</v>
      </c>
      <c r="D38" s="83" t="s">
        <v>981</v>
      </c>
      <c r="E38" s="83" t="s">
        <v>162</v>
      </c>
      <c r="F38" s="48" t="s">
        <v>970</v>
      </c>
      <c r="G38" s="29"/>
      <c r="H38" s="29"/>
      <c r="I38" s="29"/>
      <c r="J38" s="29"/>
      <c r="K38" s="29"/>
      <c r="L38" s="29"/>
      <c r="M38" s="29"/>
      <c r="N38" s="29"/>
      <c r="O38" s="29"/>
      <c r="P38" s="48"/>
      <c r="Q38" s="29"/>
      <c r="R38" s="29"/>
    </row>
    <row r="39" spans="1:18" ht="12.75">
      <c r="A39" s="4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8"/>
      <c r="Q39" s="29"/>
      <c r="R39" s="29"/>
    </row>
    <row r="40" spans="1:18" ht="12.75">
      <c r="A40" s="4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8"/>
      <c r="Q40" s="29"/>
      <c r="R40" s="29"/>
    </row>
    <row r="41" spans="1:18" ht="12.75">
      <c r="A41" s="4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8"/>
      <c r="Q41" s="29"/>
      <c r="R41" s="29"/>
    </row>
    <row r="42" spans="1:18" ht="12.75">
      <c r="A42" s="4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8"/>
      <c r="Q42" s="29"/>
      <c r="R42" s="29"/>
    </row>
    <row r="43" spans="1:18" ht="12.75">
      <c r="A43" s="4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8"/>
      <c r="Q43" s="29"/>
      <c r="R43" s="29"/>
    </row>
    <row r="44" spans="1:18" ht="12.75">
      <c r="A44" s="4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8"/>
      <c r="Q44" s="29"/>
      <c r="R44" s="29"/>
    </row>
  </sheetData>
  <sheetProtection/>
  <mergeCells count="22">
    <mergeCell ref="B6:Q6"/>
    <mergeCell ref="B13:Q13"/>
    <mergeCell ref="B17:Q17"/>
    <mergeCell ref="B20:Q20"/>
    <mergeCell ref="B23:Q23"/>
    <mergeCell ref="B27:C27"/>
    <mergeCell ref="G4:G5"/>
    <mergeCell ref="H4:K4"/>
    <mergeCell ref="L4:O4"/>
    <mergeCell ref="P4:P5"/>
    <mergeCell ref="Q4:Q5"/>
    <mergeCell ref="R4:R5"/>
    <mergeCell ref="A1:A2"/>
    <mergeCell ref="B1:R1"/>
    <mergeCell ref="B2:R2"/>
    <mergeCell ref="B3:R3"/>
    <mergeCell ref="S1:S2"/>
    <mergeCell ref="A4:A5"/>
    <mergeCell ref="B4:B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B6" sqref="B6:Q19"/>
    </sheetView>
  </sheetViews>
  <sheetFormatPr defaultColWidth="11.00390625" defaultRowHeight="12.75"/>
  <cols>
    <col min="1" max="1" width="6.75390625" style="0" customWidth="1"/>
    <col min="2" max="2" width="21.75390625" style="0" customWidth="1"/>
    <col min="3" max="3" width="21.875" style="0" customWidth="1"/>
    <col min="6" max="6" width="16.875" style="0" customWidth="1"/>
    <col min="7" max="7" width="32.125" style="0" customWidth="1"/>
    <col min="8" max="8" width="5.875" style="0" customWidth="1"/>
    <col min="9" max="9" width="5.625" style="0" customWidth="1"/>
    <col min="10" max="10" width="5.125" style="0" customWidth="1"/>
    <col min="11" max="11" width="4.375" style="0" customWidth="1"/>
    <col min="12" max="12" width="4.875" style="0" customWidth="1"/>
    <col min="13" max="13" width="4.75390625" style="0" customWidth="1"/>
    <col min="14" max="14" width="4.625" style="0" customWidth="1"/>
    <col min="15" max="15" width="4.00390625" style="0" customWidth="1"/>
    <col min="16" max="16" width="8.00390625" style="0" customWidth="1"/>
    <col min="18" max="18" width="16.625" style="0" customWidth="1"/>
  </cols>
  <sheetData>
    <row r="1" spans="1:18" ht="57" customHeight="1">
      <c r="A1" s="176"/>
      <c r="B1" s="165" t="s">
        <v>909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</row>
    <row r="2" spans="1:18" ht="33.75" customHeight="1">
      <c r="A2" s="17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69"/>
    </row>
    <row r="3" spans="1:18" ht="30" thickBot="1">
      <c r="A3" s="48"/>
      <c r="B3" s="168" t="s">
        <v>910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</row>
    <row r="4" spans="1:18" ht="13.5">
      <c r="A4" s="154" t="s">
        <v>728</v>
      </c>
      <c r="B4" s="190" t="s">
        <v>0</v>
      </c>
      <c r="C4" s="104" t="s">
        <v>911</v>
      </c>
      <c r="D4" s="156" t="s">
        <v>733</v>
      </c>
      <c r="E4" s="158" t="s">
        <v>913</v>
      </c>
      <c r="F4" s="158" t="s">
        <v>7</v>
      </c>
      <c r="G4" s="158" t="s">
        <v>758</v>
      </c>
      <c r="H4" s="187" t="s">
        <v>2</v>
      </c>
      <c r="I4" s="188"/>
      <c r="J4" s="188"/>
      <c r="K4" s="189"/>
      <c r="L4" s="187" t="s">
        <v>3</v>
      </c>
      <c r="M4" s="188"/>
      <c r="N4" s="188"/>
      <c r="O4" s="189"/>
      <c r="P4" s="158" t="s">
        <v>4</v>
      </c>
      <c r="Q4" s="158" t="s">
        <v>6</v>
      </c>
      <c r="R4" s="160" t="s">
        <v>5</v>
      </c>
    </row>
    <row r="5" spans="1:18" ht="15" thickBot="1">
      <c r="A5" s="177"/>
      <c r="B5" s="185"/>
      <c r="C5" s="103" t="s">
        <v>912</v>
      </c>
      <c r="D5" s="157"/>
      <c r="E5" s="159"/>
      <c r="F5" s="159"/>
      <c r="G5" s="159"/>
      <c r="H5" s="97" t="s">
        <v>729</v>
      </c>
      <c r="I5" s="97" t="s">
        <v>731</v>
      </c>
      <c r="J5" s="97" t="s">
        <v>732</v>
      </c>
      <c r="K5" s="97" t="s">
        <v>8</v>
      </c>
      <c r="L5" s="97" t="s">
        <v>729</v>
      </c>
      <c r="M5" s="97" t="s">
        <v>731</v>
      </c>
      <c r="N5" s="97" t="s">
        <v>732</v>
      </c>
      <c r="O5" s="97" t="s">
        <v>8</v>
      </c>
      <c r="P5" s="159"/>
      <c r="Q5" s="159"/>
      <c r="R5" s="161"/>
    </row>
    <row r="6" spans="1:18" ht="15.75">
      <c r="A6" s="48"/>
      <c r="B6" s="252" t="s">
        <v>153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82"/>
    </row>
    <row r="7" spans="1:18" ht="12.75">
      <c r="A7" s="47" t="s">
        <v>729</v>
      </c>
      <c r="B7" s="253" t="s">
        <v>914</v>
      </c>
      <c r="C7" s="253" t="s">
        <v>915</v>
      </c>
      <c r="D7" s="303" t="s">
        <v>156</v>
      </c>
      <c r="E7" s="253" t="s">
        <v>916</v>
      </c>
      <c r="F7" s="253" t="s">
        <v>16</v>
      </c>
      <c r="G7" s="253" t="s">
        <v>759</v>
      </c>
      <c r="H7" s="304" t="s">
        <v>141</v>
      </c>
      <c r="I7" s="305" t="s">
        <v>151</v>
      </c>
      <c r="J7" s="304" t="s">
        <v>151</v>
      </c>
      <c r="K7" s="306"/>
      <c r="L7" s="304" t="s">
        <v>279</v>
      </c>
      <c r="M7" s="304" t="s">
        <v>253</v>
      </c>
      <c r="N7" s="304" t="s">
        <v>254</v>
      </c>
      <c r="O7" s="306"/>
      <c r="P7" s="307" t="s">
        <v>201</v>
      </c>
      <c r="Q7" s="253" t="s">
        <v>917</v>
      </c>
      <c r="R7" s="99" t="s">
        <v>42</v>
      </c>
    </row>
    <row r="8" spans="1:18" ht="12.75">
      <c r="A8" s="100"/>
      <c r="B8" s="267"/>
      <c r="C8" s="267"/>
      <c r="D8" s="308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5"/>
      <c r="Q8" s="267"/>
      <c r="R8" s="82"/>
    </row>
    <row r="9" spans="1:18" ht="15.75">
      <c r="A9" s="100"/>
      <c r="B9" s="252" t="s">
        <v>12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82"/>
    </row>
    <row r="10" spans="1:18" ht="12.75">
      <c r="A10" s="47" t="s">
        <v>729</v>
      </c>
      <c r="B10" s="256" t="s">
        <v>13</v>
      </c>
      <c r="C10" s="256" t="s">
        <v>14</v>
      </c>
      <c r="D10" s="309" t="s">
        <v>15</v>
      </c>
      <c r="E10" s="256" t="s">
        <v>918</v>
      </c>
      <c r="F10" s="256" t="s">
        <v>16</v>
      </c>
      <c r="G10" s="256" t="s">
        <v>17</v>
      </c>
      <c r="H10" s="310" t="s">
        <v>255</v>
      </c>
      <c r="I10" s="310" t="s">
        <v>138</v>
      </c>
      <c r="J10" s="311" t="s">
        <v>415</v>
      </c>
      <c r="K10" s="312"/>
      <c r="L10" s="310" t="s">
        <v>151</v>
      </c>
      <c r="M10" s="310" t="s">
        <v>136</v>
      </c>
      <c r="N10" s="312"/>
      <c r="O10" s="312"/>
      <c r="P10" s="313" t="s">
        <v>165</v>
      </c>
      <c r="Q10" s="256" t="s">
        <v>919</v>
      </c>
      <c r="R10" s="99" t="s">
        <v>749</v>
      </c>
    </row>
    <row r="11" spans="1:18" ht="12.75">
      <c r="A11" s="100"/>
      <c r="B11" s="267"/>
      <c r="C11" s="267"/>
      <c r="D11" s="308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5"/>
      <c r="Q11" s="267"/>
      <c r="R11" s="82"/>
    </row>
    <row r="12" spans="1:18" ht="15.75">
      <c r="A12" s="100"/>
      <c r="B12" s="252" t="s">
        <v>54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82"/>
    </row>
    <row r="13" spans="1:18" ht="12.75">
      <c r="A13" s="47" t="s">
        <v>729</v>
      </c>
      <c r="B13" s="256" t="s">
        <v>920</v>
      </c>
      <c r="C13" s="256" t="s">
        <v>921</v>
      </c>
      <c r="D13" s="309" t="s">
        <v>335</v>
      </c>
      <c r="E13" s="256" t="s">
        <v>922</v>
      </c>
      <c r="F13" s="256" t="s">
        <v>923</v>
      </c>
      <c r="G13" s="256" t="s">
        <v>924</v>
      </c>
      <c r="H13" s="310" t="s">
        <v>255</v>
      </c>
      <c r="I13" s="310" t="s">
        <v>176</v>
      </c>
      <c r="J13" s="310" t="s">
        <v>143</v>
      </c>
      <c r="K13" s="314"/>
      <c r="L13" s="310" t="s">
        <v>151</v>
      </c>
      <c r="M13" s="310" t="s">
        <v>136</v>
      </c>
      <c r="N13" s="310" t="s">
        <v>137</v>
      </c>
      <c r="O13" s="312"/>
      <c r="P13" s="313" t="s">
        <v>925</v>
      </c>
      <c r="Q13" s="256" t="s">
        <v>926</v>
      </c>
      <c r="R13" s="99" t="s">
        <v>42</v>
      </c>
    </row>
    <row r="14" spans="1:18" ht="12.75">
      <c r="A14" s="100"/>
      <c r="B14" s="267"/>
      <c r="C14" s="267"/>
      <c r="D14" s="308"/>
      <c r="E14" s="267"/>
      <c r="F14" s="267"/>
      <c r="G14" s="267"/>
      <c r="H14" s="315"/>
      <c r="I14" s="315"/>
      <c r="J14" s="315"/>
      <c r="K14" s="315"/>
      <c r="L14" s="315"/>
      <c r="M14" s="315"/>
      <c r="N14" s="315"/>
      <c r="O14" s="267"/>
      <c r="P14" s="265"/>
      <c r="Q14" s="267"/>
      <c r="R14" s="82"/>
    </row>
    <row r="15" spans="1:18" ht="15.75">
      <c r="A15" s="100"/>
      <c r="B15" s="252" t="s">
        <v>61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82"/>
    </row>
    <row r="16" spans="1:18" ht="12.75">
      <c r="A16" s="47" t="s">
        <v>729</v>
      </c>
      <c r="B16" s="256" t="s">
        <v>69</v>
      </c>
      <c r="C16" s="256" t="s">
        <v>70</v>
      </c>
      <c r="D16" s="309" t="s">
        <v>927</v>
      </c>
      <c r="E16" s="256" t="s">
        <v>928</v>
      </c>
      <c r="F16" s="256" t="s">
        <v>72</v>
      </c>
      <c r="G16" s="256" t="s">
        <v>747</v>
      </c>
      <c r="H16" s="310" t="s">
        <v>136</v>
      </c>
      <c r="I16" s="311" t="s">
        <v>255</v>
      </c>
      <c r="J16" s="310" t="s">
        <v>255</v>
      </c>
      <c r="K16" s="314"/>
      <c r="L16" s="310" t="s">
        <v>160</v>
      </c>
      <c r="M16" s="310" t="s">
        <v>136</v>
      </c>
      <c r="N16" s="310" t="s">
        <v>425</v>
      </c>
      <c r="O16" s="312"/>
      <c r="P16" s="313" t="s">
        <v>165</v>
      </c>
      <c r="Q16" s="256" t="s">
        <v>929</v>
      </c>
      <c r="R16" s="99" t="s">
        <v>42</v>
      </c>
    </row>
    <row r="17" spans="1:18" ht="12.75">
      <c r="A17" s="100"/>
      <c r="B17" s="267"/>
      <c r="C17" s="267"/>
      <c r="D17" s="308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5"/>
      <c r="Q17" s="267"/>
      <c r="R17" s="82"/>
    </row>
    <row r="18" spans="1:18" ht="15.75">
      <c r="A18" s="100"/>
      <c r="B18" s="252" t="s">
        <v>76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82"/>
    </row>
    <row r="19" spans="1:18" ht="12.75">
      <c r="A19" s="47" t="s">
        <v>729</v>
      </c>
      <c r="B19" s="256" t="s">
        <v>930</v>
      </c>
      <c r="C19" s="256" t="s">
        <v>931</v>
      </c>
      <c r="D19" s="309" t="s">
        <v>518</v>
      </c>
      <c r="E19" s="256" t="s">
        <v>932</v>
      </c>
      <c r="F19" s="256" t="s">
        <v>722</v>
      </c>
      <c r="G19" s="256" t="s">
        <v>933</v>
      </c>
      <c r="H19" s="310" t="s">
        <v>255</v>
      </c>
      <c r="I19" s="311" t="s">
        <v>143</v>
      </c>
      <c r="J19" s="310" t="s">
        <v>143</v>
      </c>
      <c r="K19" s="312"/>
      <c r="L19" s="310" t="s">
        <v>139</v>
      </c>
      <c r="M19" s="310" t="s">
        <v>151</v>
      </c>
      <c r="N19" s="311" t="s">
        <v>251</v>
      </c>
      <c r="O19" s="312"/>
      <c r="P19" s="313" t="s">
        <v>59</v>
      </c>
      <c r="Q19" s="256" t="s">
        <v>934</v>
      </c>
      <c r="R19" s="99" t="s">
        <v>685</v>
      </c>
    </row>
    <row r="20" spans="1:18" ht="12.75">
      <c r="A20" s="48"/>
      <c r="B20" s="82"/>
      <c r="C20" s="83"/>
      <c r="D20" s="102"/>
      <c r="E20" s="83"/>
      <c r="F20" s="82"/>
      <c r="G20" s="82"/>
      <c r="H20" s="83"/>
      <c r="I20" s="83"/>
      <c r="J20" s="83"/>
      <c r="K20" s="83"/>
      <c r="L20" s="83"/>
      <c r="M20" s="83"/>
      <c r="N20" s="83"/>
      <c r="O20" s="83"/>
      <c r="P20" s="48"/>
      <c r="Q20" s="83"/>
      <c r="R20" s="82"/>
    </row>
    <row r="21" spans="1:18" ht="12.75">
      <c r="A21" s="48"/>
      <c r="B21" s="82"/>
      <c r="C21" s="83"/>
      <c r="D21" s="102"/>
      <c r="E21" s="83"/>
      <c r="F21" s="82"/>
      <c r="G21" s="82"/>
      <c r="H21" s="83"/>
      <c r="I21" s="83"/>
      <c r="J21" s="83"/>
      <c r="K21" s="83"/>
      <c r="L21" s="83"/>
      <c r="M21" s="83"/>
      <c r="N21" s="83"/>
      <c r="O21" s="83"/>
      <c r="P21" s="48"/>
      <c r="Q21" s="83"/>
      <c r="R21" s="82"/>
    </row>
    <row r="22" spans="1:18" ht="12.75">
      <c r="A22" s="48"/>
      <c r="B22" s="82"/>
      <c r="C22" s="83"/>
      <c r="D22" s="102"/>
      <c r="E22" s="83"/>
      <c r="F22" s="82"/>
      <c r="G22" s="82"/>
      <c r="H22" s="83"/>
      <c r="I22" s="83"/>
      <c r="J22" s="83"/>
      <c r="K22" s="83"/>
      <c r="L22" s="83"/>
      <c r="M22" s="83"/>
      <c r="N22" s="83"/>
      <c r="O22" s="83"/>
      <c r="P22" s="48"/>
      <c r="Q22" s="83"/>
      <c r="R22" s="82"/>
    </row>
    <row r="23" spans="1:18" ht="12.75">
      <c r="A23" s="48"/>
      <c r="B23" s="82"/>
      <c r="C23" s="83"/>
      <c r="D23" s="102"/>
      <c r="E23" s="83"/>
      <c r="F23" s="82"/>
      <c r="G23" s="82"/>
      <c r="H23" s="83"/>
      <c r="I23" s="83"/>
      <c r="J23" s="83"/>
      <c r="K23" s="83"/>
      <c r="L23" s="83"/>
      <c r="M23" s="83"/>
      <c r="N23" s="83"/>
      <c r="O23" s="83"/>
      <c r="P23" s="48"/>
      <c r="Q23" s="83"/>
      <c r="R23" s="82"/>
    </row>
    <row r="24" spans="1:18" ht="12.75">
      <c r="A24" s="48"/>
      <c r="B24" s="82"/>
      <c r="C24" s="83"/>
      <c r="D24" s="102"/>
      <c r="E24" s="83"/>
      <c r="F24" s="82"/>
      <c r="G24" s="82"/>
      <c r="H24" s="83"/>
      <c r="I24" s="83"/>
      <c r="J24" s="83"/>
      <c r="K24" s="83"/>
      <c r="L24" s="83"/>
      <c r="M24" s="83"/>
      <c r="N24" s="83"/>
      <c r="O24" s="83"/>
      <c r="P24" s="48"/>
      <c r="Q24" s="83"/>
      <c r="R24" s="82"/>
    </row>
    <row r="25" spans="1:18" ht="12.75">
      <c r="A25" s="48"/>
      <c r="B25" s="82"/>
      <c r="C25" s="83"/>
      <c r="D25" s="102"/>
      <c r="E25" s="83"/>
      <c r="F25" s="82"/>
      <c r="G25" s="82"/>
      <c r="H25" s="83"/>
      <c r="I25" s="83"/>
      <c r="J25" s="83"/>
      <c r="K25" s="83"/>
      <c r="L25" s="83"/>
      <c r="M25" s="83"/>
      <c r="N25" s="83"/>
      <c r="O25" s="83"/>
      <c r="P25" s="48"/>
      <c r="Q25" s="83"/>
      <c r="R25" s="82"/>
    </row>
    <row r="26" spans="1:18" ht="12.75">
      <c r="A26" s="48"/>
      <c r="B26" s="82"/>
      <c r="C26" s="83"/>
      <c r="D26" s="102"/>
      <c r="E26" s="83"/>
      <c r="F26" s="82"/>
      <c r="G26" s="82"/>
      <c r="H26" s="83"/>
      <c r="I26" s="83"/>
      <c r="J26" s="83"/>
      <c r="K26" s="83"/>
      <c r="L26" s="83"/>
      <c r="M26" s="83"/>
      <c r="N26" s="83"/>
      <c r="O26" s="83"/>
      <c r="P26" s="48"/>
      <c r="Q26" s="83"/>
      <c r="R26" s="82"/>
    </row>
    <row r="27" spans="1:18" ht="12.75">
      <c r="A27" s="48"/>
      <c r="B27" s="82"/>
      <c r="C27" s="83"/>
      <c r="D27" s="102"/>
      <c r="E27" s="83"/>
      <c r="F27" s="82"/>
      <c r="G27" s="82"/>
      <c r="H27" s="83"/>
      <c r="I27" s="83"/>
      <c r="J27" s="83"/>
      <c r="K27" s="83"/>
      <c r="L27" s="83"/>
      <c r="M27" s="83"/>
      <c r="N27" s="83"/>
      <c r="O27" s="83"/>
      <c r="P27" s="48"/>
      <c r="Q27" s="83"/>
      <c r="R27" s="82"/>
    </row>
  </sheetData>
  <sheetProtection/>
  <mergeCells count="20">
    <mergeCell ref="B9:Q9"/>
    <mergeCell ref="B12:Q12"/>
    <mergeCell ref="B15:Q15"/>
    <mergeCell ref="B18:Q18"/>
    <mergeCell ref="H4:K4"/>
    <mergeCell ref="L4:O4"/>
    <mergeCell ref="P4:P5"/>
    <mergeCell ref="Q4:Q5"/>
    <mergeCell ref="F4:F5"/>
    <mergeCell ref="G4:G5"/>
    <mergeCell ref="R4:R5"/>
    <mergeCell ref="B6:Q6"/>
    <mergeCell ref="A1:A2"/>
    <mergeCell ref="B1:R1"/>
    <mergeCell ref="B2:R2"/>
    <mergeCell ref="B3:R3"/>
    <mergeCell ref="A4:A5"/>
    <mergeCell ref="B4:B5"/>
    <mergeCell ref="D4:D5"/>
    <mergeCell ref="E4:E5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5" sqref="B5:M9"/>
    </sheetView>
  </sheetViews>
  <sheetFormatPr defaultColWidth="8.75390625" defaultRowHeight="12.75"/>
  <cols>
    <col min="1" max="1" width="6.75390625" style="48" customWidth="1"/>
    <col min="2" max="2" width="22.625" style="29" customWidth="1"/>
    <col min="3" max="3" width="26.375" style="29" customWidth="1"/>
    <col min="4" max="4" width="9.25390625" style="29" customWidth="1"/>
    <col min="5" max="5" width="8.375" style="29" bestFit="1" customWidth="1"/>
    <col min="6" max="6" width="22.75390625" style="29" bestFit="1" customWidth="1"/>
    <col min="7" max="7" width="31.25390625" style="29" bestFit="1" customWidth="1"/>
    <col min="8" max="10" width="5.625" style="29" bestFit="1" customWidth="1"/>
    <col min="11" max="11" width="4.625" style="29" bestFit="1" customWidth="1"/>
    <col min="12" max="12" width="11.25390625" style="48" customWidth="1"/>
    <col min="13" max="13" width="8.625" style="29" bestFit="1" customWidth="1"/>
    <col min="14" max="14" width="17.875" style="29" bestFit="1" customWidth="1"/>
  </cols>
  <sheetData>
    <row r="1" spans="1:14" s="1" customFormat="1" ht="15" customHeight="1">
      <c r="A1" s="45"/>
      <c r="B1" s="194" t="s">
        <v>898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12.5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3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14" t="s">
        <v>34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4" ht="12.75">
      <c r="A6" s="47" t="s">
        <v>729</v>
      </c>
      <c r="B6" s="225" t="s">
        <v>896</v>
      </c>
      <c r="C6" s="225" t="s">
        <v>718</v>
      </c>
      <c r="D6" s="225" t="s">
        <v>207</v>
      </c>
      <c r="E6" s="225" t="str">
        <f>"1,0696"</f>
        <v>1,0696</v>
      </c>
      <c r="F6" s="225" t="s">
        <v>16</v>
      </c>
      <c r="G6" s="225" t="s">
        <v>652</v>
      </c>
      <c r="H6" s="226" t="s">
        <v>24</v>
      </c>
      <c r="I6" s="226" t="s">
        <v>48</v>
      </c>
      <c r="J6" s="226" t="s">
        <v>183</v>
      </c>
      <c r="K6" s="228"/>
      <c r="L6" s="124" t="s">
        <v>983</v>
      </c>
      <c r="M6" s="225" t="str">
        <f>"237,9860"</f>
        <v>237,9860</v>
      </c>
      <c r="N6" s="30" t="s">
        <v>719</v>
      </c>
    </row>
    <row r="7" spans="2:13" ht="12.75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29"/>
    </row>
    <row r="8" spans="1:13" ht="15.75">
      <c r="A8" s="46"/>
      <c r="B8" s="224" t="s">
        <v>76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4" ht="12.75">
      <c r="A9" s="47" t="s">
        <v>729</v>
      </c>
      <c r="B9" s="225" t="s">
        <v>895</v>
      </c>
      <c r="C9" s="225" t="s">
        <v>720</v>
      </c>
      <c r="D9" s="225" t="s">
        <v>721</v>
      </c>
      <c r="E9" s="225" t="str">
        <f>"0,8852"</f>
        <v>0,8852</v>
      </c>
      <c r="F9" s="225" t="s">
        <v>16</v>
      </c>
      <c r="G9" s="225" t="s">
        <v>759</v>
      </c>
      <c r="H9" s="226" t="s">
        <v>68</v>
      </c>
      <c r="I9" s="227" t="s">
        <v>40</v>
      </c>
      <c r="J9" s="228"/>
      <c r="K9" s="228"/>
      <c r="L9" s="124" t="s">
        <v>899</v>
      </c>
      <c r="M9" s="225" t="str">
        <f>"234,5780"</f>
        <v>234,5780</v>
      </c>
      <c r="N9" s="30" t="s">
        <v>42</v>
      </c>
    </row>
  </sheetData>
  <sheetProtection/>
  <mergeCells count="14">
    <mergeCell ref="L3:L4"/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5" sqref="B5:M16"/>
    </sheetView>
  </sheetViews>
  <sheetFormatPr defaultColWidth="8.75390625" defaultRowHeight="12.75"/>
  <cols>
    <col min="1" max="1" width="6.75390625" style="48" customWidth="1"/>
    <col min="2" max="2" width="25.375" style="29" customWidth="1"/>
    <col min="3" max="3" width="26.875" style="29" bestFit="1" customWidth="1"/>
    <col min="4" max="4" width="12.25390625" style="29" bestFit="1" customWidth="1"/>
    <col min="5" max="5" width="12.00390625" style="29" customWidth="1"/>
    <col min="6" max="6" width="21.125" style="29" customWidth="1"/>
    <col min="7" max="7" width="31.375" style="29" customWidth="1"/>
    <col min="8" max="10" width="5.625" style="29" bestFit="1" customWidth="1"/>
    <col min="11" max="11" width="4.625" style="29" bestFit="1" customWidth="1"/>
    <col min="12" max="12" width="7.875" style="48" bestFit="1" customWidth="1"/>
    <col min="13" max="13" width="8.625" style="29" bestFit="1" customWidth="1"/>
    <col min="14" max="14" width="16.625" style="29" bestFit="1" customWidth="1"/>
  </cols>
  <sheetData>
    <row r="1" spans="1:14" s="1" customFormat="1" ht="15" customHeight="1">
      <c r="A1" s="45"/>
      <c r="B1" s="194" t="s">
        <v>892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11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10</v>
      </c>
      <c r="E3" s="204" t="s">
        <v>11</v>
      </c>
      <c r="F3" s="204" t="s">
        <v>7</v>
      </c>
      <c r="G3" s="158" t="s">
        <v>758</v>
      </c>
      <c r="H3" s="204" t="s">
        <v>3</v>
      </c>
      <c r="I3" s="204"/>
      <c r="J3" s="204"/>
      <c r="K3" s="204"/>
      <c r="L3" s="204" t="s">
        <v>4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14" t="s">
        <v>153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4" ht="12.75">
      <c r="A6" s="51" t="s">
        <v>729</v>
      </c>
      <c r="B6" s="231" t="s">
        <v>891</v>
      </c>
      <c r="C6" s="231" t="s">
        <v>683</v>
      </c>
      <c r="D6" s="231" t="s">
        <v>684</v>
      </c>
      <c r="E6" s="231" t="str">
        <f>"1,8210"</f>
        <v>1,8210</v>
      </c>
      <c r="F6" s="231" t="s">
        <v>16</v>
      </c>
      <c r="G6" s="231" t="s">
        <v>897</v>
      </c>
      <c r="H6" s="232" t="s">
        <v>159</v>
      </c>
      <c r="I6" s="239" t="s">
        <v>166</v>
      </c>
      <c r="J6" s="239" t="s">
        <v>259</v>
      </c>
      <c r="K6" s="233"/>
      <c r="L6" s="123" t="s">
        <v>984</v>
      </c>
      <c r="M6" s="231" t="str">
        <f>"241,2825"</f>
        <v>241,2825</v>
      </c>
      <c r="N6" s="32" t="s">
        <v>685</v>
      </c>
    </row>
    <row r="7" spans="1:14" ht="12.75">
      <c r="A7" s="47"/>
      <c r="B7" s="225" t="s">
        <v>686</v>
      </c>
      <c r="C7" s="225" t="s">
        <v>687</v>
      </c>
      <c r="D7" s="225" t="s">
        <v>688</v>
      </c>
      <c r="E7" s="225" t="str">
        <f>"1,7926"</f>
        <v>1,7926</v>
      </c>
      <c r="F7" s="225" t="s">
        <v>648</v>
      </c>
      <c r="G7" s="225" t="s">
        <v>759</v>
      </c>
      <c r="H7" s="227" t="s">
        <v>165</v>
      </c>
      <c r="I7" s="227" t="s">
        <v>165</v>
      </c>
      <c r="J7" s="227" t="s">
        <v>165</v>
      </c>
      <c r="K7" s="228"/>
      <c r="L7" s="84" t="s">
        <v>82</v>
      </c>
      <c r="M7" s="225" t="str">
        <f>"0,0000"</f>
        <v>0,0000</v>
      </c>
      <c r="N7" s="30" t="s">
        <v>649</v>
      </c>
    </row>
    <row r="8" spans="2:13" ht="12.75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229"/>
    </row>
    <row r="9" spans="1:13" ht="15.75">
      <c r="A9" s="46"/>
      <c r="B9" s="224" t="s">
        <v>54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</row>
    <row r="10" spans="1:14" ht="12.75">
      <c r="A10" s="51" t="s">
        <v>729</v>
      </c>
      <c r="B10" s="231" t="s">
        <v>689</v>
      </c>
      <c r="C10" s="231" t="s">
        <v>690</v>
      </c>
      <c r="D10" s="231" t="s">
        <v>691</v>
      </c>
      <c r="E10" s="231" t="str">
        <f>"0,9900"</f>
        <v>0,9900</v>
      </c>
      <c r="F10" s="231" t="s">
        <v>16</v>
      </c>
      <c r="G10" s="225" t="s">
        <v>759</v>
      </c>
      <c r="H10" s="239" t="s">
        <v>53</v>
      </c>
      <c r="I10" s="232" t="s">
        <v>40</v>
      </c>
      <c r="J10" s="232"/>
      <c r="K10" s="233"/>
      <c r="L10" s="123" t="s">
        <v>893</v>
      </c>
      <c r="M10" s="231" t="str">
        <f>"257,4000"</f>
        <v>257,4000</v>
      </c>
      <c r="N10" s="32" t="s">
        <v>692</v>
      </c>
    </row>
    <row r="11" spans="1:14" ht="12.75">
      <c r="A11" s="47" t="s">
        <v>731</v>
      </c>
      <c r="B11" s="225" t="s">
        <v>693</v>
      </c>
      <c r="C11" s="225" t="s">
        <v>694</v>
      </c>
      <c r="D11" s="225" t="s">
        <v>695</v>
      </c>
      <c r="E11" s="225" t="str">
        <f>"0,9932"</f>
        <v>0,9932</v>
      </c>
      <c r="F11" s="225" t="s">
        <v>221</v>
      </c>
      <c r="G11" s="225" t="s">
        <v>222</v>
      </c>
      <c r="H11" s="226" t="s">
        <v>183</v>
      </c>
      <c r="I11" s="227" t="s">
        <v>39</v>
      </c>
      <c r="J11" s="227" t="s">
        <v>39</v>
      </c>
      <c r="K11" s="228"/>
      <c r="L11" s="124" t="s">
        <v>983</v>
      </c>
      <c r="M11" s="225" t="str">
        <f>"220,9870"</f>
        <v>220,9870</v>
      </c>
      <c r="N11" s="30" t="s">
        <v>696</v>
      </c>
    </row>
    <row r="12" spans="2:13" ht="12.75"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  <c r="M12" s="229"/>
    </row>
    <row r="13" spans="1:13" ht="15.75">
      <c r="A13" s="46"/>
      <c r="B13" s="224" t="s">
        <v>61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4" ht="12.75">
      <c r="A14" s="51" t="s">
        <v>729</v>
      </c>
      <c r="B14" s="231" t="s">
        <v>697</v>
      </c>
      <c r="C14" s="231" t="s">
        <v>698</v>
      </c>
      <c r="D14" s="231" t="s">
        <v>699</v>
      </c>
      <c r="E14" s="231" t="str">
        <f>"0,9568"</f>
        <v>0,9568</v>
      </c>
      <c r="F14" s="231" t="s">
        <v>16</v>
      </c>
      <c r="G14" s="231" t="s">
        <v>848</v>
      </c>
      <c r="H14" s="239" t="s">
        <v>166</v>
      </c>
      <c r="I14" s="239" t="s">
        <v>32</v>
      </c>
      <c r="J14" s="239" t="s">
        <v>21</v>
      </c>
      <c r="K14" s="233"/>
      <c r="L14" s="123" t="s">
        <v>812</v>
      </c>
      <c r="M14" s="231" t="str">
        <f>"129,1680"</f>
        <v>129,1680</v>
      </c>
      <c r="N14" s="32" t="s">
        <v>204</v>
      </c>
    </row>
    <row r="15" spans="1:14" ht="12.75">
      <c r="A15" s="47" t="s">
        <v>729</v>
      </c>
      <c r="B15" s="225" t="s">
        <v>700</v>
      </c>
      <c r="C15" s="225" t="s">
        <v>701</v>
      </c>
      <c r="D15" s="225" t="s">
        <v>702</v>
      </c>
      <c r="E15" s="225" t="str">
        <f>"0,9320"</f>
        <v>0,9320</v>
      </c>
      <c r="F15" s="225" t="s">
        <v>16</v>
      </c>
      <c r="G15" s="225" t="s">
        <v>594</v>
      </c>
      <c r="H15" s="227" t="s">
        <v>53</v>
      </c>
      <c r="I15" s="227" t="s">
        <v>53</v>
      </c>
      <c r="J15" s="226" t="s">
        <v>53</v>
      </c>
      <c r="K15" s="228"/>
      <c r="L15" s="124" t="s">
        <v>893</v>
      </c>
      <c r="M15" s="225" t="str">
        <f>"242,3200"</f>
        <v>242,3200</v>
      </c>
      <c r="N15" s="30" t="s">
        <v>894</v>
      </c>
    </row>
    <row r="16" spans="2:13" ht="12.75"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0"/>
      <c r="M16" s="229"/>
    </row>
    <row r="17" spans="1:13" ht="15.75">
      <c r="A17" s="46"/>
      <c r="B17" s="191" t="s">
        <v>76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4" ht="12.75">
      <c r="A18" s="47" t="s">
        <v>729</v>
      </c>
      <c r="B18" s="30" t="s">
        <v>703</v>
      </c>
      <c r="C18" s="30" t="s">
        <v>704</v>
      </c>
      <c r="D18" s="30" t="s">
        <v>523</v>
      </c>
      <c r="E18" s="30" t="str">
        <f>"0,8958"</f>
        <v>0,8958</v>
      </c>
      <c r="F18" s="30" t="s">
        <v>16</v>
      </c>
      <c r="G18" s="30" t="s">
        <v>759</v>
      </c>
      <c r="H18" s="50" t="s">
        <v>20</v>
      </c>
      <c r="I18" s="50" t="s">
        <v>47</v>
      </c>
      <c r="J18" s="49" t="s">
        <v>190</v>
      </c>
      <c r="K18" s="31"/>
      <c r="L18" s="47" t="s">
        <v>821</v>
      </c>
      <c r="M18" s="30" t="str">
        <f>"183,6390"</f>
        <v>183,6390</v>
      </c>
      <c r="N18" s="30" t="s">
        <v>705</v>
      </c>
    </row>
    <row r="19" spans="8:9" ht="12.75">
      <c r="H19" s="60"/>
      <c r="I19" s="60"/>
    </row>
    <row r="20" spans="1:13" ht="15.75">
      <c r="A20" s="46"/>
      <c r="B20" s="191" t="s">
        <v>91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4" ht="12.75">
      <c r="A21" s="51" t="s">
        <v>729</v>
      </c>
      <c r="B21" s="32" t="s">
        <v>706</v>
      </c>
      <c r="C21" s="32" t="s">
        <v>707</v>
      </c>
      <c r="D21" s="32" t="s">
        <v>708</v>
      </c>
      <c r="E21" s="32" t="str">
        <f>"0,8530"</f>
        <v>0,8530</v>
      </c>
      <c r="F21" s="32" t="s">
        <v>16</v>
      </c>
      <c r="G21" s="32" t="s">
        <v>709</v>
      </c>
      <c r="H21" s="55" t="s">
        <v>274</v>
      </c>
      <c r="I21" s="55" t="s">
        <v>710</v>
      </c>
      <c r="J21" s="54" t="s">
        <v>269</v>
      </c>
      <c r="K21" s="33"/>
      <c r="L21" s="51" t="s">
        <v>985</v>
      </c>
      <c r="M21" s="32" t="str">
        <f>"258,0325"</f>
        <v>258,0325</v>
      </c>
      <c r="N21" s="32" t="s">
        <v>42</v>
      </c>
    </row>
    <row r="22" spans="1:14" ht="12.75">
      <c r="A22" s="47" t="s">
        <v>729</v>
      </c>
      <c r="B22" s="30" t="s">
        <v>706</v>
      </c>
      <c r="C22" s="30" t="s">
        <v>711</v>
      </c>
      <c r="D22" s="30" t="s">
        <v>712</v>
      </c>
      <c r="E22" s="30" t="str">
        <f>"0,8530"</f>
        <v>0,8530</v>
      </c>
      <c r="F22" s="30" t="s">
        <v>16</v>
      </c>
      <c r="G22" s="30" t="s">
        <v>709</v>
      </c>
      <c r="H22" s="50" t="s">
        <v>274</v>
      </c>
      <c r="I22" s="50" t="s">
        <v>710</v>
      </c>
      <c r="J22" s="49" t="s">
        <v>269</v>
      </c>
      <c r="K22" s="31"/>
      <c r="L22" s="47" t="s">
        <v>985</v>
      </c>
      <c r="M22" s="30" t="str">
        <f>"258,0325"</f>
        <v>258,0325</v>
      </c>
      <c r="N22" s="30" t="s">
        <v>42</v>
      </c>
    </row>
    <row r="23" ht="12.75">
      <c r="J23" s="61"/>
    </row>
    <row r="24" ht="15.75">
      <c r="F24" s="38"/>
    </row>
    <row r="26" spans="1:3" ht="18">
      <c r="A26" s="57"/>
      <c r="B26" s="85" t="s">
        <v>100</v>
      </c>
      <c r="C26" s="39"/>
    </row>
    <row r="27" ht="15.75">
      <c r="B27" s="86" t="s">
        <v>101</v>
      </c>
    </row>
    <row r="28" spans="1:3" ht="15.75">
      <c r="A28" s="58"/>
      <c r="B28" s="87" t="s">
        <v>108</v>
      </c>
      <c r="C28" s="40"/>
    </row>
    <row r="29" spans="1:6" ht="13.5">
      <c r="A29" s="43"/>
      <c r="B29" s="93" t="s">
        <v>102</v>
      </c>
      <c r="C29" s="93" t="s">
        <v>103</v>
      </c>
      <c r="D29" s="93" t="s">
        <v>104</v>
      </c>
      <c r="E29" s="93" t="s">
        <v>730</v>
      </c>
      <c r="F29" s="93" t="s">
        <v>106</v>
      </c>
    </row>
    <row r="30" spans="1:6" ht="12.75">
      <c r="A30" s="48" t="s">
        <v>729</v>
      </c>
      <c r="B30" s="41" t="s">
        <v>706</v>
      </c>
      <c r="C30" s="83" t="s">
        <v>108</v>
      </c>
      <c r="D30" s="83" t="s">
        <v>115</v>
      </c>
      <c r="E30" s="83" t="s">
        <v>710</v>
      </c>
      <c r="F30" s="48" t="s">
        <v>713</v>
      </c>
    </row>
    <row r="31" spans="1:6" ht="12.75">
      <c r="A31" s="48" t="s">
        <v>731</v>
      </c>
      <c r="B31" s="41" t="s">
        <v>689</v>
      </c>
      <c r="C31" s="83" t="s">
        <v>108</v>
      </c>
      <c r="D31" s="83" t="s">
        <v>107</v>
      </c>
      <c r="E31" s="83" t="s">
        <v>53</v>
      </c>
      <c r="F31" s="48" t="s">
        <v>714</v>
      </c>
    </row>
    <row r="32" spans="1:6" ht="12.75">
      <c r="A32" s="48" t="s">
        <v>732</v>
      </c>
      <c r="B32" s="41" t="s">
        <v>700</v>
      </c>
      <c r="C32" s="83" t="s">
        <v>108</v>
      </c>
      <c r="D32" s="83" t="s">
        <v>112</v>
      </c>
      <c r="E32" s="83" t="s">
        <v>53</v>
      </c>
      <c r="F32" s="48" t="s">
        <v>715</v>
      </c>
    </row>
    <row r="33" spans="2:6" ht="12.75">
      <c r="B33" s="41" t="s">
        <v>693</v>
      </c>
      <c r="C33" s="83" t="s">
        <v>108</v>
      </c>
      <c r="D33" s="83" t="s">
        <v>107</v>
      </c>
      <c r="E33" s="83" t="s">
        <v>183</v>
      </c>
      <c r="F33" s="48" t="s">
        <v>716</v>
      </c>
    </row>
    <row r="34" spans="2:6" ht="12.75">
      <c r="B34" s="41" t="s">
        <v>703</v>
      </c>
      <c r="C34" s="83" t="s">
        <v>108</v>
      </c>
      <c r="D34" s="83" t="s">
        <v>383</v>
      </c>
      <c r="E34" s="83" t="s">
        <v>47</v>
      </c>
      <c r="F34" s="48" t="s">
        <v>717</v>
      </c>
    </row>
  </sheetData>
  <sheetProtection/>
  <mergeCells count="17">
    <mergeCell ref="B17:M17"/>
    <mergeCell ref="B20:M20"/>
    <mergeCell ref="A3:A4"/>
    <mergeCell ref="L3:L4"/>
    <mergeCell ref="M3:M4"/>
    <mergeCell ref="N3:N4"/>
    <mergeCell ref="B5:M5"/>
    <mergeCell ref="B9:M9"/>
    <mergeCell ref="B13:M13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3">
      <selection activeCell="B5" sqref="B5:M43"/>
    </sheetView>
  </sheetViews>
  <sheetFormatPr defaultColWidth="8.75390625" defaultRowHeight="12.75"/>
  <cols>
    <col min="1" max="1" width="6.75390625" style="48" customWidth="1"/>
    <col min="2" max="2" width="25.75390625" style="29" customWidth="1"/>
    <col min="3" max="3" width="26.875" style="29" bestFit="1" customWidth="1"/>
    <col min="4" max="4" width="12.25390625" style="29" bestFit="1" customWidth="1"/>
    <col min="5" max="5" width="12.75390625" style="29" customWidth="1"/>
    <col min="6" max="6" width="17.00390625" style="29" customWidth="1"/>
    <col min="7" max="7" width="35.875" style="29" customWidth="1"/>
    <col min="8" max="10" width="5.625" style="29" bestFit="1" customWidth="1"/>
    <col min="11" max="11" width="4.625" style="29" bestFit="1" customWidth="1"/>
    <col min="12" max="12" width="11.25390625" style="48" customWidth="1"/>
    <col min="13" max="13" width="8.625" style="29" bestFit="1" customWidth="1"/>
    <col min="14" max="14" width="19.625" style="29" bestFit="1" customWidth="1"/>
  </cols>
  <sheetData>
    <row r="1" spans="1:14" s="1" customFormat="1" ht="15" customHeight="1">
      <c r="A1" s="45"/>
      <c r="B1" s="194" t="s">
        <v>869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s="1" customFormat="1" ht="111" customHeight="1" thickBot="1">
      <c r="A2" s="4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92" t="s">
        <v>728</v>
      </c>
      <c r="B3" s="199" t="s">
        <v>0</v>
      </c>
      <c r="C3" s="201" t="s">
        <v>9</v>
      </c>
      <c r="D3" s="201" t="s">
        <v>733</v>
      </c>
      <c r="E3" s="204" t="s">
        <v>11</v>
      </c>
      <c r="F3" s="204" t="s">
        <v>7</v>
      </c>
      <c r="G3" s="158" t="s">
        <v>758</v>
      </c>
      <c r="H3" s="204" t="s">
        <v>3</v>
      </c>
      <c r="I3" s="204"/>
      <c r="J3" s="204"/>
      <c r="K3" s="204"/>
      <c r="L3" s="204" t="s">
        <v>730</v>
      </c>
      <c r="M3" s="204" t="s">
        <v>6</v>
      </c>
      <c r="N3" s="205" t="s">
        <v>5</v>
      </c>
    </row>
    <row r="4" spans="1:14" s="2" customFormat="1" ht="21" customHeight="1" thickBot="1">
      <c r="A4" s="193"/>
      <c r="B4" s="200"/>
      <c r="C4" s="202"/>
      <c r="D4" s="203"/>
      <c r="E4" s="202"/>
      <c r="F4" s="202"/>
      <c r="G4" s="159"/>
      <c r="H4" s="3">
        <v>1</v>
      </c>
      <c r="I4" s="3">
        <v>2</v>
      </c>
      <c r="J4" s="3">
        <v>3</v>
      </c>
      <c r="K4" s="3" t="s">
        <v>8</v>
      </c>
      <c r="L4" s="202"/>
      <c r="M4" s="202"/>
      <c r="N4" s="206"/>
    </row>
    <row r="5" spans="1:13" ht="15.75">
      <c r="A5" s="46"/>
      <c r="B5" s="214" t="s">
        <v>153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4" ht="12.75">
      <c r="A6" s="47" t="s">
        <v>729</v>
      </c>
      <c r="B6" s="225" t="s">
        <v>982</v>
      </c>
      <c r="C6" s="225" t="s">
        <v>635</v>
      </c>
      <c r="D6" s="225" t="s">
        <v>291</v>
      </c>
      <c r="E6" s="225" t="str">
        <f>"1,7830"</f>
        <v>1,7830</v>
      </c>
      <c r="F6" s="225" t="s">
        <v>16</v>
      </c>
      <c r="G6" s="225" t="s">
        <v>759</v>
      </c>
      <c r="H6" s="227" t="s">
        <v>23</v>
      </c>
      <c r="I6" s="300" t="s">
        <v>23</v>
      </c>
      <c r="J6" s="300" t="s">
        <v>59</v>
      </c>
      <c r="K6" s="228"/>
      <c r="L6" s="124" t="s">
        <v>810</v>
      </c>
      <c r="M6" s="225" t="str">
        <f>"285,2800"</f>
        <v>285,2800</v>
      </c>
      <c r="N6" s="30" t="s">
        <v>636</v>
      </c>
    </row>
    <row r="7" spans="2:13" ht="12.75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29"/>
    </row>
    <row r="8" spans="1:13" ht="15.75">
      <c r="A8" s="46"/>
      <c r="B8" s="224" t="s">
        <v>284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4" ht="12.75">
      <c r="A9" s="47" t="s">
        <v>729</v>
      </c>
      <c r="B9" s="225" t="s">
        <v>637</v>
      </c>
      <c r="C9" s="225" t="s">
        <v>638</v>
      </c>
      <c r="D9" s="225" t="s">
        <v>639</v>
      </c>
      <c r="E9" s="225" t="str">
        <f>"1,6324"</f>
        <v>1,6324</v>
      </c>
      <c r="F9" s="225" t="s">
        <v>640</v>
      </c>
      <c r="G9" s="225" t="s">
        <v>641</v>
      </c>
      <c r="H9" s="300" t="s">
        <v>159</v>
      </c>
      <c r="I9" s="300" t="s">
        <v>166</v>
      </c>
      <c r="J9" s="227" t="s">
        <v>32</v>
      </c>
      <c r="K9" s="228"/>
      <c r="L9" s="124" t="s">
        <v>814</v>
      </c>
      <c r="M9" s="225" t="str">
        <f>"195,8880"</f>
        <v>195,8880</v>
      </c>
      <c r="N9" s="30" t="s">
        <v>889</v>
      </c>
    </row>
    <row r="10" spans="2:13" ht="12.75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229"/>
    </row>
    <row r="11" spans="1:13" ht="15.75">
      <c r="A11" s="46"/>
      <c r="B11" s="224" t="s">
        <v>197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4" ht="12.75">
      <c r="A12" s="47" t="s">
        <v>729</v>
      </c>
      <c r="B12" s="225" t="s">
        <v>870</v>
      </c>
      <c r="C12" s="225" t="s">
        <v>643</v>
      </c>
      <c r="D12" s="225" t="s">
        <v>644</v>
      </c>
      <c r="E12" s="225" t="str">
        <f>"1,2428"</f>
        <v>1,2428</v>
      </c>
      <c r="F12" s="225" t="s">
        <v>16</v>
      </c>
      <c r="G12" s="225" t="s">
        <v>79</v>
      </c>
      <c r="H12" s="227" t="s">
        <v>19</v>
      </c>
      <c r="I12" s="300" t="s">
        <v>19</v>
      </c>
      <c r="J12" s="227" t="s">
        <v>20</v>
      </c>
      <c r="K12" s="228"/>
      <c r="L12" s="124" t="s">
        <v>818</v>
      </c>
      <c r="M12" s="225" t="str">
        <f>"223,7040"</f>
        <v>223,7040</v>
      </c>
      <c r="N12" s="30" t="s">
        <v>42</v>
      </c>
    </row>
    <row r="13" spans="2:13" ht="12.75"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229"/>
    </row>
    <row r="14" spans="1:13" ht="15.75">
      <c r="A14" s="46"/>
      <c r="B14" s="224" t="s">
        <v>54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</row>
    <row r="15" spans="1:14" ht="12.75">
      <c r="A15" s="47" t="s">
        <v>729</v>
      </c>
      <c r="B15" s="225" t="s">
        <v>871</v>
      </c>
      <c r="C15" s="225" t="s">
        <v>646</v>
      </c>
      <c r="D15" s="225" t="s">
        <v>647</v>
      </c>
      <c r="E15" s="225" t="str">
        <f>"0,9996"</f>
        <v>0,9996</v>
      </c>
      <c r="F15" s="225" t="s">
        <v>648</v>
      </c>
      <c r="G15" s="225" t="s">
        <v>759</v>
      </c>
      <c r="H15" s="300" t="s">
        <v>190</v>
      </c>
      <c r="I15" s="300" t="s">
        <v>38</v>
      </c>
      <c r="J15" s="227" t="s">
        <v>39</v>
      </c>
      <c r="K15" s="228"/>
      <c r="L15" s="124" t="s">
        <v>881</v>
      </c>
      <c r="M15" s="225" t="str">
        <f>"229,9080"</f>
        <v>229,9080</v>
      </c>
      <c r="N15" s="30" t="s">
        <v>649</v>
      </c>
    </row>
    <row r="16" spans="2:13" ht="12.75"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0"/>
      <c r="M16" s="229"/>
    </row>
    <row r="17" spans="1:13" ht="15.75">
      <c r="A17" s="46"/>
      <c r="B17" s="224" t="s">
        <v>61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</row>
    <row r="18" spans="1:14" ht="12.75">
      <c r="A18" s="51" t="s">
        <v>729</v>
      </c>
      <c r="B18" s="231" t="s">
        <v>872</v>
      </c>
      <c r="C18" s="231" t="s">
        <v>224</v>
      </c>
      <c r="D18" s="231" t="s">
        <v>225</v>
      </c>
      <c r="E18" s="231" t="str">
        <f>"0,9166"</f>
        <v>0,9166</v>
      </c>
      <c r="F18" s="231" t="s">
        <v>16</v>
      </c>
      <c r="G18" s="231" t="s">
        <v>226</v>
      </c>
      <c r="H18" s="301" t="s">
        <v>227</v>
      </c>
      <c r="I18" s="232" t="s">
        <v>228</v>
      </c>
      <c r="J18" s="233"/>
      <c r="K18" s="233"/>
      <c r="L18" s="123" t="s">
        <v>882</v>
      </c>
      <c r="M18" s="231" t="str">
        <f>"316,2270"</f>
        <v>316,2270</v>
      </c>
      <c r="N18" s="32" t="s">
        <v>42</v>
      </c>
    </row>
    <row r="19" spans="1:14" ht="12.75">
      <c r="A19" s="47" t="s">
        <v>731</v>
      </c>
      <c r="B19" s="225" t="s">
        <v>873</v>
      </c>
      <c r="C19" s="225" t="s">
        <v>70</v>
      </c>
      <c r="D19" s="225" t="s">
        <v>71</v>
      </c>
      <c r="E19" s="225" t="str">
        <f>"0,9214"</f>
        <v>0,9214</v>
      </c>
      <c r="F19" s="225" t="s">
        <v>72</v>
      </c>
      <c r="G19" s="225" t="s">
        <v>879</v>
      </c>
      <c r="H19" s="300" t="s">
        <v>20</v>
      </c>
      <c r="I19" s="300" t="s">
        <v>24</v>
      </c>
      <c r="J19" s="300" t="s">
        <v>74</v>
      </c>
      <c r="K19" s="228"/>
      <c r="L19" s="124" t="s">
        <v>817</v>
      </c>
      <c r="M19" s="225" t="str">
        <f>"193,4940"</f>
        <v>193,4940</v>
      </c>
      <c r="N19" s="30" t="s">
        <v>42</v>
      </c>
    </row>
    <row r="20" spans="2:13" ht="12.7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30"/>
      <c r="M20" s="229"/>
    </row>
    <row r="21" spans="1:13" ht="15.75">
      <c r="A21" s="46"/>
      <c r="B21" s="224" t="s">
        <v>76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</row>
    <row r="22" spans="1:14" ht="12.75">
      <c r="A22" s="51" t="s">
        <v>729</v>
      </c>
      <c r="B22" s="231" t="s">
        <v>874</v>
      </c>
      <c r="C22" s="231" t="s">
        <v>651</v>
      </c>
      <c r="D22" s="231" t="s">
        <v>532</v>
      </c>
      <c r="E22" s="231" t="str">
        <f>"0,8924"</f>
        <v>0,8924</v>
      </c>
      <c r="F22" s="231" t="s">
        <v>16</v>
      </c>
      <c r="G22" s="231" t="s">
        <v>652</v>
      </c>
      <c r="H22" s="301" t="s">
        <v>653</v>
      </c>
      <c r="I22" s="232" t="s">
        <v>654</v>
      </c>
      <c r="J22" s="233"/>
      <c r="K22" s="233"/>
      <c r="L22" s="123" t="s">
        <v>883</v>
      </c>
      <c r="M22" s="231" t="str">
        <f>"312,3400"</f>
        <v>312,3400</v>
      </c>
      <c r="N22" s="32" t="s">
        <v>655</v>
      </c>
    </row>
    <row r="23" spans="1:14" ht="12.75">
      <c r="A23" s="47" t="s">
        <v>731</v>
      </c>
      <c r="B23" s="225" t="s">
        <v>875</v>
      </c>
      <c r="C23" s="225" t="s">
        <v>657</v>
      </c>
      <c r="D23" s="225" t="s">
        <v>78</v>
      </c>
      <c r="E23" s="225" t="str">
        <f>"0,8940"</f>
        <v>0,8940</v>
      </c>
      <c r="F23" s="225" t="s">
        <v>519</v>
      </c>
      <c r="G23" s="225" t="s">
        <v>759</v>
      </c>
      <c r="H23" s="300" t="s">
        <v>68</v>
      </c>
      <c r="I23" s="300" t="s">
        <v>66</v>
      </c>
      <c r="J23" s="227" t="s">
        <v>60</v>
      </c>
      <c r="K23" s="228"/>
      <c r="L23" s="124" t="s">
        <v>884</v>
      </c>
      <c r="M23" s="225" t="str">
        <f>"250,3200"</f>
        <v>250,3200</v>
      </c>
      <c r="N23" s="30" t="s">
        <v>42</v>
      </c>
    </row>
    <row r="24" spans="1:14" ht="12.75">
      <c r="A24" s="62"/>
      <c r="B24" s="234" t="s">
        <v>880</v>
      </c>
      <c r="C24" s="234" t="s">
        <v>77</v>
      </c>
      <c r="D24" s="234" t="s">
        <v>78</v>
      </c>
      <c r="E24" s="234" t="str">
        <f>"0,8940"</f>
        <v>0,8940</v>
      </c>
      <c r="F24" s="234" t="s">
        <v>16</v>
      </c>
      <c r="G24" s="234" t="s">
        <v>79</v>
      </c>
      <c r="H24" s="293" t="s">
        <v>1301</v>
      </c>
      <c r="I24" s="237"/>
      <c r="J24" s="237"/>
      <c r="K24" s="237"/>
      <c r="L24" s="92" t="s">
        <v>82</v>
      </c>
      <c r="M24" s="234" t="str">
        <f>"0,0000"</f>
        <v>0,0000</v>
      </c>
      <c r="N24" s="36" t="s">
        <v>42</v>
      </c>
    </row>
    <row r="25" spans="1:14" ht="12.75">
      <c r="A25" s="47"/>
      <c r="B25" s="225" t="s">
        <v>880</v>
      </c>
      <c r="C25" s="225" t="s">
        <v>83</v>
      </c>
      <c r="D25" s="225" t="s">
        <v>78</v>
      </c>
      <c r="E25" s="225" t="str">
        <f>"0,8940"</f>
        <v>0,8940</v>
      </c>
      <c r="F25" s="225" t="s">
        <v>16</v>
      </c>
      <c r="G25" s="225" t="s">
        <v>79</v>
      </c>
      <c r="H25" s="227"/>
      <c r="I25" s="228"/>
      <c r="J25" s="228"/>
      <c r="K25" s="228"/>
      <c r="L25" s="84" t="s">
        <v>82</v>
      </c>
      <c r="M25" s="225" t="str">
        <f>"0,0000"</f>
        <v>0,0000</v>
      </c>
      <c r="N25" s="30" t="s">
        <v>42</v>
      </c>
    </row>
    <row r="26" spans="2:13" ht="12.75"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229"/>
    </row>
    <row r="27" spans="1:13" ht="15.75">
      <c r="A27" s="46"/>
      <c r="B27" s="224" t="s">
        <v>84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4" ht="12.75">
      <c r="A28" s="51" t="s">
        <v>729</v>
      </c>
      <c r="B28" s="231" t="s">
        <v>658</v>
      </c>
      <c r="C28" s="231" t="s">
        <v>659</v>
      </c>
      <c r="D28" s="231" t="s">
        <v>660</v>
      </c>
      <c r="E28" s="231" t="str">
        <f>"0,8610"</f>
        <v>0,8610</v>
      </c>
      <c r="F28" s="231" t="s">
        <v>661</v>
      </c>
      <c r="G28" s="231" t="s">
        <v>662</v>
      </c>
      <c r="H28" s="301" t="s">
        <v>18</v>
      </c>
      <c r="I28" s="301" t="s">
        <v>19</v>
      </c>
      <c r="J28" s="232" t="s">
        <v>20</v>
      </c>
      <c r="K28" s="233"/>
      <c r="L28" s="123" t="s">
        <v>818</v>
      </c>
      <c r="M28" s="231" t="str">
        <f>"154,9800"</f>
        <v>154,9800</v>
      </c>
      <c r="N28" s="32" t="s">
        <v>888</v>
      </c>
    </row>
    <row r="29" spans="1:14" ht="12.75">
      <c r="A29" s="47" t="s">
        <v>729</v>
      </c>
      <c r="B29" s="225" t="s">
        <v>876</v>
      </c>
      <c r="C29" s="225" t="s">
        <v>664</v>
      </c>
      <c r="D29" s="225" t="s">
        <v>665</v>
      </c>
      <c r="E29" s="225" t="str">
        <f>"0,8790"</f>
        <v>0,8790</v>
      </c>
      <c r="F29" s="225" t="s">
        <v>16</v>
      </c>
      <c r="G29" s="225" t="s">
        <v>759</v>
      </c>
      <c r="H29" s="300" t="s">
        <v>89</v>
      </c>
      <c r="I29" s="227" t="s">
        <v>235</v>
      </c>
      <c r="J29" s="227" t="s">
        <v>235</v>
      </c>
      <c r="K29" s="228"/>
      <c r="L29" s="124" t="s">
        <v>885</v>
      </c>
      <c r="M29" s="225" t="str">
        <f>"263,7000"</f>
        <v>263,7000</v>
      </c>
      <c r="N29" s="30" t="s">
        <v>42</v>
      </c>
    </row>
    <row r="30" spans="2:13" ht="12.75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M30" s="229"/>
    </row>
    <row r="31" spans="1:13" ht="15.75">
      <c r="A31" s="46"/>
      <c r="B31" s="224" t="s">
        <v>91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</row>
    <row r="32" spans="1:14" ht="12.75">
      <c r="A32" s="47" t="s">
        <v>729</v>
      </c>
      <c r="B32" s="225" t="s">
        <v>878</v>
      </c>
      <c r="C32" s="225" t="s">
        <v>666</v>
      </c>
      <c r="D32" s="225" t="s">
        <v>667</v>
      </c>
      <c r="E32" s="225" t="str">
        <f>"0,8440"</f>
        <v>0,8440</v>
      </c>
      <c r="F32" s="225" t="s">
        <v>16</v>
      </c>
      <c r="G32" s="225" t="s">
        <v>328</v>
      </c>
      <c r="H32" s="300" t="s">
        <v>653</v>
      </c>
      <c r="I32" s="300" t="s">
        <v>668</v>
      </c>
      <c r="J32" s="227" t="s">
        <v>669</v>
      </c>
      <c r="K32" s="228"/>
      <c r="L32" s="124" t="s">
        <v>886</v>
      </c>
      <c r="M32" s="225" t="str">
        <f>"313,8414"</f>
        <v>313,8414</v>
      </c>
      <c r="N32" s="30" t="s">
        <v>42</v>
      </c>
    </row>
    <row r="33" spans="2:13" ht="12.75"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30"/>
      <c r="M33" s="229"/>
    </row>
    <row r="34" spans="1:13" ht="15.75">
      <c r="A34" s="46"/>
      <c r="B34" s="224" t="s">
        <v>543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</row>
    <row r="35" spans="1:14" ht="12.75">
      <c r="A35" s="47" t="s">
        <v>729</v>
      </c>
      <c r="B35" s="225" t="s">
        <v>877</v>
      </c>
      <c r="C35" s="225" t="s">
        <v>670</v>
      </c>
      <c r="D35" s="225" t="s">
        <v>671</v>
      </c>
      <c r="E35" s="225" t="str">
        <f>"0,8380"</f>
        <v>0,8380</v>
      </c>
      <c r="F35" s="225" t="s">
        <v>672</v>
      </c>
      <c r="G35" s="225" t="s">
        <v>429</v>
      </c>
      <c r="H35" s="300" t="s">
        <v>235</v>
      </c>
      <c r="I35" s="300" t="s">
        <v>673</v>
      </c>
      <c r="J35" s="227" t="s">
        <v>653</v>
      </c>
      <c r="K35" s="228"/>
      <c r="L35" s="124" t="s">
        <v>887</v>
      </c>
      <c r="M35" s="225" t="str">
        <f>"276,5400"</f>
        <v>276,5400</v>
      </c>
      <c r="N35" s="30" t="s">
        <v>674</v>
      </c>
    </row>
    <row r="36" spans="2:13" ht="12.7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30"/>
      <c r="M36" s="229"/>
    </row>
    <row r="37" spans="2:13" ht="12.75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30"/>
      <c r="M37" s="229"/>
    </row>
    <row r="38" spans="1:13" ht="18">
      <c r="A38" s="57"/>
      <c r="B38" s="257" t="s">
        <v>100</v>
      </c>
      <c r="C38" s="258"/>
      <c r="D38" s="229"/>
      <c r="E38" s="229"/>
      <c r="F38" s="229"/>
      <c r="G38" s="229"/>
      <c r="H38" s="229"/>
      <c r="I38" s="229"/>
      <c r="J38" s="229"/>
      <c r="K38" s="229"/>
      <c r="L38" s="230"/>
      <c r="M38" s="229"/>
    </row>
    <row r="39" spans="1:13" ht="15.75">
      <c r="A39" s="58"/>
      <c r="B39" s="259" t="s">
        <v>101</v>
      </c>
      <c r="C39" s="260"/>
      <c r="D39" s="229"/>
      <c r="E39" s="229"/>
      <c r="F39" s="229"/>
      <c r="G39" s="229"/>
      <c r="H39" s="229"/>
      <c r="I39" s="229"/>
      <c r="J39" s="229"/>
      <c r="K39" s="229"/>
      <c r="L39" s="230"/>
      <c r="M39" s="229"/>
    </row>
    <row r="40" spans="1:13" ht="13.5">
      <c r="A40" s="59"/>
      <c r="B40" s="302" t="s">
        <v>108</v>
      </c>
      <c r="C40" s="262"/>
      <c r="D40" s="229"/>
      <c r="E40" s="229"/>
      <c r="F40" s="229"/>
      <c r="G40" s="229"/>
      <c r="H40" s="229"/>
      <c r="I40" s="229"/>
      <c r="J40" s="229"/>
      <c r="K40" s="229"/>
      <c r="L40" s="230"/>
      <c r="M40" s="229"/>
    </row>
    <row r="41" spans="1:13" ht="13.5">
      <c r="A41" s="43"/>
      <c r="B41" s="27" t="s">
        <v>102</v>
      </c>
      <c r="C41" s="27" t="s">
        <v>103</v>
      </c>
      <c r="D41" s="27" t="s">
        <v>104</v>
      </c>
      <c r="E41" s="27" t="s">
        <v>730</v>
      </c>
      <c r="F41" s="27" t="s">
        <v>106</v>
      </c>
      <c r="G41" s="229"/>
      <c r="H41" s="229"/>
      <c r="I41" s="229"/>
      <c r="J41" s="229"/>
      <c r="K41" s="229"/>
      <c r="L41" s="230"/>
      <c r="M41" s="229"/>
    </row>
    <row r="42" spans="1:13" ht="12.75">
      <c r="A42" s="48" t="s">
        <v>729</v>
      </c>
      <c r="B42" s="223" t="s">
        <v>223</v>
      </c>
      <c r="C42" s="251" t="s">
        <v>108</v>
      </c>
      <c r="D42" s="251" t="s">
        <v>112</v>
      </c>
      <c r="E42" s="251" t="s">
        <v>227</v>
      </c>
      <c r="F42" s="230" t="s">
        <v>675</v>
      </c>
      <c r="G42" s="229"/>
      <c r="H42" s="229"/>
      <c r="I42" s="229"/>
      <c r="J42" s="229"/>
      <c r="K42" s="229"/>
      <c r="L42" s="230"/>
      <c r="M42" s="229"/>
    </row>
    <row r="43" spans="1:13" ht="12.75">
      <c r="A43" s="48" t="s">
        <v>731</v>
      </c>
      <c r="B43" s="223" t="s">
        <v>650</v>
      </c>
      <c r="C43" s="251" t="s">
        <v>108</v>
      </c>
      <c r="D43" s="251" t="s">
        <v>383</v>
      </c>
      <c r="E43" s="251" t="s">
        <v>653</v>
      </c>
      <c r="F43" s="230" t="s">
        <v>676</v>
      </c>
      <c r="G43" s="229"/>
      <c r="H43" s="229"/>
      <c r="I43" s="229"/>
      <c r="J43" s="229"/>
      <c r="K43" s="229"/>
      <c r="L43" s="230"/>
      <c r="M43" s="229"/>
    </row>
    <row r="44" spans="1:6" ht="12.75">
      <c r="A44" s="48" t="s">
        <v>732</v>
      </c>
      <c r="B44" s="41" t="s">
        <v>663</v>
      </c>
      <c r="C44" s="83" t="s">
        <v>108</v>
      </c>
      <c r="D44" s="83" t="s">
        <v>118</v>
      </c>
      <c r="E44" s="83" t="s">
        <v>89</v>
      </c>
      <c r="F44" s="48" t="s">
        <v>677</v>
      </c>
    </row>
    <row r="45" spans="2:6" ht="12.75">
      <c r="B45" s="41" t="s">
        <v>656</v>
      </c>
      <c r="C45" s="83" t="s">
        <v>108</v>
      </c>
      <c r="D45" s="83" t="s">
        <v>383</v>
      </c>
      <c r="E45" s="83" t="s">
        <v>66</v>
      </c>
      <c r="F45" s="48" t="s">
        <v>678</v>
      </c>
    </row>
    <row r="46" spans="2:6" ht="12.75">
      <c r="B46" s="41" t="s">
        <v>645</v>
      </c>
      <c r="C46" s="83" t="s">
        <v>108</v>
      </c>
      <c r="D46" s="83" t="s">
        <v>107</v>
      </c>
      <c r="E46" s="83" t="s">
        <v>38</v>
      </c>
      <c r="F46" s="48" t="s">
        <v>679</v>
      </c>
    </row>
    <row r="47" spans="2:6" ht="12.75">
      <c r="B47" s="41" t="s">
        <v>642</v>
      </c>
      <c r="C47" s="83" t="s">
        <v>108</v>
      </c>
      <c r="D47" s="83" t="s">
        <v>244</v>
      </c>
      <c r="E47" s="83" t="s">
        <v>19</v>
      </c>
      <c r="F47" s="48" t="s">
        <v>680</v>
      </c>
    </row>
    <row r="48" spans="2:6" ht="12.75">
      <c r="B48" s="41" t="s">
        <v>69</v>
      </c>
      <c r="C48" s="83" t="s">
        <v>108</v>
      </c>
      <c r="D48" s="83" t="s">
        <v>112</v>
      </c>
      <c r="E48" s="83" t="s">
        <v>74</v>
      </c>
      <c r="F48" s="48" t="s">
        <v>681</v>
      </c>
    </row>
    <row r="49" spans="3:6" ht="12.75">
      <c r="C49" s="83"/>
      <c r="D49" s="83"/>
      <c r="E49" s="83"/>
      <c r="F49" s="83"/>
    </row>
  </sheetData>
  <sheetProtection/>
  <mergeCells count="21">
    <mergeCell ref="A3:A4"/>
    <mergeCell ref="B14:M14"/>
    <mergeCell ref="B17:M17"/>
    <mergeCell ref="B21:M21"/>
    <mergeCell ref="B27:M27"/>
    <mergeCell ref="B31:M31"/>
    <mergeCell ref="B34:M3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2015-08-21T18:13:35Z</dcterms:modified>
  <cp:category/>
  <cp:version/>
  <cp:contentType/>
  <cp:contentStatus/>
</cp:coreProperties>
</file>