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27" activeTab="27"/>
  </bookViews>
  <sheets>
    <sheet name="Пауэрспорт ДК" sheetId="1" r:id="rId1"/>
    <sheet name="Пауэрспорт" sheetId="2" r:id="rId2"/>
    <sheet name="Тяга в экипировке ДК" sheetId="3" r:id="rId3"/>
    <sheet name="Тяга в экипировке" sheetId="4" r:id="rId4"/>
    <sheet name="Тяга без экипировки ДК" sheetId="5" r:id="rId5"/>
    <sheet name="Тяга без экипировки" sheetId="6" r:id="rId6"/>
    <sheet name="Жим лежа СФО" sheetId="7" r:id="rId7"/>
    <sheet name="Жим многослой ДК" sheetId="8" r:id="rId8"/>
    <sheet name="Жим многослой" sheetId="9" r:id="rId9"/>
    <sheet name="Жим однослойной ДК" sheetId="10" r:id="rId10"/>
    <sheet name="Жим однослойной" sheetId="11" r:id="rId11"/>
    <sheet name="Жим лежа без экипировки ДК" sheetId="12" r:id="rId12"/>
    <sheet name="Жим лежа без экипировки" sheetId="13" r:id="rId13"/>
    <sheet name="Народный жим ДК" sheetId="14" r:id="rId14"/>
    <sheet name="Народный жим" sheetId="15" r:id="rId15"/>
    <sheet name="Присед в бинтах ДК" sheetId="16" r:id="rId16"/>
    <sheet name="Присед в бинтах" sheetId="17" r:id="rId17"/>
    <sheet name="Присед без экипировки ДК" sheetId="18" r:id="rId18"/>
    <sheet name="Присед без экипировки" sheetId="19" r:id="rId19"/>
    <sheet name="Двоеборье без экипировки ДК" sheetId="20" r:id="rId20"/>
    <sheet name="Двоеборье без экипировки" sheetId="21" r:id="rId21"/>
    <sheet name="ПЛ однослой ДК" sheetId="22" r:id="rId22"/>
    <sheet name="ПЛ однослой" sheetId="23" r:id="rId23"/>
    <sheet name="ПЛ в бинтах ДК" sheetId="24" r:id="rId24"/>
    <sheet name="ПЛ в бинтах" sheetId="25" r:id="rId25"/>
    <sheet name="ПЛ без экипировки ДК" sheetId="26" r:id="rId26"/>
    <sheet name="ПЛ без экипировки" sheetId="27" r:id="rId27"/>
    <sheet name="Жимовое двоеборье" sheetId="28" r:id="rId28"/>
    <sheet name="Роллинг Тандер" sheetId="29" r:id="rId29"/>
    <sheet name="Аполлон Аксель" sheetId="30" r:id="rId30"/>
    <sheet name="Эскалибур" sheetId="31" r:id="rId31"/>
    <sheet name="ХАБ" sheetId="32" r:id="rId32"/>
    <sheet name="Судейская коллегия" sheetId="33" r:id="rId33"/>
    <sheet name="Командный зачет" sheetId="34" r:id="rId34"/>
  </sheets>
  <definedNames/>
  <calcPr fullCalcOnLoad="1" refMode="R1C1"/>
</workbook>
</file>

<file path=xl/sharedStrings.xml><?xml version="1.0" encoding="utf-8"?>
<sst xmlns="http://schemas.openxmlformats.org/spreadsheetml/2006/main" count="5657" uniqueCount="1573">
  <si>
    <t>ФИО</t>
  </si>
  <si>
    <t>Присед</t>
  </si>
  <si>
    <t>Жим</t>
  </si>
  <si>
    <t>Тяга</t>
  </si>
  <si>
    <t>Сумма</t>
  </si>
  <si>
    <t>Тренер</t>
  </si>
  <si>
    <t>Команда</t>
  </si>
  <si>
    <t>Рек</t>
  </si>
  <si>
    <t>ВЕСОВАЯ КАТЕГОРИЯ   60</t>
  </si>
  <si>
    <t>Никонова Людмила</t>
  </si>
  <si>
    <t>Open (09.04.1980)/34</t>
  </si>
  <si>
    <t>59,30</t>
  </si>
  <si>
    <t xml:space="preserve">Лично </t>
  </si>
  <si>
    <t>90,0</t>
  </si>
  <si>
    <t>97,5</t>
  </si>
  <si>
    <t>100,0</t>
  </si>
  <si>
    <t>50,0</t>
  </si>
  <si>
    <t>55,0</t>
  </si>
  <si>
    <t>136,0</t>
  </si>
  <si>
    <t>145,0</t>
  </si>
  <si>
    <t>152,5</t>
  </si>
  <si>
    <t>157,5</t>
  </si>
  <si>
    <t>302.50</t>
  </si>
  <si>
    <t xml:space="preserve">Блинков Евгений </t>
  </si>
  <si>
    <t>Open (09.06.1986)/28</t>
  </si>
  <si>
    <t>60,00</t>
  </si>
  <si>
    <t xml:space="preserve">Московский/Московская область </t>
  </si>
  <si>
    <t>80,0</t>
  </si>
  <si>
    <t>60,0</t>
  </si>
  <si>
    <t>65,0</t>
  </si>
  <si>
    <t>67,5</t>
  </si>
  <si>
    <t>120,0</t>
  </si>
  <si>
    <t>127,5</t>
  </si>
  <si>
    <t>135,0</t>
  </si>
  <si>
    <t>297.50</t>
  </si>
  <si>
    <t>ВЕСОВАЯ КАТЕГОРИЯ   75</t>
  </si>
  <si>
    <t>Juniors 20-23 (22.04.1991)/23</t>
  </si>
  <si>
    <t>74,40</t>
  </si>
  <si>
    <t xml:space="preserve">Архангельск/Архангельская область </t>
  </si>
  <si>
    <t>150,0</t>
  </si>
  <si>
    <t>85,0</t>
  </si>
  <si>
    <t>87,5</t>
  </si>
  <si>
    <t>140,0</t>
  </si>
  <si>
    <t>155,0</t>
  </si>
  <si>
    <t>160,0</t>
  </si>
  <si>
    <t>395.00</t>
  </si>
  <si>
    <t xml:space="preserve">Хохулин Сергей </t>
  </si>
  <si>
    <t>Open (19.08.1983)/31</t>
  </si>
  <si>
    <t>74,00</t>
  </si>
  <si>
    <t xml:space="preserve">Видное/Московская область </t>
  </si>
  <si>
    <t>92,5</t>
  </si>
  <si>
    <t>165,0</t>
  </si>
  <si>
    <t>400.00</t>
  </si>
  <si>
    <t xml:space="preserve">Ломов Игорь </t>
  </si>
  <si>
    <t>ВЕСОВАЯ КАТЕГОРИЯ   82.5</t>
  </si>
  <si>
    <t>Хрунный Дмитрий</t>
  </si>
  <si>
    <t>Juniors 20-23 (27.04.1992)/22</t>
  </si>
  <si>
    <t>82,40</t>
  </si>
  <si>
    <t xml:space="preserve">Мурманск/Мурманская область </t>
  </si>
  <si>
    <t>200,0</t>
  </si>
  <si>
    <t>0,0</t>
  </si>
  <si>
    <t>0.00</t>
  </si>
  <si>
    <t>ВЕСОВАЯ КАТЕГОРИЯ   90</t>
  </si>
  <si>
    <t>Романов Никита</t>
  </si>
  <si>
    <t>Juniors 20-23 (27.08.1991)/23</t>
  </si>
  <si>
    <t>86,70</t>
  </si>
  <si>
    <t xml:space="preserve">Смоленск/Смоленская область </t>
  </si>
  <si>
    <t>180,0</t>
  </si>
  <si>
    <t>190,0</t>
  </si>
  <si>
    <t>225,0</t>
  </si>
  <si>
    <t>240,0</t>
  </si>
  <si>
    <t>545.00</t>
  </si>
  <si>
    <t xml:space="preserve">самостоятельно </t>
  </si>
  <si>
    <t>Савченко Александр</t>
  </si>
  <si>
    <t>Open (06.01.1982)/33</t>
  </si>
  <si>
    <t>87,70</t>
  </si>
  <si>
    <t xml:space="preserve">Выборг/Ленинградская область </t>
  </si>
  <si>
    <t>170,0</t>
  </si>
  <si>
    <t>250,0</t>
  </si>
  <si>
    <t>260,0</t>
  </si>
  <si>
    <t>590.00</t>
  </si>
  <si>
    <t>Open (27.08.1991)/23</t>
  </si>
  <si>
    <t>ВЕСОВАЯ КАТЕГОРИЯ   110</t>
  </si>
  <si>
    <t>Васев Александр</t>
  </si>
  <si>
    <t>Juniors 20-23 (26.04.1991)/23</t>
  </si>
  <si>
    <t>104,00</t>
  </si>
  <si>
    <t>270,0</t>
  </si>
  <si>
    <t>290,0</t>
  </si>
  <si>
    <t>300,0</t>
  </si>
  <si>
    <t>320,0</t>
  </si>
  <si>
    <t>330,0</t>
  </si>
  <si>
    <t>790.00</t>
  </si>
  <si>
    <t>Соловьев Иван</t>
  </si>
  <si>
    <t>Open (15.01.1984)/31</t>
  </si>
  <si>
    <t>110,00</t>
  </si>
  <si>
    <t xml:space="preserve">Рыбинск/Ярославская область </t>
  </si>
  <si>
    <t>315,0</t>
  </si>
  <si>
    <t>325,0</t>
  </si>
  <si>
    <t>220,0</t>
  </si>
  <si>
    <t>230,0</t>
  </si>
  <si>
    <t>880.00</t>
  </si>
  <si>
    <t>Open (26.04.1991)/23</t>
  </si>
  <si>
    <t>275,0</t>
  </si>
  <si>
    <t>Парамонов Игорь</t>
  </si>
  <si>
    <t>Open (17.11.1983)/31</t>
  </si>
  <si>
    <t>103,40</t>
  </si>
  <si>
    <t xml:space="preserve">Хотьково/Московская область </t>
  </si>
  <si>
    <t>272,5</t>
  </si>
  <si>
    <t>282,5</t>
  </si>
  <si>
    <t>292,5</t>
  </si>
  <si>
    <t>177,5</t>
  </si>
  <si>
    <t>185,0</t>
  </si>
  <si>
    <t>195,0</t>
  </si>
  <si>
    <t>302,5</t>
  </si>
  <si>
    <t>310,0</t>
  </si>
  <si>
    <t>787.50</t>
  </si>
  <si>
    <t xml:space="preserve"> </t>
  </si>
  <si>
    <t xml:space="preserve">Абсолютный зачёт </t>
  </si>
  <si>
    <t xml:space="preserve">Женщины </t>
  </si>
  <si>
    <t xml:space="preserve">Junior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</si>
  <si>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</si>
  <si>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</si>
  <si>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</si>
  <si>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</si>
  <si>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Юниоры 20 - 23 </t>
  </si>
  <si>
    <t xml:space="preserve">75 </t>
  </si>
  <si>
    <t xml:space="preserve">Open </t>
  </si>
  <si>
    <t xml:space="preserve">Открытая </t>
  </si>
  <si>
    <t xml:space="preserve">60 </t>
  </si>
  <si>
    <t xml:space="preserve">Мужчины </t>
  </si>
  <si>
    <t xml:space="preserve">110 </t>
  </si>
  <si>
    <t>790,0</t>
  </si>
  <si>
    <t>711,7900</t>
  </si>
  <si>
    <t xml:space="preserve">90 </t>
  </si>
  <si>
    <t>880,0</t>
  </si>
  <si>
    <t>778,8000</t>
  </si>
  <si>
    <t>787,5</t>
  </si>
  <si>
    <t>711,4275</t>
  </si>
  <si>
    <t>590,0</t>
  </si>
  <si>
    <t xml:space="preserve">Динамит </t>
  </si>
  <si>
    <t>Дога Виктория</t>
  </si>
  <si>
    <t>Дурапов Николай</t>
  </si>
  <si>
    <t>ВЕСОВАЯ КАТЕГОРИЯ   48</t>
  </si>
  <si>
    <t>Потапович Лариса</t>
  </si>
  <si>
    <t>Masters 45-49 (11.11.1965)/49</t>
  </si>
  <si>
    <t>47,90</t>
  </si>
  <si>
    <t>75,0</t>
  </si>
  <si>
    <t>40,0</t>
  </si>
  <si>
    <t>45,0</t>
  </si>
  <si>
    <t>110,0</t>
  </si>
  <si>
    <t>Open (18.12.1990)/24</t>
  </si>
  <si>
    <t>59,80</t>
  </si>
  <si>
    <t>95,0</t>
  </si>
  <si>
    <t>105,0</t>
  </si>
  <si>
    <t>115,0</t>
  </si>
  <si>
    <t>127,7</t>
  </si>
  <si>
    <t>ВЕСОВАЯ КАТЕГОРИЯ   67.5</t>
  </si>
  <si>
    <t>Teen 18-19 (30.05.1996)/18</t>
  </si>
  <si>
    <t>65,40</t>
  </si>
  <si>
    <t>70,0</t>
  </si>
  <si>
    <t>77,5</t>
  </si>
  <si>
    <t>82,5</t>
  </si>
  <si>
    <t>Позднякова Екатерина</t>
  </si>
  <si>
    <t>Juniors 20-23 (29.12.1991)/23</t>
  </si>
  <si>
    <t>67,10</t>
  </si>
  <si>
    <t>125,0</t>
  </si>
  <si>
    <t>147,5</t>
  </si>
  <si>
    <t>Open (17.11.1990)/24</t>
  </si>
  <si>
    <t>66,40</t>
  </si>
  <si>
    <t>Open (29.12.1991)/23</t>
  </si>
  <si>
    <t>Ракчеева Елена</t>
  </si>
  <si>
    <t>Open (25.06.1974)/40</t>
  </si>
  <si>
    <t>68,50</t>
  </si>
  <si>
    <t>130,0</t>
  </si>
  <si>
    <t>Masters 40-44 (25.06.1974)/40</t>
  </si>
  <si>
    <t>ВЕСОВАЯ КАТЕГОРИЯ   90+</t>
  </si>
  <si>
    <t>Уколова Вероника</t>
  </si>
  <si>
    <t>Open (17.06.1997)/17</t>
  </si>
  <si>
    <t>107,20</t>
  </si>
  <si>
    <t>Шалыганов Александр</t>
  </si>
  <si>
    <t>Open (18.02.1985)/30</t>
  </si>
  <si>
    <t>65,50</t>
  </si>
  <si>
    <t xml:space="preserve">Пенза/Пензенская область </t>
  </si>
  <si>
    <t>Teen 18-19 (31.05.1995)/19</t>
  </si>
  <si>
    <t>71,50</t>
  </si>
  <si>
    <t>202,5</t>
  </si>
  <si>
    <t>Цукер Михаил</t>
  </si>
  <si>
    <t>Juniors 20-23 (09.05.1993)/21</t>
  </si>
  <si>
    <t>71,60</t>
  </si>
  <si>
    <t>117,5</t>
  </si>
  <si>
    <t>Манучарян Нарек</t>
  </si>
  <si>
    <t>Open (06.12.1990)/24</t>
  </si>
  <si>
    <t>81,60</t>
  </si>
  <si>
    <t xml:space="preserve">Одинцово/Московская область </t>
  </si>
  <si>
    <t>210,0</t>
  </si>
  <si>
    <t>Губанов Юрий</t>
  </si>
  <si>
    <t>Open (06.03.1987)/28</t>
  </si>
  <si>
    <t>88,30</t>
  </si>
  <si>
    <t xml:space="preserve">Кострома/Костромская область </t>
  </si>
  <si>
    <t>205,0</t>
  </si>
  <si>
    <t>242,5</t>
  </si>
  <si>
    <t>Open (31.10.1990)/24</t>
  </si>
  <si>
    <t>89,90</t>
  </si>
  <si>
    <t>142,5</t>
  </si>
  <si>
    <t>Open (16.02.1989)/26</t>
  </si>
  <si>
    <t>87,50</t>
  </si>
  <si>
    <t>ВЕСОВАЯ КАТЕГОРИЯ   100</t>
  </si>
  <si>
    <t>Open (31.12.1989)/25</t>
  </si>
  <si>
    <t>95,20</t>
  </si>
  <si>
    <t>Open (13.07.1982)/32</t>
  </si>
  <si>
    <t>94,40</t>
  </si>
  <si>
    <t xml:space="preserve">Серпухов/Московская область </t>
  </si>
  <si>
    <t>215,0</t>
  </si>
  <si>
    <t>Семенин Дмитрий</t>
  </si>
  <si>
    <t>Open (09.12.1983)/31</t>
  </si>
  <si>
    <t>108,30</t>
  </si>
  <si>
    <t>245,0</t>
  </si>
  <si>
    <t>255,0</t>
  </si>
  <si>
    <t>265,0</t>
  </si>
  <si>
    <t>197,5</t>
  </si>
  <si>
    <t>280,0</t>
  </si>
  <si>
    <t>295,0</t>
  </si>
  <si>
    <t>ВЕСОВАЯ КАТЕГОРИЯ   125</t>
  </si>
  <si>
    <t>Баранов Евгений</t>
  </si>
  <si>
    <t>Open (28.07.1982)/32</t>
  </si>
  <si>
    <t>122,50</t>
  </si>
  <si>
    <t xml:space="preserve">67.5 </t>
  </si>
  <si>
    <t>222,5</t>
  </si>
  <si>
    <t>285,0</t>
  </si>
  <si>
    <t xml:space="preserve">Masters </t>
  </si>
  <si>
    <t xml:space="preserve">Мастера 45 - 49 </t>
  </si>
  <si>
    <t>207,5</t>
  </si>
  <si>
    <t xml:space="preserve">Мастера 40 - 44 </t>
  </si>
  <si>
    <t xml:space="preserve">125 </t>
  </si>
  <si>
    <t>775,0</t>
  </si>
  <si>
    <t>667,2750</t>
  </si>
  <si>
    <t>740,0</t>
  </si>
  <si>
    <t>657,8600</t>
  </si>
  <si>
    <t>600,0</t>
  </si>
  <si>
    <t>588,3600</t>
  </si>
  <si>
    <t xml:space="preserve">100 </t>
  </si>
  <si>
    <t>Тарасова Анна</t>
  </si>
  <si>
    <t>Teen 13-15 (08.03.2000)/15</t>
  </si>
  <si>
    <t>48,00</t>
  </si>
  <si>
    <t xml:space="preserve">Богородицк/Тульская область </t>
  </si>
  <si>
    <t>72,5</t>
  </si>
  <si>
    <t>ВЕСОВАЯ КАТЕГОРИЯ   56</t>
  </si>
  <si>
    <t>Кувалдина Ирина</t>
  </si>
  <si>
    <t>Open (08.06.1980)/34</t>
  </si>
  <si>
    <t>55,80</t>
  </si>
  <si>
    <t>Могурова Ксения</t>
  </si>
  <si>
    <t>132,5</t>
  </si>
  <si>
    <t>62,5</t>
  </si>
  <si>
    <t>175,0</t>
  </si>
  <si>
    <t>186,0</t>
  </si>
  <si>
    <t xml:space="preserve">Таранухин Георгий </t>
  </si>
  <si>
    <t>Старунь Инна</t>
  </si>
  <si>
    <t>Open (19.11.1989)/25</t>
  </si>
  <si>
    <t>75,5</t>
  </si>
  <si>
    <t>162,5</t>
  </si>
  <si>
    <t>Open (04.09.1982)/32</t>
  </si>
  <si>
    <t>74,70</t>
  </si>
  <si>
    <t>122,5</t>
  </si>
  <si>
    <t>171,0</t>
  </si>
  <si>
    <t>181,0</t>
  </si>
  <si>
    <t>Чернина Элина</t>
  </si>
  <si>
    <t>Open (10.06.1987)/27</t>
  </si>
  <si>
    <t>Рек Александр</t>
  </si>
  <si>
    <t>Open (13.07.1987)/27</t>
  </si>
  <si>
    <t>65,60</t>
  </si>
  <si>
    <t>208,0</t>
  </si>
  <si>
    <t>Кетенчиев Марат</t>
  </si>
  <si>
    <t>Open (19.07.1986)/28</t>
  </si>
  <si>
    <t>67,30</t>
  </si>
  <si>
    <t xml:space="preserve">Нальчик/Кабардино-Балкария </t>
  </si>
  <si>
    <t xml:space="preserve">Моисеев Руслан </t>
  </si>
  <si>
    <t>Masters 50-54 (24.04.1962)/52</t>
  </si>
  <si>
    <t>82,00</t>
  </si>
  <si>
    <t xml:space="preserve">Уфа/Башкортостан </t>
  </si>
  <si>
    <t>Никитин Денис</t>
  </si>
  <si>
    <t>Open (19.05.1988)/26</t>
  </si>
  <si>
    <t>88,00</t>
  </si>
  <si>
    <t>267,5</t>
  </si>
  <si>
    <t>Open (17.07.1980)/34</t>
  </si>
  <si>
    <t>89,50</t>
  </si>
  <si>
    <t xml:space="preserve">Великий Устюг/Вологодская область </t>
  </si>
  <si>
    <t>307,5</t>
  </si>
  <si>
    <t>312,5</t>
  </si>
  <si>
    <t>Витовский Михаил</t>
  </si>
  <si>
    <t>Open (03.12.1986)/28</t>
  </si>
  <si>
    <t>84,80</t>
  </si>
  <si>
    <t xml:space="preserve">Длужневского </t>
  </si>
  <si>
    <t>235,0</t>
  </si>
  <si>
    <t>Мацкевич Алесандр</t>
  </si>
  <si>
    <t>Open (26.08.1988)/26</t>
  </si>
  <si>
    <t>88,40</t>
  </si>
  <si>
    <t>237,5</t>
  </si>
  <si>
    <t>247,5</t>
  </si>
  <si>
    <t>Селезнев Валерий</t>
  </si>
  <si>
    <t>Juniors 20-23 (11.03.1993)/22</t>
  </si>
  <si>
    <t>98,40</t>
  </si>
  <si>
    <t>Серпичев Алексей</t>
  </si>
  <si>
    <t>Juniors 20-23 (21.03.1993)/22</t>
  </si>
  <si>
    <t>97,20</t>
  </si>
  <si>
    <t>Абдусаламов Абдулмажид</t>
  </si>
  <si>
    <t>Open (06.08.1989)/25</t>
  </si>
  <si>
    <t>95,80</t>
  </si>
  <si>
    <t xml:space="preserve">Колесов Захар </t>
  </si>
  <si>
    <t>Высочин Павел</t>
  </si>
  <si>
    <t>Open (19.11.1986)/28</t>
  </si>
  <si>
    <t>100,00</t>
  </si>
  <si>
    <t>172,5</t>
  </si>
  <si>
    <t>Masters 55-59 (06.01.1960)/55</t>
  </si>
  <si>
    <t>90,40</t>
  </si>
  <si>
    <t>Кобанов Артем</t>
  </si>
  <si>
    <t>Juniors 20-23 (10.01.1992)/23</t>
  </si>
  <si>
    <t>109,40</t>
  </si>
  <si>
    <t>212,5</t>
  </si>
  <si>
    <t>327,5</t>
  </si>
  <si>
    <t>Бебенин Григорий</t>
  </si>
  <si>
    <t>Juniors 20-23 (27.03.1993)/22</t>
  </si>
  <si>
    <t>109,90</t>
  </si>
  <si>
    <t xml:space="preserve">Волгоград/Волгоградская область </t>
  </si>
  <si>
    <t xml:space="preserve">Долгов Александр </t>
  </si>
  <si>
    <t>Микитас Даниил</t>
  </si>
  <si>
    <t>Juniors 20-23 (26.06.1991)/23</t>
  </si>
  <si>
    <t>107,80</t>
  </si>
  <si>
    <t xml:space="preserve">Гадиев Тимур </t>
  </si>
  <si>
    <t>Золотаренок Андрей</t>
  </si>
  <si>
    <t>Open (23.11.1978)/36</t>
  </si>
  <si>
    <t>106,00</t>
  </si>
  <si>
    <t>Сытников Валерий</t>
  </si>
  <si>
    <t>Masters 45-49 (28.02.1970)/45</t>
  </si>
  <si>
    <t>101,80</t>
  </si>
  <si>
    <t xml:space="preserve">Тарасов Эдуард </t>
  </si>
  <si>
    <t>Диваков Денис</t>
  </si>
  <si>
    <t>Juniors 20-23 (01.11.1992)/22</t>
  </si>
  <si>
    <t>119,90</t>
  </si>
  <si>
    <t xml:space="preserve">Кемерово/Кемеровская область </t>
  </si>
  <si>
    <t>335,0</t>
  </si>
  <si>
    <t>Вартабедьян Юрий</t>
  </si>
  <si>
    <t>Juniors 20-23 (21.11.1991)/23</t>
  </si>
  <si>
    <t>124,80</t>
  </si>
  <si>
    <t>345,0</t>
  </si>
  <si>
    <t>350,0</t>
  </si>
  <si>
    <t>Бунин Олег</t>
  </si>
  <si>
    <t>Open (20.05.1979)/35</t>
  </si>
  <si>
    <t>117,20</t>
  </si>
  <si>
    <t>ВЕСОВАЯ КАТЕГОРИЯ   140</t>
  </si>
  <si>
    <t>Штоколов Денис</t>
  </si>
  <si>
    <t>Open (13.05.1979)/35</t>
  </si>
  <si>
    <t>138,30</t>
  </si>
  <si>
    <t xml:space="preserve">Ростов-на-Дону/Ростовская область </t>
  </si>
  <si>
    <t>305,0</t>
  </si>
  <si>
    <t>397,5</t>
  </si>
  <si>
    <t>708,7425</t>
  </si>
  <si>
    <t>385,0</t>
  </si>
  <si>
    <t>595,4410</t>
  </si>
  <si>
    <t>352,5</t>
  </si>
  <si>
    <t>589,9440</t>
  </si>
  <si>
    <t xml:space="preserve">56 </t>
  </si>
  <si>
    <t>257,5</t>
  </si>
  <si>
    <t>492,3915</t>
  </si>
  <si>
    <t>875,0</t>
  </si>
  <si>
    <t>756,0000</t>
  </si>
  <si>
    <t>850,0</t>
  </si>
  <si>
    <t>753,4400</t>
  </si>
  <si>
    <t>855,0</t>
  </si>
  <si>
    <t>733,5900</t>
  </si>
  <si>
    <t>827,5</t>
  </si>
  <si>
    <t>732,3375</t>
  </si>
  <si>
    <t>720,0</t>
  </si>
  <si>
    <t>640,8000</t>
  </si>
  <si>
    <t>580,0</t>
  </si>
  <si>
    <t>534,4120</t>
  </si>
  <si>
    <t>535,0</t>
  </si>
  <si>
    <t>495,5170</t>
  </si>
  <si>
    <t>772,5</t>
  </si>
  <si>
    <t>759,3675</t>
  </si>
  <si>
    <t>727,5</t>
  </si>
  <si>
    <t>707,1300</t>
  </si>
  <si>
    <t>677,5</t>
  </si>
  <si>
    <t>682,6490</t>
  </si>
  <si>
    <t xml:space="preserve">140 </t>
  </si>
  <si>
    <t>800,0</t>
  </si>
  <si>
    <t>673,6000</t>
  </si>
  <si>
    <t>717,5</t>
  </si>
  <si>
    <t>669,2840</t>
  </si>
  <si>
    <t>515,0</t>
  </si>
  <si>
    <t>657,4490</t>
  </si>
  <si>
    <t>619,9125</t>
  </si>
  <si>
    <t>592,5</t>
  </si>
  <si>
    <t>580,5315</t>
  </si>
  <si>
    <t>607,5</t>
  </si>
  <si>
    <t>543,7125</t>
  </si>
  <si>
    <t xml:space="preserve">Мастера 55 - 59 </t>
  </si>
  <si>
    <t xml:space="preserve">Мастера 50 - 54 </t>
  </si>
  <si>
    <t xml:space="preserve">82.5 </t>
  </si>
  <si>
    <t>37,5</t>
  </si>
  <si>
    <t>42,5</t>
  </si>
  <si>
    <t>ВЕСОВАЯ КАТЕГОРИЯ   52</t>
  </si>
  <si>
    <t>Juniors 20-23 (30.07.1992)/22</t>
  </si>
  <si>
    <t>51,20</t>
  </si>
  <si>
    <t xml:space="preserve">Егорьевск/Московская область </t>
  </si>
  <si>
    <t>112,5</t>
  </si>
  <si>
    <t xml:space="preserve">Лебушкин Сергей </t>
  </si>
  <si>
    <t>Open (14.08.1980)/34</t>
  </si>
  <si>
    <t>72,50</t>
  </si>
  <si>
    <t xml:space="preserve">Самара/Самарская область </t>
  </si>
  <si>
    <t>Селихов Егор</t>
  </si>
  <si>
    <t>Teen 16-17 (29.04.1997)/17</t>
  </si>
  <si>
    <t>78,20</t>
  </si>
  <si>
    <t xml:space="preserve">Сергиев Посад/Московская область </t>
  </si>
  <si>
    <t>Open (25.03.1990)/25</t>
  </si>
  <si>
    <t>Догирев Антон</t>
  </si>
  <si>
    <t>Juniors 20-23 (13.01.1992)/23</t>
  </si>
  <si>
    <t xml:space="preserve">Дмитров/Московская область </t>
  </si>
  <si>
    <t>Сафонов Алексей</t>
  </si>
  <si>
    <t>Juniors 20-23 (09.12.1992)/22</t>
  </si>
  <si>
    <t>107,30</t>
  </si>
  <si>
    <t>Teen 18-19 (15.03.1996)/19</t>
  </si>
  <si>
    <t>121,60</t>
  </si>
  <si>
    <t>317,5</t>
  </si>
  <si>
    <t>182,5</t>
  </si>
  <si>
    <t xml:space="preserve">52 </t>
  </si>
  <si>
    <t>605,0</t>
  </si>
  <si>
    <t>564,3440</t>
  </si>
  <si>
    <t>526,1620</t>
  </si>
  <si>
    <t>Кокорев Илья</t>
  </si>
  <si>
    <t>Open (19.01.1973)/42</t>
  </si>
  <si>
    <t>80,70</t>
  </si>
  <si>
    <t xml:space="preserve">Ярославль/Ярославская область </t>
  </si>
  <si>
    <t>Masters 40-44 (19.01.1973)/42</t>
  </si>
  <si>
    <t>Асанди Иван</t>
  </si>
  <si>
    <t>Open (01.11.1979)/35</t>
  </si>
  <si>
    <t>97,90</t>
  </si>
  <si>
    <t>Ломакин Денис</t>
  </si>
  <si>
    <t>Juniors 20-23 (25.04.1991)/23</t>
  </si>
  <si>
    <t>107,70</t>
  </si>
  <si>
    <t xml:space="preserve">Орехово-Зуево/Московская область </t>
  </si>
  <si>
    <t>252,5</t>
  </si>
  <si>
    <t>Каширин Алексей</t>
  </si>
  <si>
    <t>Open (09.10.1973)/41</t>
  </si>
  <si>
    <t>112,40</t>
  </si>
  <si>
    <t xml:space="preserve">Петрозаводск/Карелия </t>
  </si>
  <si>
    <t>340,0</t>
  </si>
  <si>
    <t>Логинов Дмитрий</t>
  </si>
  <si>
    <t>Open (12.05.1989)/25</t>
  </si>
  <si>
    <t>120,90</t>
  </si>
  <si>
    <t xml:space="preserve">Тверская </t>
  </si>
  <si>
    <t xml:space="preserve">Тверь/Тверская область </t>
  </si>
  <si>
    <t>360,0</t>
  </si>
  <si>
    <t xml:space="preserve">Бобров Виталий </t>
  </si>
  <si>
    <t>Кочетов Андрей</t>
  </si>
  <si>
    <t>Open (21.05.1990)/24</t>
  </si>
  <si>
    <t>126,40</t>
  </si>
  <si>
    <t xml:space="preserve">Владимир/Владимирская область </t>
  </si>
  <si>
    <t>370,0</t>
  </si>
  <si>
    <t>380,0</t>
  </si>
  <si>
    <t>365,0</t>
  </si>
  <si>
    <t xml:space="preserve">Суслов Николай </t>
  </si>
  <si>
    <t>1035,0</t>
  </si>
  <si>
    <t>885,9600</t>
  </si>
  <si>
    <t>940,0</t>
  </si>
  <si>
    <t>825,6960</t>
  </si>
  <si>
    <t>774,3360</t>
  </si>
  <si>
    <t>795,0</t>
  </si>
  <si>
    <t>734,1030</t>
  </si>
  <si>
    <t xml:space="preserve">Лидер </t>
  </si>
  <si>
    <t>Open (10.10.1989)/25</t>
  </si>
  <si>
    <t>78,60</t>
  </si>
  <si>
    <t>187,5</t>
  </si>
  <si>
    <t>137,5</t>
  </si>
  <si>
    <t>Матько Никита</t>
  </si>
  <si>
    <t>Open (25.06.1984)/30</t>
  </si>
  <si>
    <t>Кулагина Анжела</t>
  </si>
  <si>
    <t>Open (04.11.1988)/26</t>
  </si>
  <si>
    <t>65,80</t>
  </si>
  <si>
    <t xml:space="preserve">Иванов С.Н., Корнилов </t>
  </si>
  <si>
    <t>Букина Валерия</t>
  </si>
  <si>
    <t>Open (07.05.1989)/25</t>
  </si>
  <si>
    <t>67,50</t>
  </si>
  <si>
    <t>107,5</t>
  </si>
  <si>
    <t>Калиниченко Алла</t>
  </si>
  <si>
    <t>Masters 40-44 (08.04.1971)/44</t>
  </si>
  <si>
    <t>66,60</t>
  </si>
  <si>
    <t xml:space="preserve">Саров/Нижегородская область </t>
  </si>
  <si>
    <t>102,5</t>
  </si>
  <si>
    <t xml:space="preserve">Калиниченко Владимир </t>
  </si>
  <si>
    <t>Кныш Виктория</t>
  </si>
  <si>
    <t>Open (21.03.1983)/32</t>
  </si>
  <si>
    <t>95,40</t>
  </si>
  <si>
    <t>Каразия Сергей</t>
  </si>
  <si>
    <t>Open (30.11.1987)/27</t>
  </si>
  <si>
    <t>52,90</t>
  </si>
  <si>
    <t>Juniors 20-23 (29.07.1994)/20</t>
  </si>
  <si>
    <t>74,20</t>
  </si>
  <si>
    <t xml:space="preserve">Звенигород/Московская область </t>
  </si>
  <si>
    <t>Teen 16-17 (01.11.1997)/17</t>
  </si>
  <si>
    <t>82,10</t>
  </si>
  <si>
    <t xml:space="preserve">Вегетарианская сила </t>
  </si>
  <si>
    <t xml:space="preserve">Смирнов Олег </t>
  </si>
  <si>
    <t>Teen 18-19 (21.11.1995)/19</t>
  </si>
  <si>
    <t>82,50</t>
  </si>
  <si>
    <t xml:space="preserve">Кубинка/Московская область </t>
  </si>
  <si>
    <t xml:space="preserve">Сокольский Сергей </t>
  </si>
  <si>
    <t>Juniors 20-23 (31.08.1992)/22</t>
  </si>
  <si>
    <t xml:space="preserve">Залялиев Ильнур </t>
  </si>
  <si>
    <t>Силушин Павел</t>
  </si>
  <si>
    <t>Open (17.09.1989)/25</t>
  </si>
  <si>
    <t xml:space="preserve">Рязань/Рязанская область </t>
  </si>
  <si>
    <t>192,5</t>
  </si>
  <si>
    <t>Ефимчук Алексей</t>
  </si>
  <si>
    <t>Juniors 20-23 (08.08.1991)/23</t>
  </si>
  <si>
    <t>Смирнов Олег</t>
  </si>
  <si>
    <t>Open (22.01.1986)/29</t>
  </si>
  <si>
    <t>90,00</t>
  </si>
  <si>
    <t>Беляев Владимир</t>
  </si>
  <si>
    <t>Open (31.10.1981)/33</t>
  </si>
  <si>
    <t>88,50</t>
  </si>
  <si>
    <t xml:space="preserve">ЦВР </t>
  </si>
  <si>
    <t xml:space="preserve">Михайлова Ольга </t>
  </si>
  <si>
    <t>Зотин Кирилл</t>
  </si>
  <si>
    <t>Open (10.08.1981)/33</t>
  </si>
  <si>
    <t>89,40</t>
  </si>
  <si>
    <t xml:space="preserve">Букина Виктория </t>
  </si>
  <si>
    <t>Петухов Сергей</t>
  </si>
  <si>
    <t>Open (04.08.1982)/32</t>
  </si>
  <si>
    <t>86,40</t>
  </si>
  <si>
    <t xml:space="preserve">Киров/Кировская область </t>
  </si>
  <si>
    <t>Попов Сергей</t>
  </si>
  <si>
    <t>Masters 40-44 (31.05.1974)/40</t>
  </si>
  <si>
    <t>89,10</t>
  </si>
  <si>
    <t xml:space="preserve">Астрахань/Астраханская область </t>
  </si>
  <si>
    <t>Таранухин Георгий</t>
  </si>
  <si>
    <t>Masters 45-49 (19.01.1968)/47</t>
  </si>
  <si>
    <t>168,0</t>
  </si>
  <si>
    <t>Teen 16-17 (23.05.1997)/17</t>
  </si>
  <si>
    <t>95,00</t>
  </si>
  <si>
    <t>Ревяко Александр</t>
  </si>
  <si>
    <t>Open (16.07.1985)/29</t>
  </si>
  <si>
    <t>99,80</t>
  </si>
  <si>
    <t>Бельков Юрий</t>
  </si>
  <si>
    <t>Open (05.12.1986)/28</t>
  </si>
  <si>
    <t xml:space="preserve">Новомосковск/Тульская область </t>
  </si>
  <si>
    <t>Мельников Алексей</t>
  </si>
  <si>
    <t>Open (22.10.1987)/27</t>
  </si>
  <si>
    <t>92,90</t>
  </si>
  <si>
    <t>Антонов Роман</t>
  </si>
  <si>
    <t>Juniors 20-23 (24.08.1994)/20</t>
  </si>
  <si>
    <t>Бегалко Антон</t>
  </si>
  <si>
    <t>Open (06.11.1986)/28</t>
  </si>
  <si>
    <t>Open (05.01.1977)/38</t>
  </si>
  <si>
    <t>Кузеев Дамир</t>
  </si>
  <si>
    <t>Masters 60-64 (14.05.1952)/62</t>
  </si>
  <si>
    <t>101,10</t>
  </si>
  <si>
    <t xml:space="preserve">Североморск/Мурманская область </t>
  </si>
  <si>
    <t>Голубев Ярослав</t>
  </si>
  <si>
    <t>Open (02.02.1980)/35</t>
  </si>
  <si>
    <t>110,40</t>
  </si>
  <si>
    <t xml:space="preserve">Троицк/Московская область </t>
  </si>
  <si>
    <t>Машкин Иван</t>
  </si>
  <si>
    <t>Open (24.06.1988)/26</t>
  </si>
  <si>
    <t>114,00</t>
  </si>
  <si>
    <t>Галахов Александр</t>
  </si>
  <si>
    <t>Masters 40-44 (21.05.1971)/43</t>
  </si>
  <si>
    <t>110,10</t>
  </si>
  <si>
    <t xml:space="preserve">Орск/Оренбургская область </t>
  </si>
  <si>
    <t xml:space="preserve">90+ </t>
  </si>
  <si>
    <t>208,2600</t>
  </si>
  <si>
    <t>195,8960</t>
  </si>
  <si>
    <t>176,1925</t>
  </si>
  <si>
    <t>269,0100</t>
  </si>
  <si>
    <t>221,2500</t>
  </si>
  <si>
    <t>219,7920</t>
  </si>
  <si>
    <t>205,8750</t>
  </si>
  <si>
    <t>199,6610</t>
  </si>
  <si>
    <t>177,2800</t>
  </si>
  <si>
    <t>176,6800</t>
  </si>
  <si>
    <t>170,7840</t>
  </si>
  <si>
    <t>169,5750</t>
  </si>
  <si>
    <t>164,0625</t>
  </si>
  <si>
    <t>156,6400</t>
  </si>
  <si>
    <t>155,6480</t>
  </si>
  <si>
    <t>149,2200</t>
  </si>
  <si>
    <t xml:space="preserve">Мастера 60 - 64 </t>
  </si>
  <si>
    <t>231,4950</t>
  </si>
  <si>
    <t>180,4120</t>
  </si>
  <si>
    <t>167,5</t>
  </si>
  <si>
    <t>175,6167</t>
  </si>
  <si>
    <t>173,2843</t>
  </si>
  <si>
    <t>ВЕСОВАЯ КАТЕГОРИЯ   44</t>
  </si>
  <si>
    <t>Дзюба Анастасия</t>
  </si>
  <si>
    <t>Teen 13-15 (13.10.2003)/11</t>
  </si>
  <si>
    <t>43,80</t>
  </si>
  <si>
    <t xml:space="preserve">Череповец/Вологодская область </t>
  </si>
  <si>
    <t>Баранова Анастасия</t>
  </si>
  <si>
    <t>Teen 16-17 (20.01.1998)/17</t>
  </si>
  <si>
    <t>47,60</t>
  </si>
  <si>
    <t>Морозова Ирина</t>
  </si>
  <si>
    <t>Open (24.01.1987)/28</t>
  </si>
  <si>
    <t>55,50</t>
  </si>
  <si>
    <t xml:space="preserve">Валуйки/Белгородская область </t>
  </si>
  <si>
    <t>Длужневская Владислава</t>
  </si>
  <si>
    <t>Teen 13-15 (10.06.2000)/14</t>
  </si>
  <si>
    <t>59,60</t>
  </si>
  <si>
    <t xml:space="preserve">Вологда/Вологодская область </t>
  </si>
  <si>
    <t>Аганина Еатерина</t>
  </si>
  <si>
    <t>Juniors 20-23 (09.12.1993)/21</t>
  </si>
  <si>
    <t>59,50</t>
  </si>
  <si>
    <t>57,5</t>
  </si>
  <si>
    <t>Open (10.06.2000)/14</t>
  </si>
  <si>
    <t>Кондратьева Галина</t>
  </si>
  <si>
    <t>Masters 60-64 (06.02.1952)/63</t>
  </si>
  <si>
    <t>57,80</t>
  </si>
  <si>
    <t>47,5</t>
  </si>
  <si>
    <t xml:space="preserve">Талыбова Гюнель </t>
  </si>
  <si>
    <t>Каморина Юлия</t>
  </si>
  <si>
    <t>Open (02.03.1987)/28</t>
  </si>
  <si>
    <t>63,70</t>
  </si>
  <si>
    <t xml:space="preserve">Ростов/Ярославская область </t>
  </si>
  <si>
    <t>Зощик Марина</t>
  </si>
  <si>
    <t>Open (24.05.1976)/38</t>
  </si>
  <si>
    <t>71,90</t>
  </si>
  <si>
    <t xml:space="preserve">Щёлково/Московская область </t>
  </si>
  <si>
    <t>Open (26.03.1985)/30</t>
  </si>
  <si>
    <t>80,50</t>
  </si>
  <si>
    <t>Дьяченко Иван</t>
  </si>
  <si>
    <t>Open (16.05.1986)/28</t>
  </si>
  <si>
    <t>65,20</t>
  </si>
  <si>
    <t>Соков Денис</t>
  </si>
  <si>
    <t>Open (06.12.1985)/29</t>
  </si>
  <si>
    <t>72,20</t>
  </si>
  <si>
    <t>Папушой Виктор</t>
  </si>
  <si>
    <t>Masters 60-64 (04.04.1953)/62</t>
  </si>
  <si>
    <t>70,30</t>
  </si>
  <si>
    <t>143,0</t>
  </si>
  <si>
    <t>Щеклеев Роман</t>
  </si>
  <si>
    <t>Open (27.08.1989)/25</t>
  </si>
  <si>
    <t>Скудаев Роман</t>
  </si>
  <si>
    <t>Open (04.10.1989)/25</t>
  </si>
  <si>
    <t>78,70</t>
  </si>
  <si>
    <t xml:space="preserve">Кузеев Дамир </t>
  </si>
  <si>
    <t>Шатило Игорь</t>
  </si>
  <si>
    <t>Open (07.08.1988)/26</t>
  </si>
  <si>
    <t>Ефременко Максим</t>
  </si>
  <si>
    <t>Open (14.06.1990)/24</t>
  </si>
  <si>
    <t>Козлов Владимир</t>
  </si>
  <si>
    <t>Masters 60-64 (15.06.1954)/60</t>
  </si>
  <si>
    <t>81,10</t>
  </si>
  <si>
    <t>Ткачук Александр</t>
  </si>
  <si>
    <t>Masters 70-74 (26.03.1940)/75</t>
  </si>
  <si>
    <t xml:space="preserve">Владивосток/Приморский край </t>
  </si>
  <si>
    <t>Захаров Андрей</t>
  </si>
  <si>
    <t>Teen 18-19 (10.03.1996)/19</t>
  </si>
  <si>
    <t xml:space="preserve">Кондаков А. </t>
  </si>
  <si>
    <t>Авакян Ишхан</t>
  </si>
  <si>
    <t>Juniors 20-23 (26.02.1995)/20</t>
  </si>
  <si>
    <t>85,30</t>
  </si>
  <si>
    <t xml:space="preserve">Саратов/Саратовская область </t>
  </si>
  <si>
    <t>88,20</t>
  </si>
  <si>
    <t>Ляшенко Александр</t>
  </si>
  <si>
    <t>Open (22.01.1977)/38</t>
  </si>
  <si>
    <t>85,90</t>
  </si>
  <si>
    <t>Кончаков Владимир</t>
  </si>
  <si>
    <t>Masters 40-44 (25.05.1973)/41</t>
  </si>
  <si>
    <t>89,20</t>
  </si>
  <si>
    <t>Первышин Евгений</t>
  </si>
  <si>
    <t>Masters 40-44 (04.12.1973)/41</t>
  </si>
  <si>
    <t>85,60</t>
  </si>
  <si>
    <t>Чернышов Игорь</t>
  </si>
  <si>
    <t>Masters 45-49 (14.07.1969)/45</t>
  </si>
  <si>
    <t xml:space="preserve">Емельянов Алексей </t>
  </si>
  <si>
    <t>Трухтанов Павел</t>
  </si>
  <si>
    <t>Open (30.10.1976)/38</t>
  </si>
  <si>
    <t>98,90</t>
  </si>
  <si>
    <t>Курапов Юрий</t>
  </si>
  <si>
    <t>Open (29.08.1990)/24</t>
  </si>
  <si>
    <t>92,30</t>
  </si>
  <si>
    <t>Буянов Евгений</t>
  </si>
  <si>
    <t>Open (17.10.1983)/31</t>
  </si>
  <si>
    <t>95,70</t>
  </si>
  <si>
    <t>Степышев Алексей</t>
  </si>
  <si>
    <t>Masters 50-54 (10.05.1963)/51</t>
  </si>
  <si>
    <t>98,20</t>
  </si>
  <si>
    <t>Кузьмин Дмитрий</t>
  </si>
  <si>
    <t>Open (05.10.1984)/30</t>
  </si>
  <si>
    <t>104,70</t>
  </si>
  <si>
    <t>Куротченко Игорь</t>
  </si>
  <si>
    <t>Masters 50-54 (20.03.1962)/53</t>
  </si>
  <si>
    <t>107,40</t>
  </si>
  <si>
    <t>Худунц Размик</t>
  </si>
  <si>
    <t>Teen 18-19 (07.10.1995)/19</t>
  </si>
  <si>
    <t>114,50</t>
  </si>
  <si>
    <t>Оглоблин Денис</t>
  </si>
  <si>
    <t>Open (12.05.1967)/47</t>
  </si>
  <si>
    <t>121,20</t>
  </si>
  <si>
    <t>Минасян Ваган</t>
  </si>
  <si>
    <t>Open (14.08.1977)/37</t>
  </si>
  <si>
    <t>122,00</t>
  </si>
  <si>
    <t>Masters 45-49 (12.05.1967)/47</t>
  </si>
  <si>
    <t>179,6140</t>
  </si>
  <si>
    <t>173,3550</t>
  </si>
  <si>
    <t>172,4000</t>
  </si>
  <si>
    <t>166,3150</t>
  </si>
  <si>
    <t>158,5965</t>
  </si>
  <si>
    <t>157,2000</t>
  </si>
  <si>
    <t>155,0920</t>
  </si>
  <si>
    <t>152,1170</t>
  </si>
  <si>
    <t>149,3210</t>
  </si>
  <si>
    <t>145,1495</t>
  </si>
  <si>
    <t>144,8260</t>
  </si>
  <si>
    <t>144,2175</t>
  </si>
  <si>
    <t>137,4290</t>
  </si>
  <si>
    <t>128,5200</t>
  </si>
  <si>
    <t>125,9820</t>
  </si>
  <si>
    <t>236,0592</t>
  </si>
  <si>
    <t>195,6293</t>
  </si>
  <si>
    <t>189,4477</t>
  </si>
  <si>
    <t>186,5368</t>
  </si>
  <si>
    <t xml:space="preserve">Мастера 70 - 74 </t>
  </si>
  <si>
    <t>176,8426</t>
  </si>
  <si>
    <t>158,3126</t>
  </si>
  <si>
    <t>150,7885</t>
  </si>
  <si>
    <t>132,2204</t>
  </si>
  <si>
    <t>Илюшин Руслан</t>
  </si>
  <si>
    <t>Open (25.02.1991)/24</t>
  </si>
  <si>
    <t>80,90</t>
  </si>
  <si>
    <t>Masters 45-49 (06.12.1969)/45</t>
  </si>
  <si>
    <t>104,10</t>
  </si>
  <si>
    <t xml:space="preserve">Протвино/Московская область </t>
  </si>
  <si>
    <t>Залуцкий Роман</t>
  </si>
  <si>
    <t>Open (31.01.1979)/36</t>
  </si>
  <si>
    <t>128,50</t>
  </si>
  <si>
    <t xml:space="preserve">Раменское/Московская область </t>
  </si>
  <si>
    <t>322,5</t>
  </si>
  <si>
    <t>275,0925</t>
  </si>
  <si>
    <t>209,2800</t>
  </si>
  <si>
    <t>184,7165</t>
  </si>
  <si>
    <t>172,3920</t>
  </si>
  <si>
    <t>Шакирова Юлия</t>
  </si>
  <si>
    <t>Open (01.10.1983)/31</t>
  </si>
  <si>
    <t>61,20</t>
  </si>
  <si>
    <t>Быховец Артем</t>
  </si>
  <si>
    <t>Open (17.07.1983)/31</t>
  </si>
  <si>
    <t>81,40</t>
  </si>
  <si>
    <t xml:space="preserve">Новосибирск/Новосибирская область </t>
  </si>
  <si>
    <t>Якушевич Алексей</t>
  </si>
  <si>
    <t>Juniors 20-23 (28.10.1992)/22</t>
  </si>
  <si>
    <t>92,00</t>
  </si>
  <si>
    <t>Open (04.02.1986)/29</t>
  </si>
  <si>
    <t>97,60</t>
  </si>
  <si>
    <t>Мамедов Эмин</t>
  </si>
  <si>
    <t>Open (31.08.1974)/40</t>
  </si>
  <si>
    <t xml:space="preserve">Тольятти/Самарская область </t>
  </si>
  <si>
    <t xml:space="preserve">Ли Александр </t>
  </si>
  <si>
    <t>Masters 40-44 (31.08.1974)/40</t>
  </si>
  <si>
    <t>375,0</t>
  </si>
  <si>
    <t>Найденов Виктор</t>
  </si>
  <si>
    <t>Open (25.01.1987)/28</t>
  </si>
  <si>
    <t>127,50</t>
  </si>
  <si>
    <t>328,7900</t>
  </si>
  <si>
    <t>327,4500</t>
  </si>
  <si>
    <t>320,2500</t>
  </si>
  <si>
    <t>Курочкин Валерий</t>
  </si>
  <si>
    <t>Open (09.11.1978)/36</t>
  </si>
  <si>
    <t>106,70</t>
  </si>
  <si>
    <t>Дмитриев Кирилл</t>
  </si>
  <si>
    <t>Open (20.04.1981)/33</t>
  </si>
  <si>
    <t>53,40</t>
  </si>
  <si>
    <t>Юрков Андрей</t>
  </si>
  <si>
    <t>Open (24.09.1961)/53</t>
  </si>
  <si>
    <t>81,30</t>
  </si>
  <si>
    <t>Петрокович Николай</t>
  </si>
  <si>
    <t>Open (17.08.1979)/35</t>
  </si>
  <si>
    <t>77,80</t>
  </si>
  <si>
    <t>Masters 50-54 (24.09.1961)/53</t>
  </si>
  <si>
    <t>Сокульский Сергей</t>
  </si>
  <si>
    <t>Open (23.09.1985)/29</t>
  </si>
  <si>
    <t>96,50</t>
  </si>
  <si>
    <t xml:space="preserve">Смагин Денис </t>
  </si>
  <si>
    <t>Суханов Михаил</t>
  </si>
  <si>
    <t>Open (30.08.1979)/35</t>
  </si>
  <si>
    <t>140,00</t>
  </si>
  <si>
    <t xml:space="preserve">Волоколамск/Московская область </t>
  </si>
  <si>
    <t>Горячев Станислав</t>
  </si>
  <si>
    <t>Open (05.06.1975)/39</t>
  </si>
  <si>
    <t>126,60</t>
  </si>
  <si>
    <t>164,6730</t>
  </si>
  <si>
    <t>162,5750</t>
  </si>
  <si>
    <t>154,0800</t>
  </si>
  <si>
    <t>151,2560</t>
  </si>
  <si>
    <t>150,8870</t>
  </si>
  <si>
    <t>Асабина Ирина</t>
  </si>
  <si>
    <t>Open (08.08.1982)/32</t>
  </si>
  <si>
    <t>52,00</t>
  </si>
  <si>
    <t>Талыбова Гюнель</t>
  </si>
  <si>
    <t>Open (06.04.1982)/33</t>
  </si>
  <si>
    <t>56,00</t>
  </si>
  <si>
    <t>Open (08.04.1971)/44</t>
  </si>
  <si>
    <t>181,5</t>
  </si>
  <si>
    <t>Шарова Оксана</t>
  </si>
  <si>
    <t>Open (12.11.1986)/28</t>
  </si>
  <si>
    <t>74,90</t>
  </si>
  <si>
    <t>Котов Алексей</t>
  </si>
  <si>
    <t>Open (08.04.1986)/28</t>
  </si>
  <si>
    <t>75,00</t>
  </si>
  <si>
    <t>Старкин Сергей</t>
  </si>
  <si>
    <t>Open (19.09.1983)/31</t>
  </si>
  <si>
    <t>81,80</t>
  </si>
  <si>
    <t>287,5</t>
  </si>
  <si>
    <t xml:space="preserve">Бедоидзе Николай </t>
  </si>
  <si>
    <t>Акимов Денис</t>
  </si>
  <si>
    <t>Open (28.07.1988)/26</t>
  </si>
  <si>
    <t>80,20</t>
  </si>
  <si>
    <t>Литовченко Артемий</t>
  </si>
  <si>
    <t>Open (05.10.1989)/25</t>
  </si>
  <si>
    <t>81,00</t>
  </si>
  <si>
    <t>263,0</t>
  </si>
  <si>
    <t>Juniors 20-23 (13.11.1992)/22</t>
  </si>
  <si>
    <t>99,20</t>
  </si>
  <si>
    <t>Вербицкий Михаил</t>
  </si>
  <si>
    <t>Masters 60-64 (31.07.1951)/63</t>
  </si>
  <si>
    <t>95,60</t>
  </si>
  <si>
    <t xml:space="preserve">Булавский </t>
  </si>
  <si>
    <t>Бураков Андрей</t>
  </si>
  <si>
    <t>Masters 55-59 (17.09.1958)/56</t>
  </si>
  <si>
    <t xml:space="preserve">Ногинск/Московская область </t>
  </si>
  <si>
    <t xml:space="preserve">Захаров Павел </t>
  </si>
  <si>
    <t>Цирульников Сергей</t>
  </si>
  <si>
    <t>Juniors 20-23 (22.02.1994)/21</t>
  </si>
  <si>
    <t>115,80</t>
  </si>
  <si>
    <t>300,5</t>
  </si>
  <si>
    <t>Милов Денис</t>
  </si>
  <si>
    <t>Open (13.04.1989)/25</t>
  </si>
  <si>
    <t>120,00</t>
  </si>
  <si>
    <t>330,5</t>
  </si>
  <si>
    <t>Open (22.02.1994)/21</t>
  </si>
  <si>
    <t>Клюшев Александр</t>
  </si>
  <si>
    <t>Open (23.12.1983)/31</t>
  </si>
  <si>
    <t>Крылов Виктор</t>
  </si>
  <si>
    <t>Open (20.05.1985)/29</t>
  </si>
  <si>
    <t>127,20</t>
  </si>
  <si>
    <t xml:space="preserve">Подольск/Московская область </t>
  </si>
  <si>
    <t>ВЕСОВАЯ КАТЕГОРИЯ   140+</t>
  </si>
  <si>
    <t>Калиниченко Владимир</t>
  </si>
  <si>
    <t>Masters 40-44 (06.11.1972)/42</t>
  </si>
  <si>
    <t>147,40</t>
  </si>
  <si>
    <t>333,3750</t>
  </si>
  <si>
    <t>329,8550</t>
  </si>
  <si>
    <t>278,3880</t>
  </si>
  <si>
    <t>274,5915</t>
  </si>
  <si>
    <t>272,8110</t>
  </si>
  <si>
    <t>260,4625</t>
  </si>
  <si>
    <t>233,8875</t>
  </si>
  <si>
    <t>210,3420</t>
  </si>
  <si>
    <t>181,4435</t>
  </si>
  <si>
    <t>261,3000</t>
  </si>
  <si>
    <t>323,4000</t>
  </si>
  <si>
    <t>285,1200</t>
  </si>
  <si>
    <t>284,7900</t>
  </si>
  <si>
    <t>265,0500</t>
  </si>
  <si>
    <t>246,3500</t>
  </si>
  <si>
    <t>242,5005</t>
  </si>
  <si>
    <t>236,1710</t>
  </si>
  <si>
    <t>223,4000</t>
  </si>
  <si>
    <t>199,8040</t>
  </si>
  <si>
    <t>358,1943</t>
  </si>
  <si>
    <t xml:space="preserve">140+ </t>
  </si>
  <si>
    <t>288,8844</t>
  </si>
  <si>
    <t>262,5</t>
  </si>
  <si>
    <t>275,2202</t>
  </si>
  <si>
    <t>256,5312</t>
  </si>
  <si>
    <t>215,1967</t>
  </si>
  <si>
    <t>Кучерова Дарья</t>
  </si>
  <si>
    <t>Teen 16-17 (26.03.1999)/16</t>
  </si>
  <si>
    <t>Алейник Кирилл</t>
  </si>
  <si>
    <t>Juniors 20-23 (24.03.1994)/21</t>
  </si>
  <si>
    <t>66,70</t>
  </si>
  <si>
    <t>Рубцов Яков</t>
  </si>
  <si>
    <t>Teen 18-19 (26.03.1996)/19</t>
  </si>
  <si>
    <t>Ломанов Кирилл</t>
  </si>
  <si>
    <t>Open (15.06.1987)/27</t>
  </si>
  <si>
    <t>89,00</t>
  </si>
  <si>
    <t>Янковский Павел</t>
  </si>
  <si>
    <t>Open (25.10.1990)/24</t>
  </si>
  <si>
    <t>87,80</t>
  </si>
  <si>
    <t>92,20</t>
  </si>
  <si>
    <t>Илясов Антон</t>
  </si>
  <si>
    <t>Open (25.11.1988)/26</t>
  </si>
  <si>
    <t>Морозов Константин</t>
  </si>
  <si>
    <t>Open (23.10.1984)/30</t>
  </si>
  <si>
    <t>108,50</t>
  </si>
  <si>
    <t xml:space="preserve">Воскресенск/Московская область </t>
  </si>
  <si>
    <t>Павловский Дмитрий</t>
  </si>
  <si>
    <t>Open (01.02.1988)/27</t>
  </si>
  <si>
    <t>102,80</t>
  </si>
  <si>
    <t>Сотов Алексей</t>
  </si>
  <si>
    <t>123,30</t>
  </si>
  <si>
    <t>Игнатов Дмитрий</t>
  </si>
  <si>
    <t>Open (29.03.1985)/30</t>
  </si>
  <si>
    <t>134,60</t>
  </si>
  <si>
    <t>324,5130</t>
  </si>
  <si>
    <t>312,5960</t>
  </si>
  <si>
    <t>311,1500</t>
  </si>
  <si>
    <t>287,9200</t>
  </si>
  <si>
    <t>270,9000</t>
  </si>
  <si>
    <t>249,4050</t>
  </si>
  <si>
    <t>244,2960</t>
  </si>
  <si>
    <t>237,1040</t>
  </si>
  <si>
    <t>236,3040</t>
  </si>
  <si>
    <t>Каспаров Вадим</t>
  </si>
  <si>
    <t>Teen 18-19 (28.10.1996)/18</t>
  </si>
  <si>
    <t>117,80</t>
  </si>
  <si>
    <t>Open (28.10.1996)/18</t>
  </si>
  <si>
    <t>61,00</t>
  </si>
  <si>
    <t>Ермолаева Дарья</t>
  </si>
  <si>
    <t>Juniors 20-23 (01.04.1993)/22</t>
  </si>
  <si>
    <t>58,90</t>
  </si>
  <si>
    <t>Федоренко Руслан</t>
  </si>
  <si>
    <t>Open (27.02.1979)/36</t>
  </si>
  <si>
    <t>99,50</t>
  </si>
  <si>
    <t xml:space="preserve">Липецк/Липецкая область </t>
  </si>
  <si>
    <t>157,6</t>
  </si>
  <si>
    <t>Курьянов Максим</t>
  </si>
  <si>
    <t>Open (15.05.1979)/35</t>
  </si>
  <si>
    <t>115,00</t>
  </si>
  <si>
    <t>Кочетов Александр</t>
  </si>
  <si>
    <t>Open (16.07.1987)/27</t>
  </si>
  <si>
    <t>88,10</t>
  </si>
  <si>
    <t>Гредягин Александр</t>
  </si>
  <si>
    <t>Masters 40-44 (17.11.1974)/40</t>
  </si>
  <si>
    <t>1</t>
  </si>
  <si>
    <t>2</t>
  </si>
  <si>
    <t>3</t>
  </si>
  <si>
    <t>Коэфф.</t>
  </si>
  <si>
    <t>Соб. вес</t>
  </si>
  <si>
    <t>Коэфф</t>
  </si>
  <si>
    <t>Чемпионат Восточной Европы по пауэрлифтингу без экипировки
26 - 29 марта 2015 года</t>
  </si>
  <si>
    <t>Возрастная группа                 Дата рождения/Возраст</t>
  </si>
  <si>
    <t>Город/Область</t>
  </si>
  <si>
    <t>Гунина Ксения</t>
  </si>
  <si>
    <t>Сверчкова Анна</t>
  </si>
  <si>
    <t>Ломова Оксана</t>
  </si>
  <si>
    <t>Москва/Московская область</t>
  </si>
  <si>
    <t xml:space="preserve">Сыктывкар/Республика Коми </t>
  </si>
  <si>
    <t>Длужневского</t>
  </si>
  <si>
    <t>Блинкова</t>
  </si>
  <si>
    <t xml:space="preserve">Никулин Алексей </t>
  </si>
  <si>
    <t xml:space="preserve">Соколов Николай </t>
  </si>
  <si>
    <t>Чемпионат Восточной Европы по пауэрлифтингу без экипировки ДК
26 - 29 марта 2015 года</t>
  </si>
  <si>
    <t>Семенов Илья</t>
  </si>
  <si>
    <t>Соколов Николай</t>
  </si>
  <si>
    <t>Голубев Егор</t>
  </si>
  <si>
    <t>Дурнов Роман</t>
  </si>
  <si>
    <t>Емельянов Алексей</t>
  </si>
  <si>
    <t>Колесникова Лариса</t>
  </si>
  <si>
    <t>Рожкова Евгения</t>
  </si>
  <si>
    <t>Калаева Валерия</t>
  </si>
  <si>
    <t>Михалев Денис</t>
  </si>
  <si>
    <t xml:space="preserve">Губанов Юрий </t>
  </si>
  <si>
    <t>Гаранин Евгений</t>
  </si>
  <si>
    <t xml:space="preserve">Рубин Сергей </t>
  </si>
  <si>
    <t>Сулейманов Владислав</t>
  </si>
  <si>
    <t>Никифоров Анатолий</t>
  </si>
  <si>
    <t>Ракчеев Дмитрий</t>
  </si>
  <si>
    <t>Ушаков Андрей</t>
  </si>
  <si>
    <t>Колесов Захар</t>
  </si>
  <si>
    <t>Длужневский Сергей</t>
  </si>
  <si>
    <t>Чемпионат Восточной Европы по пауэрлифтингу в бинтах
26 - 29 марта 2015 года</t>
  </si>
  <si>
    <t xml:space="preserve">Богородицк Стронг </t>
  </si>
  <si>
    <t xml:space="preserve">Дарк Рейдж </t>
  </si>
  <si>
    <t>Тирасполь/Молдова</t>
  </si>
  <si>
    <t>Санкт-Петербург/Ленинградская область</t>
  </si>
  <si>
    <t xml:space="preserve">Диваков Денис </t>
  </si>
  <si>
    <t xml:space="preserve">Бебенин Григорий </t>
  </si>
  <si>
    <t xml:space="preserve">Высочин Павел </t>
  </si>
  <si>
    <t>Витовский Василий</t>
  </si>
  <si>
    <t xml:space="preserve">Мацкевич Алесандр </t>
  </si>
  <si>
    <t>Иркабаев Варис</t>
  </si>
  <si>
    <t>Осипов Карлен</t>
  </si>
  <si>
    <t>Гадиев Риф</t>
  </si>
  <si>
    <t>Чемпионат Восточной Европы по пауэрлифтингу в бинтах ДК
26 - 29 марта 2015 года</t>
  </si>
  <si>
    <t xml:space="preserve">Тарасова Анна </t>
  </si>
  <si>
    <t xml:space="preserve">Лебушкина Екатерина </t>
  </si>
  <si>
    <t>Атаев Владислав</t>
  </si>
  <si>
    <t xml:space="preserve">Сафонов Алексей </t>
  </si>
  <si>
    <t>Сержантов Иван</t>
  </si>
  <si>
    <t xml:space="preserve">Москва/Московская область  </t>
  </si>
  <si>
    <t>Макаров Анатолий</t>
  </si>
  <si>
    <t xml:space="preserve">Первушин Евгений </t>
  </si>
  <si>
    <t>Калитюк Антон</t>
  </si>
  <si>
    <t>Свищев Игорь</t>
  </si>
  <si>
    <t xml:space="preserve">Долгирев Антон </t>
  </si>
  <si>
    <t>Долгирев Сергей</t>
  </si>
  <si>
    <t>Чемпионат Восточной Европы по пауэрлифтингу в однослойной экипировке
26 - 29 марта 2015 года</t>
  </si>
  <si>
    <t xml:space="preserve">Кокорев Илья </t>
  </si>
  <si>
    <t xml:space="preserve">Каширин Алексей </t>
  </si>
  <si>
    <t>Ушков Илья</t>
  </si>
  <si>
    <t>Пивоваров Виталий</t>
  </si>
  <si>
    <t>Поздеев Константин</t>
  </si>
  <si>
    <t>Чемпионат Восточной Европы по пауэрлифтингу в однослойной экипировке ДК
26 - 29 марта 2015 года</t>
  </si>
  <si>
    <t>Чемпионат Восточной Европы по силовому двоеборью без экипировки ДК
26 - 29 марта 2015 года</t>
  </si>
  <si>
    <t>Чемпионат Восточной Европы по силовому двоеборью без экипировки
26 - 29 марта 2015 года</t>
  </si>
  <si>
    <t>335,5</t>
  </si>
  <si>
    <t xml:space="preserve">Санкт-Петербург/Ленинградская область </t>
  </si>
  <si>
    <t>Чемпионат Восточной Европы по приседаниям без экипировки
26 - 29 марта 2015 года</t>
  </si>
  <si>
    <t xml:space="preserve">Москва/Московская область </t>
  </si>
  <si>
    <t xml:space="preserve">Кочетов Андрей </t>
  </si>
  <si>
    <t>Чемпионат Восточной Европы по приседаниям без экипировки ДК
26 - 29 марта 2015 года</t>
  </si>
  <si>
    <t>Чемпионат Восточной Европы по приседаниям в бинтах ДК
26 - 29 марта 2015 года</t>
  </si>
  <si>
    <t>Чемпионат Восточной Европы по приседаниям в бинтах
26 - 29 марта 2015 года</t>
  </si>
  <si>
    <t>Чемпионат Восточной Европы по жиму лежа без экипировки
26 - 29 марта 2015 года</t>
  </si>
  <si>
    <t>Лесуков Алексей</t>
  </si>
  <si>
    <t>Барягин Леонид</t>
  </si>
  <si>
    <t xml:space="preserve">Калиниченко Алла </t>
  </si>
  <si>
    <t xml:space="preserve">Каразия Сергей </t>
  </si>
  <si>
    <t xml:space="preserve">Бобров Никита </t>
  </si>
  <si>
    <t>Логвинов Александр</t>
  </si>
  <si>
    <t>Казарян Рубен</t>
  </si>
  <si>
    <t>Шарангия Георгий</t>
  </si>
  <si>
    <t xml:space="preserve">Романов Никита </t>
  </si>
  <si>
    <t xml:space="preserve">Беляев Владимир </t>
  </si>
  <si>
    <t xml:space="preserve">Зотин Кирилл </t>
  </si>
  <si>
    <t xml:space="preserve">Миронов Валентин </t>
  </si>
  <si>
    <t xml:space="preserve">Бегалко Антон </t>
  </si>
  <si>
    <t xml:space="preserve">Голубев Ярослав </t>
  </si>
  <si>
    <t xml:space="preserve">Галахов Александр </t>
  </si>
  <si>
    <t>Клуб жимового двоеборья</t>
  </si>
  <si>
    <t>Чемпионат Восточной Европы по жиму лежа без экипировки ДК
26 - 29 марта 2015 года</t>
  </si>
  <si>
    <t xml:space="preserve">Позднякова Екатерина </t>
  </si>
  <si>
    <t xml:space="preserve">Огирь Ирина </t>
  </si>
  <si>
    <t>Дзюба Андрей</t>
  </si>
  <si>
    <t>Емелин Александр</t>
  </si>
  <si>
    <t>Алибегов Мурад</t>
  </si>
  <si>
    <t>Суровецкий Аскольд</t>
  </si>
  <si>
    <t xml:space="preserve">Суровецкий Аскольд. </t>
  </si>
  <si>
    <t>КПРФ</t>
  </si>
  <si>
    <t>Мужчины</t>
  </si>
  <si>
    <t>Прозоров Дмитрий</t>
  </si>
  <si>
    <t>Шинов Игорь</t>
  </si>
  <si>
    <t>Исаков Павел</t>
  </si>
  <si>
    <t>Карачаушев Георгий</t>
  </si>
  <si>
    <t>Чемпионат Восточной Европы по жиму лежа в однослойной экипировке
26 - 29 марта 2015 года</t>
  </si>
  <si>
    <t xml:space="preserve">Илюшин Руслан </t>
  </si>
  <si>
    <t xml:space="preserve">Ломакин Денис </t>
  </si>
  <si>
    <t xml:space="preserve">Чернов Валерий </t>
  </si>
  <si>
    <t>Лидер</t>
  </si>
  <si>
    <t>Чемпионат Восточной Европы по жиму лежа в однослойной экипировке ДК
26 - 29 марта 2015 года</t>
  </si>
  <si>
    <t xml:space="preserve">Ефременков Павел </t>
  </si>
  <si>
    <t>Чемпионат Восточной Европы по жиму лежа в многослойной экипировке
26 - 29 марта 2015 года</t>
  </si>
  <si>
    <t>самостоятельно</t>
  </si>
  <si>
    <t>Чемпионат Восточной Европы по жиму лежа в многослойной экипировке ДК
26 - 29 марта 2015 года</t>
  </si>
  <si>
    <t>Чемпионат Восточной Европы по жиму лежа без экипировки среди спортсменов с физическими особенностями
26 - 29 марта 2015 года</t>
  </si>
  <si>
    <t xml:space="preserve">Юрков Андрей </t>
  </si>
  <si>
    <t>Чемпионат Восточной Европы по становой тяге без экипировки
26 - 29 марта 2015 года</t>
  </si>
  <si>
    <t xml:space="preserve">Кувалдина Ирина </t>
  </si>
  <si>
    <t xml:space="preserve">Никонова Людмила </t>
  </si>
  <si>
    <t xml:space="preserve">Дога Виктория </t>
  </si>
  <si>
    <t xml:space="preserve">Чернина Элина </t>
  </si>
  <si>
    <t xml:space="preserve">Шарова Оксана </t>
  </si>
  <si>
    <t xml:space="preserve">Иванькин Руслан </t>
  </si>
  <si>
    <t xml:space="preserve">Вербицкий Михаил </t>
  </si>
  <si>
    <t xml:space="preserve">Милов Денис </t>
  </si>
  <si>
    <t xml:space="preserve">Клюшев Александр </t>
  </si>
  <si>
    <t xml:space="preserve">Крылов Виктор </t>
  </si>
  <si>
    <t xml:space="preserve">Санкт-Петербург/Ленинградская область  </t>
  </si>
  <si>
    <t xml:space="preserve">Тирасполь/Молдова </t>
  </si>
  <si>
    <t>Минск/Белоруссия</t>
  </si>
  <si>
    <t>Чемпионат Восточной Европы по становой тяге без экипировки ДК
26 - 29 марта 2015 года</t>
  </si>
  <si>
    <t xml:space="preserve">Игнатов Дмитрий </t>
  </si>
  <si>
    <t>Сенькин Виктор</t>
  </si>
  <si>
    <t>Чемпионат Восточной Европы по становой тяге в экипировке
26 - 29 марта 2015 года</t>
  </si>
  <si>
    <t xml:space="preserve">Каспаров Вадим </t>
  </si>
  <si>
    <t>Исаев Роман</t>
  </si>
  <si>
    <t xml:space="preserve">Исаев Роман </t>
  </si>
  <si>
    <t>Чемпионат Восточной Европы по становой тяге в экипировке ДК
26 - 29 марта 2015 года</t>
  </si>
  <si>
    <t>Возрастная группа
Год рождения/Возраст</t>
  </si>
  <si>
    <t>Вес</t>
  </si>
  <si>
    <t>Жим лежа</t>
  </si>
  <si>
    <t>Тоннаж</t>
  </si>
  <si>
    <t>Повторения</t>
  </si>
  <si>
    <t>84,30</t>
  </si>
  <si>
    <t>90</t>
  </si>
  <si>
    <t>125</t>
  </si>
  <si>
    <t>110</t>
  </si>
  <si>
    <t>100</t>
  </si>
  <si>
    <t>Чемпионат Восточной Европы по народному жиму 26 - 29 марта 2015 года</t>
  </si>
  <si>
    <t>ВЕСОВАЯ КАТЕГОРИЯ   100+</t>
  </si>
  <si>
    <t xml:space="preserve">Атлант Гальяново </t>
  </si>
  <si>
    <t>ВЕСОВАЯ КАТЕГОРИЯ   +100</t>
  </si>
  <si>
    <t>ВЕСОВАЯ КАТЕГОРИЯ   82,5</t>
  </si>
  <si>
    <t>Masters 50-59 (24.04.1962)/52</t>
  </si>
  <si>
    <t>Жигулин Даниил</t>
  </si>
  <si>
    <t>Teen 13-19 (13.07.1997)/17</t>
  </si>
  <si>
    <t>Паллада</t>
  </si>
  <si>
    <t>Смольников Валерий</t>
  </si>
  <si>
    <t>Open (31.05.1976)/38</t>
  </si>
  <si>
    <t>91,10</t>
  </si>
  <si>
    <t>Суставов Юрий</t>
  </si>
  <si>
    <t>Open (02.10.1974)/40</t>
  </si>
  <si>
    <t xml:space="preserve">Касимов/Рязанская область </t>
  </si>
  <si>
    <t>Ерофеев Роман</t>
  </si>
  <si>
    <t>Open (13.08.1988)/26</t>
  </si>
  <si>
    <t>105,00</t>
  </si>
  <si>
    <t>102,00</t>
  </si>
  <si>
    <t>Кострома/Костромская область</t>
  </si>
  <si>
    <t>Open (21.05.1971)/43</t>
  </si>
  <si>
    <t xml:space="preserve">Оренбург/Оренбуржская область </t>
  </si>
  <si>
    <t>Епифанов Дмитрий</t>
  </si>
  <si>
    <t>Open (15.06.1979)/36</t>
  </si>
  <si>
    <t>Фаворский Денис</t>
  </si>
  <si>
    <t>Open (16.07.1971)/43</t>
  </si>
  <si>
    <t>111,40</t>
  </si>
  <si>
    <t>Masters 40-49 (21.05.1971)/43</t>
  </si>
  <si>
    <t>Masters 40-49 (16.07.1971)/43</t>
  </si>
  <si>
    <t>0.72915</t>
  </si>
  <si>
    <t>1564.027</t>
  </si>
  <si>
    <t>0.64925</t>
  </si>
  <si>
    <t>3160.224</t>
  </si>
  <si>
    <t>0.64715</t>
  </si>
  <si>
    <t>2239.171</t>
  </si>
  <si>
    <t>0.63585</t>
  </si>
  <si>
    <t>1134.992</t>
  </si>
  <si>
    <t>0.6197</t>
  </si>
  <si>
    <t>2454.012</t>
  </si>
  <si>
    <t>0.61185</t>
  </si>
  <si>
    <t>1596.928</t>
  </si>
  <si>
    <t>0.6209</t>
  </si>
  <si>
    <t>1452.906</t>
  </si>
  <si>
    <t>0.60785</t>
  </si>
  <si>
    <t>1574.332</t>
  </si>
  <si>
    <t>0.57065</t>
  </si>
  <si>
    <t>1977.302</t>
  </si>
  <si>
    <t>0.5767</t>
  </si>
  <si>
    <t>1773.352</t>
  </si>
  <si>
    <t>0.56335</t>
  </si>
  <si>
    <t>1425.275</t>
  </si>
  <si>
    <t>0.56235</t>
  </si>
  <si>
    <t>1826.316</t>
  </si>
  <si>
    <t>1771.403</t>
  </si>
  <si>
    <t>0.55095</t>
  </si>
  <si>
    <t>1454.508</t>
  </si>
  <si>
    <t>0.5606</t>
  </si>
  <si>
    <t>1198.283</t>
  </si>
  <si>
    <t>1235.429</t>
  </si>
  <si>
    <t>Чемпионат Восточной Европы по народному жиму с ДК 26 - 29 марта 2015 года</t>
  </si>
  <si>
    <t>Ефременко Михаил</t>
  </si>
  <si>
    <t>Североморск/Мурманская область</t>
  </si>
  <si>
    <t>Open (22.08.1977)/38</t>
  </si>
  <si>
    <t>Мурманск/Мурманская область</t>
  </si>
  <si>
    <t>98,80</t>
  </si>
  <si>
    <t>Лично</t>
  </si>
  <si>
    <t>96,20</t>
  </si>
  <si>
    <t>Полярный/Мурманская область</t>
  </si>
  <si>
    <t>Masters 50-59 (20.03.1962)/53</t>
  </si>
  <si>
    <t>0.99295</t>
  </si>
  <si>
    <t>0.6451</t>
  </si>
  <si>
    <t>0.63125</t>
  </si>
  <si>
    <t>0.6286</t>
  </si>
  <si>
    <t>0.5843</t>
  </si>
  <si>
    <t>0.5914</t>
  </si>
  <si>
    <t>0.56645</t>
  </si>
  <si>
    <t>0.54885</t>
  </si>
  <si>
    <t>1251.117</t>
  </si>
  <si>
    <t>1117.636</t>
  </si>
  <si>
    <t>1436.094</t>
  </si>
  <si>
    <t>1430.065</t>
  </si>
  <si>
    <t>1460.750</t>
  </si>
  <si>
    <t>807.261</t>
  </si>
  <si>
    <t>1297.760</t>
  </si>
  <si>
    <t>1142.980</t>
  </si>
  <si>
    <t>Open (26.02.1995)/20</t>
  </si>
  <si>
    <t xml:space="preserve">Коэфф. </t>
  </si>
  <si>
    <t>Чемпионат Восточной Европы по пауэрспорту
26 - 29 марта 2015 года</t>
  </si>
  <si>
    <t>Подъем на бицепс</t>
  </si>
  <si>
    <t>Жим стоя</t>
  </si>
  <si>
    <t>ВЕСОВАЯ КАТЕГОРИЯ   67,5</t>
  </si>
  <si>
    <t>Мищенко Сергей</t>
  </si>
  <si>
    <t>Open (21.07.1988)/26</t>
  </si>
  <si>
    <t>79,00</t>
  </si>
  <si>
    <t>Харьков/Украина</t>
  </si>
  <si>
    <t>Банников Дмитрий</t>
  </si>
  <si>
    <t>Open (13.12.1978)/36</t>
  </si>
  <si>
    <t>93,00</t>
  </si>
  <si>
    <t xml:space="preserve">Домодедово/Московская область </t>
  </si>
  <si>
    <t>Есин Михаил</t>
  </si>
  <si>
    <t>Masters 40-49 (17.11.1972)/41</t>
  </si>
  <si>
    <t>98,60</t>
  </si>
  <si>
    <t>Рыбинск/Ярославская область</t>
  </si>
  <si>
    <t>98.663</t>
  </si>
  <si>
    <t>0.6635</t>
  </si>
  <si>
    <t>82.938</t>
  </si>
  <si>
    <t>0.9178</t>
  </si>
  <si>
    <t>0.6013</t>
  </si>
  <si>
    <t>102.221</t>
  </si>
  <si>
    <t>0.5848</t>
  </si>
  <si>
    <t>100.410</t>
  </si>
  <si>
    <t>Чемпионат Восточной Европы по пауэрспорту ДК
26 - 29 марта 2015 года</t>
  </si>
  <si>
    <t>Juniors 20-23 (01.04.1993)/21</t>
  </si>
  <si>
    <t>20,0</t>
  </si>
  <si>
    <t>25,0</t>
  </si>
  <si>
    <t>30,0</t>
  </si>
  <si>
    <t>35,0</t>
  </si>
  <si>
    <t>Кузнецова Оксана</t>
  </si>
  <si>
    <t>50,30</t>
  </si>
  <si>
    <t>Вегетарианская сила</t>
  </si>
  <si>
    <t>Open (07.07.1990)/24</t>
  </si>
  <si>
    <t>Коновалов Ярослав</t>
  </si>
  <si>
    <t>73,80</t>
  </si>
  <si>
    <t xml:space="preserve">Полевской/Свердловская область </t>
  </si>
  <si>
    <t>Open (26.07.1987)/27</t>
  </si>
  <si>
    <t>52,5</t>
  </si>
  <si>
    <t>Юсуфи Ясин</t>
  </si>
  <si>
    <t>Open (18.04.1987)/27</t>
  </si>
  <si>
    <t>88,90</t>
  </si>
  <si>
    <t>Сочи/Краснодарский край</t>
  </si>
  <si>
    <t>0.69685</t>
  </si>
  <si>
    <t>90.590</t>
  </si>
  <si>
    <t>0.61605</t>
  </si>
  <si>
    <t>83.167</t>
  </si>
  <si>
    <t>1.0024</t>
  </si>
  <si>
    <t>55.132</t>
  </si>
  <si>
    <t>1.137</t>
  </si>
  <si>
    <t>56.850</t>
  </si>
  <si>
    <t>Жим/первое упражнение</t>
  </si>
  <si>
    <t>Жим/второе упражнение</t>
  </si>
  <si>
    <t>Сумма баллов</t>
  </si>
  <si>
    <t>Результат</t>
  </si>
  <si>
    <t>Женщины - любители с прохождением допинг контроля</t>
  </si>
  <si>
    <t>ВЕСОВАЯ КАТЕГОРИЯ   70</t>
  </si>
  <si>
    <t>Мужчины - любители с прохождением допинг контроля</t>
  </si>
  <si>
    <t>ВЕСОВАЯ КАТЕГОРИЯ   80</t>
  </si>
  <si>
    <t>Женщины - любители</t>
  </si>
  <si>
    <t>Мужчины - любители</t>
  </si>
  <si>
    <t>Алекса Михаил</t>
  </si>
  <si>
    <t>Липецк/Липецкая область</t>
  </si>
  <si>
    <t>Мужчины - профессионалы</t>
  </si>
  <si>
    <t>Мужчины - облегченная экипировка</t>
  </si>
  <si>
    <t>Мужчины - военный жим</t>
  </si>
  <si>
    <t>Есаков Алексей</t>
  </si>
  <si>
    <t>98,70</t>
  </si>
  <si>
    <t>ВЕСОВАЯ КАТЕГОРИЯ   120</t>
  </si>
  <si>
    <t>Чемпионат Восточной Европы по жимовому двоеборью
26-29 марта 2015 года</t>
  </si>
  <si>
    <t>Коэф.</t>
  </si>
  <si>
    <t>Лях Иван</t>
  </si>
  <si>
    <t>Teen 14-18 (28.03.1996)/18</t>
  </si>
  <si>
    <t>79,60</t>
  </si>
  <si>
    <t>Дивное/Ставропольский край</t>
  </si>
  <si>
    <t>Винокуров Олег</t>
  </si>
  <si>
    <t>Masters 45-50 (10.05.1966)/48</t>
  </si>
  <si>
    <t>Петров Евгений</t>
  </si>
  <si>
    <t>Teen 14-18 (14.09.1996)/18</t>
  </si>
  <si>
    <t xml:space="preserve">Октябрьский/Московская область </t>
  </si>
  <si>
    <t>ВЕСОВАЯ КАТЕГОРИЯ  110</t>
  </si>
  <si>
    <t>Борозна Денис</t>
  </si>
  <si>
    <t>Masters 40-45 (19.08.1972)/42</t>
  </si>
  <si>
    <t>109,10</t>
  </si>
  <si>
    <t>Masters 50-55 (20.03.1962)/53</t>
  </si>
  <si>
    <t>Прохина Полина</t>
  </si>
  <si>
    <t>Masters 40-45 (31.07.1970)/44</t>
  </si>
  <si>
    <t>94,20</t>
  </si>
  <si>
    <t>Рязань/Рязанская область</t>
  </si>
  <si>
    <t>Корнеев Александр</t>
  </si>
  <si>
    <t>Open (18.12.1989)/25</t>
  </si>
  <si>
    <t>83,20</t>
  </si>
  <si>
    <t>Лобня/Московская область</t>
  </si>
  <si>
    <t>Хорхордин Игорь</t>
  </si>
  <si>
    <t>Masters 45-50 (15.06.1967)/47</t>
  </si>
  <si>
    <t>87,10</t>
  </si>
  <si>
    <t>Буравлев Александр</t>
  </si>
  <si>
    <t>Juniors 18-24 (01.11.1992)/22</t>
  </si>
  <si>
    <t>Манцеров Сергей</t>
  </si>
  <si>
    <t>Open (27.10.1970)/44</t>
  </si>
  <si>
    <t>106,50</t>
  </si>
  <si>
    <t>Грачев Александр</t>
  </si>
  <si>
    <t>Open (05.02.1985)/30</t>
  </si>
  <si>
    <t>100,80</t>
  </si>
  <si>
    <t>Петриков/Беларуссия</t>
  </si>
  <si>
    <t>Чахоткин Сергей</t>
  </si>
  <si>
    <t>101,30</t>
  </si>
  <si>
    <t>Никонов Александр</t>
  </si>
  <si>
    <t>Masters 40-45 (23.04.1969)/45</t>
  </si>
  <si>
    <t>Щеголев Алексей</t>
  </si>
  <si>
    <t>Open (26.03.1980)/35</t>
  </si>
  <si>
    <t>98,30</t>
  </si>
  <si>
    <t>Лосино - Петровский/Московская область</t>
  </si>
  <si>
    <t>Емельянов Николай</t>
  </si>
  <si>
    <t>ВЕСОВАЯ КАТЕГОРИЯ   130</t>
  </si>
  <si>
    <t>123,90</t>
  </si>
  <si>
    <t>Open (13.11.1977)/37</t>
  </si>
  <si>
    <t>Соколовский Борис</t>
  </si>
  <si>
    <t>Open (11.06.1961)/53</t>
  </si>
  <si>
    <t>Краснов Илья</t>
  </si>
  <si>
    <t>Open (29.09.1975)/39</t>
  </si>
  <si>
    <t>Жуковский/Московская область</t>
  </si>
  <si>
    <t>Сербин Анатолий</t>
  </si>
  <si>
    <t>Open (26.07.1990)/24</t>
  </si>
  <si>
    <t>115,20</t>
  </si>
  <si>
    <t>Мужчины - спортсмены с ограниченными возможностями</t>
  </si>
  <si>
    <t>1.1207</t>
  </si>
  <si>
    <t>0.6849</t>
  </si>
  <si>
    <t>0.7166</t>
  </si>
  <si>
    <t>0.5885</t>
  </si>
  <si>
    <t>0.5900</t>
  </si>
  <si>
    <t>0.5930</t>
  </si>
  <si>
    <t>1.0397</t>
  </si>
  <si>
    <t>0.8489</t>
  </si>
  <si>
    <t>0.6744</t>
  </si>
  <si>
    <t>0.6665</t>
  </si>
  <si>
    <t>0.6495</t>
  </si>
  <si>
    <t>0.6118</t>
  </si>
  <si>
    <t>0.5964</t>
  </si>
  <si>
    <t>0.6067</t>
  </si>
  <si>
    <t>0.6055</t>
  </si>
  <si>
    <t>0.5924</t>
  </si>
  <si>
    <t>0.6129</t>
  </si>
  <si>
    <t>0.6098</t>
  </si>
  <si>
    <t>0.5878</t>
  </si>
  <si>
    <t>0.5811</t>
  </si>
  <si>
    <t>0.5709</t>
  </si>
  <si>
    <t>0.6086</t>
  </si>
  <si>
    <t>0.5976</t>
  </si>
  <si>
    <t>0.7729</t>
  </si>
  <si>
    <t>0.5943</t>
  </si>
  <si>
    <t>0.5808</t>
  </si>
  <si>
    <t>Роллинг Тандер</t>
  </si>
  <si>
    <t>Женщины</t>
  </si>
  <si>
    <t>43,0</t>
  </si>
  <si>
    <t>48,0</t>
  </si>
  <si>
    <t>68,0</t>
  </si>
  <si>
    <t>73,0</t>
  </si>
  <si>
    <t>63,0</t>
  </si>
  <si>
    <t>Талдыкин Артем</t>
  </si>
  <si>
    <t xml:space="preserve">Воронеж/Воронежская область </t>
  </si>
  <si>
    <t>Шевченко Сергей</t>
  </si>
  <si>
    <t>Ткачук Владислав</t>
  </si>
  <si>
    <t>Juniors (03.09.1997)/17</t>
  </si>
  <si>
    <t>Гаврилов - Ямская ДЮСШ</t>
  </si>
  <si>
    <t xml:space="preserve">Гаврилов - Ям/Ярославская область </t>
  </si>
  <si>
    <t>Худяков Владимир</t>
  </si>
  <si>
    <t>Медков Роман</t>
  </si>
  <si>
    <t>78,0</t>
  </si>
  <si>
    <t>Миронов Станислав</t>
  </si>
  <si>
    <t>Open (18.08.1983)/31</t>
  </si>
  <si>
    <t>93,0</t>
  </si>
  <si>
    <t>98,0</t>
  </si>
  <si>
    <t>Житарев Иван</t>
  </si>
  <si>
    <t>Open (08.05.1992)/22</t>
  </si>
  <si>
    <t>86,20</t>
  </si>
  <si>
    <t>83,0</t>
  </si>
  <si>
    <t>Open (30.04.1974)/40</t>
  </si>
  <si>
    <t>88,0</t>
  </si>
  <si>
    <t>Masters (30.04.1974)/40</t>
  </si>
  <si>
    <t>Пеньковский Роман</t>
  </si>
  <si>
    <t>Juniors (10.05.1993)/21</t>
  </si>
  <si>
    <t>105,5</t>
  </si>
  <si>
    <t>Бадюк Сергей</t>
  </si>
  <si>
    <t>Open (10.05.1993)/21</t>
  </si>
  <si>
    <t>Борисов Игорь</t>
  </si>
  <si>
    <t xml:space="preserve">Навашино/Нижегородская область </t>
  </si>
  <si>
    <t>Open</t>
  </si>
  <si>
    <t>Открытая</t>
  </si>
  <si>
    <t>Чемпионат Восточной Европы по армлифтингу, Роллинг Тандер
26-29 марта 2015 года</t>
  </si>
  <si>
    <t>Журавлева Алена</t>
  </si>
  <si>
    <t>Juniors (19.05.1994)/20</t>
  </si>
  <si>
    <t xml:space="preserve">Гаврилов Ям /Ярославская область </t>
  </si>
  <si>
    <t>38,0</t>
  </si>
  <si>
    <t>Руденко Светлана</t>
  </si>
  <si>
    <t>57,70</t>
  </si>
  <si>
    <t>Владивосток/Приморский край</t>
  </si>
  <si>
    <t>Майманов Али</t>
  </si>
  <si>
    <t>Open (06.06.1979)/35</t>
  </si>
  <si>
    <t>Open (17.11.1991)/23</t>
  </si>
  <si>
    <t>67,0</t>
  </si>
  <si>
    <t>53,0</t>
  </si>
  <si>
    <t>58,0</t>
  </si>
  <si>
    <t>Колистратов Дмитрий</t>
  </si>
  <si>
    <t>Абакумов Александр</t>
  </si>
  <si>
    <t>Juniors (19.05.1993)/21</t>
  </si>
  <si>
    <t>63,40</t>
  </si>
  <si>
    <t>Деревянко Артем</t>
  </si>
  <si>
    <t>Juniors (01.10.1995)/19</t>
  </si>
  <si>
    <t>75,60</t>
  </si>
  <si>
    <t>Выходцев Василий</t>
  </si>
  <si>
    <t>Барладяну Константин</t>
  </si>
  <si>
    <t>Juniors (20.04.1997)/17</t>
  </si>
  <si>
    <t>75,90</t>
  </si>
  <si>
    <t>Кагул/Молдова</t>
  </si>
  <si>
    <t>Мырзенко Сергей</t>
  </si>
  <si>
    <t>77,30</t>
  </si>
  <si>
    <t>Open (01.10.1995)/19</t>
  </si>
  <si>
    <t>Созонов Андрей</t>
  </si>
  <si>
    <t>79,70</t>
  </si>
  <si>
    <t>Капралов Александр</t>
  </si>
  <si>
    <t>Open (13.12.1990)/24</t>
  </si>
  <si>
    <t>Open (03.08.1992)/22</t>
  </si>
  <si>
    <t>78,00</t>
  </si>
  <si>
    <t>Силачи старой школы</t>
  </si>
  <si>
    <t xml:space="preserve">Санкт Петербург/Ленинградская область </t>
  </si>
  <si>
    <t>Башун Виктор</t>
  </si>
  <si>
    <t>Open (08.03.1977)/38</t>
  </si>
  <si>
    <t>75,80</t>
  </si>
  <si>
    <t>Фитнес на Сухонской</t>
  </si>
  <si>
    <t>Open (02.12.1991)/23</t>
  </si>
  <si>
    <t>77,40</t>
  </si>
  <si>
    <t>Juniors (23.11.1996)/18</t>
  </si>
  <si>
    <t>84,60</t>
  </si>
  <si>
    <t>87,40</t>
  </si>
  <si>
    <t>Open (13.03.1991)/24</t>
  </si>
  <si>
    <t>Середич Александр</t>
  </si>
  <si>
    <t>Open (02.01.1984)/31</t>
  </si>
  <si>
    <t>Бобруйск/Белоруссия</t>
  </si>
  <si>
    <t>Федяев Михаил</t>
  </si>
  <si>
    <t>Open (03.03.1987)/28</t>
  </si>
  <si>
    <t>Казань/Татарстан</t>
  </si>
  <si>
    <t>Хазиева Розалия</t>
  </si>
  <si>
    <t>Безъязыков Алексей</t>
  </si>
  <si>
    <t>Open (05.12.1990)/24</t>
  </si>
  <si>
    <t>88,70</t>
  </si>
  <si>
    <t>Никитин Борис</t>
  </si>
  <si>
    <t>Чугин Владимир</t>
  </si>
  <si>
    <t>164,00</t>
  </si>
  <si>
    <t>140 +</t>
  </si>
  <si>
    <t>Кулясов Сергей</t>
  </si>
  <si>
    <t>Open (11.09.1982)/32</t>
  </si>
  <si>
    <t>99,40</t>
  </si>
  <si>
    <t>100,5</t>
  </si>
  <si>
    <t>113,0</t>
  </si>
  <si>
    <t>115,5</t>
  </si>
  <si>
    <t>Синельник Александр</t>
  </si>
  <si>
    <t>Open (14.10.1988)/26</t>
  </si>
  <si>
    <t>Пенза/Пензенская область</t>
  </si>
  <si>
    <t>Рыжков Сергей</t>
  </si>
  <si>
    <t>Open (28.01.1987)/28</t>
  </si>
  <si>
    <t>Туманян Давид</t>
  </si>
  <si>
    <t>Open (10.04.1992)/22</t>
  </si>
  <si>
    <t>97,00</t>
  </si>
  <si>
    <t>Masters (17.11.1972)/41</t>
  </si>
  <si>
    <t>Можаров Александр</t>
  </si>
  <si>
    <t>Masters (05.10.1965)/50</t>
  </si>
  <si>
    <t>93,20</t>
  </si>
  <si>
    <t>Загидуллин Анис</t>
  </si>
  <si>
    <t>Masters (31.07.1971)/43</t>
  </si>
  <si>
    <t>108,20</t>
  </si>
  <si>
    <t>120,5</t>
  </si>
  <si>
    <t>Кудашкин Александр</t>
  </si>
  <si>
    <t>Open (04.06.1992)/22</t>
  </si>
  <si>
    <t>105,10</t>
  </si>
  <si>
    <t>Зайцев Олег</t>
  </si>
  <si>
    <t>Open (05.01.1976)/39</t>
  </si>
  <si>
    <t>109,50</t>
  </si>
  <si>
    <t xml:space="preserve">Переславль Залеский/Московская область </t>
  </si>
  <si>
    <t>Зайцев Артем</t>
  </si>
  <si>
    <t>Евсиков Владимир</t>
  </si>
  <si>
    <t>Masters (10.04.1963)/52</t>
  </si>
  <si>
    <t>Masters (27.07.1952)/62</t>
  </si>
  <si>
    <t>102,60</t>
  </si>
  <si>
    <t>Асиновский Александр</t>
  </si>
  <si>
    <t>Open (17.06.1978)/36</t>
  </si>
  <si>
    <t>110,90</t>
  </si>
  <si>
    <t>Богомолов Владимир</t>
  </si>
  <si>
    <t>Open (14.08.1982)/32</t>
  </si>
  <si>
    <t>122,40</t>
  </si>
  <si>
    <t>Masters (16.07.1971)/43</t>
  </si>
  <si>
    <t>545,0</t>
  </si>
  <si>
    <t>581,3860</t>
  </si>
  <si>
    <t>540,8580</t>
  </si>
  <si>
    <t>455,0</t>
  </si>
  <si>
    <t>581,9450</t>
  </si>
  <si>
    <t>575,0</t>
  </si>
  <si>
    <t>557,4050</t>
  </si>
  <si>
    <t>562,5</t>
  </si>
  <si>
    <t>565,0</t>
  </si>
  <si>
    <t>Рубин Сергей</t>
  </si>
  <si>
    <t>75</t>
  </si>
  <si>
    <t>435,0</t>
  </si>
  <si>
    <t>475,0</t>
  </si>
  <si>
    <t>Чемпионат Восточной Европы по армлифтингу, Аполлон Аксель
26-29 марта 2015 года</t>
  </si>
  <si>
    <t>Зайцева Татьяна</t>
  </si>
  <si>
    <t>Цыганкова Ирина</t>
  </si>
  <si>
    <t>Open (12.12.1981)/33</t>
  </si>
  <si>
    <t>58,80</t>
  </si>
  <si>
    <t>Open (21.06.1980)/34</t>
  </si>
  <si>
    <t>57,90</t>
  </si>
  <si>
    <t>Макеев Алексей</t>
  </si>
  <si>
    <t>Суванов Илья</t>
  </si>
  <si>
    <t>Juniors (05.08.1996)/18</t>
  </si>
  <si>
    <t>Богородицк Стронг</t>
  </si>
  <si>
    <t xml:space="preserve">Первышин Евгений </t>
  </si>
  <si>
    <t>Open (05.08.1996)/18</t>
  </si>
  <si>
    <t>Худяков Владимр</t>
  </si>
  <si>
    <t>Open (11.06.1984)/30</t>
  </si>
  <si>
    <t>79,40</t>
  </si>
  <si>
    <t>Панфилов Алексей</t>
  </si>
  <si>
    <t>Open (18.03.1992)/23</t>
  </si>
  <si>
    <t>74,30</t>
  </si>
  <si>
    <t>Бурыблин Александр</t>
  </si>
  <si>
    <t>Мошков Андрей</t>
  </si>
  <si>
    <t>Juniors (14.01.1995)/20</t>
  </si>
  <si>
    <t>81,70</t>
  </si>
  <si>
    <t>Open (09.11.1981)/33</t>
  </si>
  <si>
    <t>Борисов Денис</t>
  </si>
  <si>
    <t>Open (11.01.1992)/23</t>
  </si>
  <si>
    <t>Остертак Максим</t>
  </si>
  <si>
    <t>Open (23.09.1982)/32</t>
  </si>
  <si>
    <t>Новосибриск/Новосибирская область</t>
  </si>
  <si>
    <t>Masters (17.11.1974)/40</t>
  </si>
  <si>
    <t>102,90</t>
  </si>
  <si>
    <t>Open (06.11.1972)/42</t>
  </si>
  <si>
    <t>ВЕСОВАЯ КАТЕГОРИЯ   125 +</t>
  </si>
  <si>
    <t>125 +</t>
  </si>
  <si>
    <t>Чемпионат Восточной Европы по армлифтингу, Эскалибур
26-29 марта 2015 года</t>
  </si>
  <si>
    <t>Аполлон Аксель</t>
  </si>
  <si>
    <t>Эскалибур</t>
  </si>
  <si>
    <t>АБСОЛЮТНАЯ КАТЕГОРИЯ</t>
  </si>
  <si>
    <t>41,5</t>
  </si>
  <si>
    <t>46,5</t>
  </si>
  <si>
    <t>51,5</t>
  </si>
  <si>
    <t>56,5</t>
  </si>
  <si>
    <t>61,5</t>
  </si>
  <si>
    <t>66,5</t>
  </si>
  <si>
    <t>Open (10.04.1963)/52</t>
  </si>
  <si>
    <t>Open (31.07.1971)/43</t>
  </si>
  <si>
    <t>81,5</t>
  </si>
  <si>
    <t>86,5</t>
  </si>
  <si>
    <t>96,5</t>
  </si>
  <si>
    <t>101,5</t>
  </si>
  <si>
    <t>106,5</t>
  </si>
  <si>
    <t>111,5</t>
  </si>
  <si>
    <t>116,5</t>
  </si>
  <si>
    <t>119,0</t>
  </si>
  <si>
    <t>91,5</t>
  </si>
  <si>
    <t>ХАБ</t>
  </si>
  <si>
    <t>Чемпионат Восточной Европы по армлифтингу, ХАБ
26-29 марта 2015 года</t>
  </si>
  <si>
    <t>12,5</t>
  </si>
  <si>
    <t>15,0</t>
  </si>
  <si>
    <t>Бояров Александр</t>
  </si>
  <si>
    <t>Open (21.07.1986)/28</t>
  </si>
  <si>
    <t xml:space="preserve">Брянск/Брянская область </t>
  </si>
  <si>
    <t>17,5</t>
  </si>
  <si>
    <t>22,5</t>
  </si>
  <si>
    <t>27,5</t>
  </si>
  <si>
    <t>Виткевич Николай</t>
  </si>
  <si>
    <t>0</t>
  </si>
  <si>
    <t>Главный судья соревнований: Длужневский Сергей/Вологда МК</t>
  </si>
  <si>
    <t>Главный секретарь: Длужневский Сергей/Вологда МК</t>
  </si>
  <si>
    <t>Аппеляционное жюри: Длужневская Эльвира/Вологда МК, Длужневский Сергей/Вологда МК, Новиков Степан/Вологда МК</t>
  </si>
  <si>
    <t>Состав судейской коллегии на Чемпионате Восточной Европы по пауэрлифтингу, его отдельным движениям, народному жиму и жимовому двоеборью
Москва, 26-29 марта 2015 года</t>
  </si>
  <si>
    <t>Главный секретарь: Новиков Степан/Вологда МК</t>
  </si>
  <si>
    <t xml:space="preserve">Центральный судья на помосте: Длужневская Эльвира/Вологда МК, Новиков Степан/Вологда МК, Лысиков Дмитрий/Санкт Петербург НК, </t>
  </si>
  <si>
    <t>Смирнов Олег/Санкт Петербург НК, Семенов Илья/Москва НК, Емельянов Алексей/Серпухов НК, Туманов Александр/Серпухов НК, Ширалиев Самир/Баку НК</t>
  </si>
  <si>
    <t>Состав судейской коллегии на Чемпионате Восточной Европы по армлифтингу
Москва, 26-29 марта 2015 года</t>
  </si>
  <si>
    <t>Центральный судья на помосте: Виткевич Николай/Брянск МК, Бояров Александр/Брянск МК, Длужневская Эльвира/Вологда НК</t>
  </si>
  <si>
    <t>Смирнов Олег/Санкт Петербург РК, Лысиков Дмитрий/Санкт Петербург РК</t>
  </si>
  <si>
    <t>Помощник главного секретаря: Нечаева Екатерина/Вологда НК, Ермолаева Дарья/Санкт Петербург, Кузнецова Оксана/Санкт Петербург</t>
  </si>
  <si>
    <t>Командный зачет Чемпионата Восточной Европы по пауэрлифтингу, его отдельным движениям, народному жиму, пауэрспорту, жимовому двоеборью и армлифтингу
Москва, 26-29 марта 2015 года</t>
  </si>
  <si>
    <t>Команда Длужневского</t>
  </si>
  <si>
    <t>Гавриллов Ямская ДЮСШ</t>
  </si>
  <si>
    <t>Динамит</t>
  </si>
  <si>
    <t>Команда Блинкова</t>
  </si>
  <si>
    <t>Тверская команда</t>
  </si>
  <si>
    <t>Химик</t>
  </si>
  <si>
    <t>ЦВР</t>
  </si>
  <si>
    <t xml:space="preserve">Паллада </t>
  </si>
  <si>
    <t>Атлант Гольяново</t>
  </si>
  <si>
    <t>Кузеева</t>
  </si>
  <si>
    <t>Команда Кузеева</t>
  </si>
  <si>
    <t xml:space="preserve">Боковые судьи на помосте: Лысиков Дмитрий/Санкт Петербург НК, Смирнов Олег/Санкт Петербург НК, Семенов Илья/Москва НК, Гунина Ксения/Москва РК, Рек Александр/Москва РК, </t>
  </si>
  <si>
    <t>Трапезникова Наталья/Санкт Петербург РК, Ильхасан Ибрагим/Симферополь РК, Ширалиев Самир/Баку НК, Якушевич Алексей/Вологда РК</t>
  </si>
  <si>
    <t>Бородько Илья</t>
  </si>
  <si>
    <t xml:space="preserve"> DQ </t>
  </si>
  <si>
    <t>0.8681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</si>
</sst>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"/>
  </numFmts>
  <fonts count="59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trike/>
      <sz val="10"/>
      <color indexed="21"/>
      <name val="Arial Cyr"/>
      <family val="0"/>
    </font>
    <font>
      <b/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 Cyr"/>
      <family val="0"/>
    </font>
    <font>
      <sz val="10"/>
      <color rgb="FFFF0000"/>
      <name val="Arial Cyr"/>
      <family val="0"/>
    </font>
    <font>
      <strike/>
      <sz val="10"/>
      <color rgb="FF00B050"/>
      <name val="Arial Cyr"/>
      <family val="0"/>
    </font>
    <font>
      <b/>
      <sz val="10"/>
      <color rgb="FFFF0000"/>
      <name val="Arial Cyr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left"/>
    </xf>
    <xf numFmtId="49" fontId="0" fillId="0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8" fillId="0" borderId="14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8" fillId="0" borderId="12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11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/>
    </xf>
    <xf numFmtId="49" fontId="54" fillId="0" borderId="12" xfId="0" applyNumberFormat="1" applyFont="1" applyFill="1" applyBorder="1" applyAlignment="1">
      <alignment horizontal="center"/>
    </xf>
    <xf numFmtId="49" fontId="54" fillId="0" borderId="13" xfId="0" applyNumberFormat="1" applyFont="1" applyFill="1" applyBorder="1" applyAlignment="1">
      <alignment horizontal="center"/>
    </xf>
    <xf numFmtId="49" fontId="55" fillId="0" borderId="1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54" fillId="0" borderId="13" xfId="0" applyNumberFormat="1" applyFont="1" applyBorder="1" applyAlignment="1">
      <alignment/>
    </xf>
    <xf numFmtId="49" fontId="54" fillId="0" borderId="14" xfId="0" applyNumberFormat="1" applyFont="1" applyBorder="1" applyAlignment="1">
      <alignment/>
    </xf>
    <xf numFmtId="49" fontId="54" fillId="0" borderId="12" xfId="0" applyNumberFormat="1" applyFont="1" applyBorder="1" applyAlignment="1">
      <alignment/>
    </xf>
    <xf numFmtId="49" fontId="54" fillId="0" borderId="11" xfId="0" applyNumberFormat="1" applyFont="1" applyBorder="1" applyAlignment="1">
      <alignment/>
    </xf>
    <xf numFmtId="49" fontId="56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57" fillId="0" borderId="13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177" fontId="2" fillId="0" borderId="11" xfId="0" applyNumberFormat="1" applyFont="1" applyBorder="1" applyAlignment="1">
      <alignment horizontal="left"/>
    </xf>
    <xf numFmtId="177" fontId="2" fillId="0" borderId="13" xfId="0" applyNumberFormat="1" applyFont="1" applyBorder="1" applyAlignment="1">
      <alignment horizontal="left"/>
    </xf>
    <xf numFmtId="177" fontId="2" fillId="0" borderId="12" xfId="0" applyNumberFormat="1" applyFont="1" applyBorder="1" applyAlignment="1">
      <alignment horizontal="left"/>
    </xf>
    <xf numFmtId="177" fontId="57" fillId="0" borderId="13" xfId="0" applyNumberFormat="1" applyFont="1" applyBorder="1" applyAlignment="1">
      <alignment horizontal="left"/>
    </xf>
    <xf numFmtId="177" fontId="57" fillId="0" borderId="12" xfId="0" applyNumberFormat="1" applyFont="1" applyBorder="1" applyAlignment="1">
      <alignment horizontal="left"/>
    </xf>
    <xf numFmtId="177" fontId="2" fillId="0" borderId="14" xfId="0" applyNumberFormat="1" applyFont="1" applyBorder="1" applyAlignment="1">
      <alignment horizontal="left"/>
    </xf>
    <xf numFmtId="177" fontId="2" fillId="0" borderId="13" xfId="0" applyNumberFormat="1" applyFont="1" applyBorder="1" applyAlignment="1">
      <alignment/>
    </xf>
    <xf numFmtId="177" fontId="57" fillId="0" borderId="11" xfId="0" applyNumberFormat="1" applyFont="1" applyBorder="1" applyAlignment="1">
      <alignment horizontal="left"/>
    </xf>
    <xf numFmtId="177" fontId="2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1" fillId="0" borderId="0" xfId="0" applyNumberFormat="1" applyFont="1" applyFill="1" applyBorder="1" applyAlignment="1">
      <alignment horizontal="left" indent="1"/>
    </xf>
    <xf numFmtId="49" fontId="6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9" fontId="12" fillId="0" borderId="0" xfId="0" applyNumberFormat="1" applyFont="1" applyAlignment="1">
      <alignment horizontal="left" indent="1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72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right"/>
    </xf>
    <xf numFmtId="177" fontId="0" fillId="0" borderId="0" xfId="0" applyNumberFormat="1" applyAlignment="1">
      <alignment/>
    </xf>
    <xf numFmtId="0" fontId="13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0" fillId="0" borderId="17" xfId="0" applyBorder="1" applyAlignment="1">
      <alignment/>
    </xf>
    <xf numFmtId="172" fontId="54" fillId="0" borderId="13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177" fontId="54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172" fontId="2" fillId="0" borderId="0" xfId="0" applyNumberFormat="1" applyFont="1" applyAlignment="1">
      <alignment horizontal="center"/>
    </xf>
    <xf numFmtId="49" fontId="0" fillId="0" borderId="13" xfId="0" applyNumberFormat="1" applyFill="1" applyBorder="1" applyAlignment="1">
      <alignment/>
    </xf>
    <xf numFmtId="0" fontId="2" fillId="0" borderId="0" xfId="0" applyFont="1" applyFill="1" applyAlignment="1">
      <alignment/>
    </xf>
    <xf numFmtId="49" fontId="15" fillId="0" borderId="13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54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177" fontId="54" fillId="0" borderId="0" xfId="0" applyNumberFormat="1" applyFont="1" applyAlignment="1">
      <alignment horizontal="left"/>
    </xf>
    <xf numFmtId="177" fontId="54" fillId="0" borderId="13" xfId="0" applyNumberFormat="1" applyFont="1" applyBorder="1" applyAlignment="1">
      <alignment horizontal="left"/>
    </xf>
    <xf numFmtId="0" fontId="58" fillId="0" borderId="13" xfId="0" applyFont="1" applyBorder="1" applyAlignment="1">
      <alignment/>
    </xf>
    <xf numFmtId="183" fontId="0" fillId="0" borderId="13" xfId="0" applyNumberFormat="1" applyFont="1" applyBorder="1" applyAlignment="1">
      <alignment horizontal="left"/>
    </xf>
    <xf numFmtId="183" fontId="13" fillId="0" borderId="13" xfId="0" applyNumberFormat="1" applyFont="1" applyBorder="1" applyAlignment="1">
      <alignment/>
    </xf>
    <xf numFmtId="183" fontId="14" fillId="0" borderId="0" xfId="0" applyNumberFormat="1" applyFont="1" applyBorder="1" applyAlignment="1">
      <alignment horizontal="center"/>
    </xf>
    <xf numFmtId="2" fontId="54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55" fillId="0" borderId="13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72" fontId="0" fillId="0" borderId="15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G17" sqref="G17"/>
    </sheetView>
  </sheetViews>
  <sheetFormatPr defaultColWidth="8.75390625" defaultRowHeight="12.75"/>
  <cols>
    <col min="1" max="1" width="3.375" style="0" customWidth="1"/>
    <col min="2" max="2" width="30.875" style="0" customWidth="1"/>
    <col min="3" max="3" width="27.75390625" style="0" customWidth="1"/>
    <col min="4" max="4" width="10.00390625" style="0" customWidth="1"/>
    <col min="5" max="5" width="10.625" style="0" customWidth="1"/>
    <col min="6" max="6" width="20.00390625" style="0" customWidth="1"/>
    <col min="7" max="7" width="37.125" style="0" customWidth="1"/>
    <col min="8" max="16" width="8.75390625" style="0" customWidth="1"/>
    <col min="17" max="17" width="11.875" style="0" customWidth="1"/>
    <col min="18" max="18" width="23.875" style="0" customWidth="1"/>
  </cols>
  <sheetData>
    <row r="1" spans="1:18" ht="12.75">
      <c r="A1" s="43"/>
      <c r="B1" s="157" t="s">
        <v>1198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44.2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ht="13.5">
      <c r="A3" s="2"/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1176</v>
      </c>
      <c r="I3" s="151"/>
      <c r="J3" s="151"/>
      <c r="K3" s="151"/>
      <c r="L3" s="151" t="s">
        <v>1175</v>
      </c>
      <c r="M3" s="151"/>
      <c r="N3" s="166"/>
      <c r="O3" s="167"/>
      <c r="P3" s="151" t="s">
        <v>4</v>
      </c>
      <c r="Q3" s="151" t="s">
        <v>935</v>
      </c>
      <c r="R3" s="153" t="s">
        <v>5</v>
      </c>
    </row>
    <row r="4" spans="1:18" ht="15" thickBot="1">
      <c r="A4" s="2"/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152"/>
      <c r="Q4" s="152"/>
      <c r="R4" s="154"/>
    </row>
    <row r="5" spans="1:18" ht="15.75">
      <c r="A5" s="49"/>
      <c r="B5" s="155" t="s">
        <v>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25"/>
    </row>
    <row r="6" spans="1:18" ht="12.75">
      <c r="A6" s="49">
        <v>1</v>
      </c>
      <c r="B6" s="26" t="s">
        <v>916</v>
      </c>
      <c r="C6" s="26" t="s">
        <v>1199</v>
      </c>
      <c r="D6" s="26" t="s">
        <v>918</v>
      </c>
      <c r="E6" s="110" t="s">
        <v>1221</v>
      </c>
      <c r="F6" s="26" t="s">
        <v>1206</v>
      </c>
      <c r="G6" s="26" t="s">
        <v>1005</v>
      </c>
      <c r="H6" s="26" t="s">
        <v>1202</v>
      </c>
      <c r="I6" s="50" t="s">
        <v>1203</v>
      </c>
      <c r="J6" s="26" t="s">
        <v>1203</v>
      </c>
      <c r="K6" s="27"/>
      <c r="L6" s="26" t="s">
        <v>1200</v>
      </c>
      <c r="M6" s="50" t="s">
        <v>1201</v>
      </c>
      <c r="N6" s="50" t="s">
        <v>1201</v>
      </c>
      <c r="O6" s="27"/>
      <c r="P6" s="55" t="s">
        <v>17</v>
      </c>
      <c r="Q6" s="105" t="s">
        <v>1222</v>
      </c>
      <c r="R6" s="26" t="s">
        <v>514</v>
      </c>
    </row>
    <row r="7" spans="1:18" ht="12.75">
      <c r="A7" s="49">
        <v>1</v>
      </c>
      <c r="B7" s="26" t="s">
        <v>1204</v>
      </c>
      <c r="C7" s="26" t="s">
        <v>1207</v>
      </c>
      <c r="D7" s="26" t="s">
        <v>1205</v>
      </c>
      <c r="E7" s="110" t="s">
        <v>1223</v>
      </c>
      <c r="F7" s="26" t="s">
        <v>1206</v>
      </c>
      <c r="G7" s="26" t="s">
        <v>1005</v>
      </c>
      <c r="H7" s="26" t="s">
        <v>1200</v>
      </c>
      <c r="I7" s="26" t="s">
        <v>1201</v>
      </c>
      <c r="J7" s="26" t="s">
        <v>1202</v>
      </c>
      <c r="K7" s="27"/>
      <c r="L7" s="50" t="s">
        <v>1200</v>
      </c>
      <c r="M7" s="26" t="s">
        <v>1200</v>
      </c>
      <c r="N7" s="50" t="s">
        <v>1201</v>
      </c>
      <c r="O7" s="27"/>
      <c r="P7" s="55" t="s">
        <v>16</v>
      </c>
      <c r="Q7" s="105" t="s">
        <v>1224</v>
      </c>
      <c r="R7" s="26" t="s">
        <v>514</v>
      </c>
    </row>
    <row r="8" spans="1:18" ht="12.75">
      <c r="A8" s="4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0"/>
      <c r="Q8" s="25"/>
      <c r="R8" s="25"/>
    </row>
    <row r="9" spans="1:18" ht="15.75">
      <c r="A9" s="49"/>
      <c r="B9" s="156" t="s">
        <v>35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25"/>
    </row>
    <row r="10" spans="1:18" ht="12.75">
      <c r="A10" s="49">
        <v>1</v>
      </c>
      <c r="B10" s="26" t="s">
        <v>1208</v>
      </c>
      <c r="C10" s="26" t="s">
        <v>1211</v>
      </c>
      <c r="D10" s="26" t="s">
        <v>1209</v>
      </c>
      <c r="E10" s="110" t="s">
        <v>1217</v>
      </c>
      <c r="F10" s="26" t="s">
        <v>12</v>
      </c>
      <c r="G10" s="26" t="s">
        <v>1210</v>
      </c>
      <c r="H10" s="26" t="s">
        <v>146</v>
      </c>
      <c r="I10" s="50" t="s">
        <v>160</v>
      </c>
      <c r="J10" s="26" t="s">
        <v>160</v>
      </c>
      <c r="K10" s="27"/>
      <c r="L10" s="26" t="s">
        <v>16</v>
      </c>
      <c r="M10" s="26" t="s">
        <v>1212</v>
      </c>
      <c r="N10" s="50" t="s">
        <v>17</v>
      </c>
      <c r="O10" s="50"/>
      <c r="P10" s="66">
        <v>130</v>
      </c>
      <c r="Q10" s="105" t="s">
        <v>1218</v>
      </c>
      <c r="R10" s="26" t="s">
        <v>72</v>
      </c>
    </row>
    <row r="11" spans="1:17" ht="15.75">
      <c r="A11" s="49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2:17" ht="15.75">
      <c r="B12" s="156" t="s">
        <v>62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</row>
    <row r="13" spans="1:18" ht="12.75">
      <c r="A13" s="49">
        <v>1</v>
      </c>
      <c r="B13" s="26" t="s">
        <v>1213</v>
      </c>
      <c r="C13" s="26" t="s">
        <v>1214</v>
      </c>
      <c r="D13" s="26" t="s">
        <v>1215</v>
      </c>
      <c r="E13" s="110" t="s">
        <v>1219</v>
      </c>
      <c r="F13" s="26" t="s">
        <v>12</v>
      </c>
      <c r="G13" s="26" t="s">
        <v>1216</v>
      </c>
      <c r="H13" s="26" t="s">
        <v>16</v>
      </c>
      <c r="I13" s="26" t="s">
        <v>28</v>
      </c>
      <c r="J13" s="26" t="s">
        <v>159</v>
      </c>
      <c r="K13" s="27"/>
      <c r="L13" s="26" t="s">
        <v>16</v>
      </c>
      <c r="M13" s="50" t="s">
        <v>29</v>
      </c>
      <c r="N13" s="26" t="s">
        <v>29</v>
      </c>
      <c r="O13" s="50"/>
      <c r="P13" s="66">
        <v>135</v>
      </c>
      <c r="Q13" s="105" t="s">
        <v>1220</v>
      </c>
      <c r="R13" s="26" t="s">
        <v>72</v>
      </c>
    </row>
  </sheetData>
  <sheetProtection/>
  <mergeCells count="16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  <mergeCell ref="B5:Q5"/>
    <mergeCell ref="B9:Q9"/>
    <mergeCell ref="B11:Q11"/>
    <mergeCell ref="B12:Q12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3">
      <selection activeCell="B11" sqref="B11:M11"/>
    </sheetView>
  </sheetViews>
  <sheetFormatPr defaultColWidth="8.75390625" defaultRowHeight="12.75"/>
  <cols>
    <col min="1" max="1" width="5.75390625" style="49" customWidth="1"/>
    <col min="2" max="2" width="25.875" style="25" customWidth="1"/>
    <col min="3" max="3" width="26.00390625" style="25" bestFit="1" customWidth="1"/>
    <col min="4" max="4" width="12.75390625" style="25" customWidth="1"/>
    <col min="5" max="5" width="9.375" style="25" customWidth="1"/>
    <col min="6" max="6" width="22.75390625" style="25" bestFit="1" customWidth="1"/>
    <col min="7" max="7" width="34.625" style="25" bestFit="1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9.75390625" style="25" customWidth="1"/>
    <col min="14" max="14" width="21.00390625" style="25" customWidth="1"/>
  </cols>
  <sheetData>
    <row r="1" spans="1:14" s="1" customFormat="1" ht="15" customHeight="1">
      <c r="A1" s="43"/>
      <c r="B1" s="157" t="s">
        <v>1048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156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740</v>
      </c>
      <c r="C6" s="26" t="s">
        <v>741</v>
      </c>
      <c r="D6" s="26" t="s">
        <v>742</v>
      </c>
      <c r="E6" s="26" t="str">
        <f>"1,3854"</f>
        <v>1,3854</v>
      </c>
      <c r="F6" s="26" t="s">
        <v>468</v>
      </c>
      <c r="G6" s="26" t="s">
        <v>439</v>
      </c>
      <c r="H6" s="26" t="s">
        <v>17</v>
      </c>
      <c r="I6" s="50" t="s">
        <v>28</v>
      </c>
      <c r="J6" s="50" t="s">
        <v>28</v>
      </c>
      <c r="K6" s="27"/>
      <c r="L6" s="66">
        <v>55</v>
      </c>
      <c r="M6" s="26" t="str">
        <f>"76,1970"</f>
        <v>76,1970</v>
      </c>
      <c r="N6" s="26" t="s">
        <v>998</v>
      </c>
    </row>
    <row r="8" spans="2:13" ht="15.75">
      <c r="B8" s="156" t="s">
        <v>54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>
      <c r="A9" s="49">
        <v>1</v>
      </c>
      <c r="B9" s="26" t="s">
        <v>743</v>
      </c>
      <c r="C9" s="26" t="s">
        <v>744</v>
      </c>
      <c r="D9" s="26" t="s">
        <v>745</v>
      </c>
      <c r="E9" s="26" t="str">
        <f>"1,0398"</f>
        <v>1,0398</v>
      </c>
      <c r="F9" s="26" t="s">
        <v>12</v>
      </c>
      <c r="G9" s="26" t="s">
        <v>746</v>
      </c>
      <c r="H9" s="26" t="s">
        <v>59</v>
      </c>
      <c r="I9" s="26" t="s">
        <v>212</v>
      </c>
      <c r="J9" s="27"/>
      <c r="K9" s="27"/>
      <c r="L9" s="66">
        <v>215</v>
      </c>
      <c r="M9" s="26" t="str">
        <f>"223,5570"</f>
        <v>223,5570</v>
      </c>
      <c r="N9" s="26" t="s">
        <v>72</v>
      </c>
    </row>
    <row r="11" spans="2:13" ht="15.75">
      <c r="B11" s="156" t="s">
        <v>206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4" ht="12.75">
      <c r="A12" s="49">
        <v>1</v>
      </c>
      <c r="B12" s="28" t="s">
        <v>747</v>
      </c>
      <c r="C12" s="28" t="s">
        <v>748</v>
      </c>
      <c r="D12" s="28" t="s">
        <v>749</v>
      </c>
      <c r="E12" s="28" t="str">
        <f>"0,9540"</f>
        <v>0,9540</v>
      </c>
      <c r="F12" s="28" t="s">
        <v>291</v>
      </c>
      <c r="G12" s="28" t="s">
        <v>606</v>
      </c>
      <c r="H12" s="53" t="s">
        <v>69</v>
      </c>
      <c r="I12" s="28" t="s">
        <v>69</v>
      </c>
      <c r="J12" s="28" t="s">
        <v>99</v>
      </c>
      <c r="K12" s="29"/>
      <c r="L12" s="65">
        <v>230</v>
      </c>
      <c r="M12" s="28" t="str">
        <f>"219,4200"</f>
        <v>219,4200</v>
      </c>
      <c r="N12" s="28" t="s">
        <v>968</v>
      </c>
    </row>
    <row r="13" spans="1:14" ht="12.75">
      <c r="A13" s="49">
        <v>1</v>
      </c>
      <c r="B13" s="26" t="s">
        <v>1049</v>
      </c>
      <c r="C13" s="26" t="s">
        <v>750</v>
      </c>
      <c r="D13" s="26" t="s">
        <v>751</v>
      </c>
      <c r="E13" s="26" t="str">
        <f>"0,9246"</f>
        <v>0,9246</v>
      </c>
      <c r="F13" s="26" t="s">
        <v>449</v>
      </c>
      <c r="G13" s="26" t="s">
        <v>450</v>
      </c>
      <c r="H13" s="26" t="s">
        <v>44</v>
      </c>
      <c r="I13" s="50" t="s">
        <v>253</v>
      </c>
      <c r="J13" s="50" t="s">
        <v>471</v>
      </c>
      <c r="K13" s="27"/>
      <c r="L13" s="66">
        <v>160</v>
      </c>
      <c r="M13" s="26" t="str">
        <f>"147,9360"</f>
        <v>147,9360</v>
      </c>
      <c r="N13" s="26" t="s">
        <v>452</v>
      </c>
    </row>
    <row r="16" spans="2:3" ht="18">
      <c r="B16" s="34"/>
      <c r="C16" s="34"/>
    </row>
    <row r="17" spans="2:3" ht="15.75">
      <c r="B17" s="35"/>
      <c r="C17" s="35"/>
    </row>
    <row r="18" spans="2:3" ht="13.5">
      <c r="B18" s="37"/>
      <c r="C18" s="38"/>
    </row>
    <row r="20" spans="2:3" ht="18">
      <c r="B20" s="34"/>
      <c r="C20" s="34"/>
    </row>
    <row r="21" spans="2:3" ht="15.75">
      <c r="B21" s="35"/>
      <c r="C21" s="35"/>
    </row>
    <row r="23" spans="2:3" ht="18">
      <c r="B23" s="34"/>
      <c r="C23" s="34"/>
    </row>
    <row r="24" spans="2:3" ht="15.75">
      <c r="B24" s="35"/>
      <c r="C24" s="35"/>
    </row>
    <row r="26" spans="2:3" ht="18">
      <c r="B26" s="34"/>
      <c r="C26" s="34"/>
    </row>
    <row r="27" spans="2:3" ht="15.75">
      <c r="B27" s="35"/>
      <c r="C27" s="35"/>
    </row>
  </sheetData>
  <sheetProtection/>
  <mergeCells count="14">
    <mergeCell ref="G3:G4"/>
    <mergeCell ref="H3:K3"/>
    <mergeCell ref="L3:L4"/>
    <mergeCell ref="M3:M4"/>
    <mergeCell ref="N3:N4"/>
    <mergeCell ref="B5:M5"/>
    <mergeCell ref="B8:M8"/>
    <mergeCell ref="B11:M11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3">
      <selection activeCell="B23" sqref="B23:B26"/>
    </sheetView>
  </sheetViews>
  <sheetFormatPr defaultColWidth="8.75390625" defaultRowHeight="12.75"/>
  <cols>
    <col min="1" max="1" width="5.875" style="49" customWidth="1"/>
    <col min="2" max="2" width="31.875" style="25" bestFit="1" customWidth="1"/>
    <col min="3" max="3" width="26.875" style="25" bestFit="1" customWidth="1"/>
    <col min="4" max="4" width="13.875" style="25" customWidth="1"/>
    <col min="5" max="5" width="10.375" style="25" customWidth="1"/>
    <col min="6" max="6" width="24.375" style="25" customWidth="1"/>
    <col min="7" max="7" width="33.625" style="25" bestFit="1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8.625" style="25" bestFit="1" customWidth="1"/>
    <col min="14" max="14" width="15.375" style="25" bestFit="1" customWidth="1"/>
  </cols>
  <sheetData>
    <row r="1" spans="1:14" s="1" customFormat="1" ht="15" customHeight="1">
      <c r="A1" s="43"/>
      <c r="B1" s="157" t="s">
        <v>1043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54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8" t="s">
        <v>428</v>
      </c>
      <c r="C6" s="28" t="s">
        <v>429</v>
      </c>
      <c r="D6" s="28" t="s">
        <v>430</v>
      </c>
      <c r="E6" s="28" t="str">
        <f>"1,0464"</f>
        <v>1,0464</v>
      </c>
      <c r="F6" s="28" t="s">
        <v>12</v>
      </c>
      <c r="G6" s="28" t="s">
        <v>431</v>
      </c>
      <c r="H6" s="28" t="s">
        <v>59</v>
      </c>
      <c r="I6" s="29"/>
      <c r="J6" s="29"/>
      <c r="K6" s="29"/>
      <c r="L6" s="65">
        <v>200</v>
      </c>
      <c r="M6" s="28" t="str">
        <f>"209,2800"</f>
        <v>209,2800</v>
      </c>
      <c r="N6" s="28" t="s">
        <v>72</v>
      </c>
    </row>
    <row r="7" spans="1:14" ht="12.75">
      <c r="A7" s="49">
        <v>2</v>
      </c>
      <c r="B7" s="26" t="s">
        <v>1044</v>
      </c>
      <c r="C7" s="26" t="s">
        <v>726</v>
      </c>
      <c r="D7" s="26" t="s">
        <v>727</v>
      </c>
      <c r="E7" s="26" t="str">
        <f>"1,0448"</f>
        <v>1,0448</v>
      </c>
      <c r="F7" s="26" t="s">
        <v>1047</v>
      </c>
      <c r="G7" s="26" t="s">
        <v>439</v>
      </c>
      <c r="H7" s="50" t="s">
        <v>21</v>
      </c>
      <c r="I7" s="26" t="s">
        <v>21</v>
      </c>
      <c r="J7" s="26" t="s">
        <v>51</v>
      </c>
      <c r="K7" s="27"/>
      <c r="L7" s="66">
        <v>165</v>
      </c>
      <c r="M7" s="26" t="str">
        <f>"172,3920"</f>
        <v>172,3920</v>
      </c>
      <c r="N7" s="26" t="s">
        <v>998</v>
      </c>
    </row>
    <row r="8" spans="1:14" ht="12.75">
      <c r="A8" s="49">
        <v>1</v>
      </c>
      <c r="B8" s="32" t="s">
        <v>428</v>
      </c>
      <c r="C8" s="32" t="s">
        <v>432</v>
      </c>
      <c r="D8" s="32" t="s">
        <v>430</v>
      </c>
      <c r="E8" s="32" t="str">
        <f>"1,0464"</f>
        <v>1,0464</v>
      </c>
      <c r="F8" s="32" t="s">
        <v>12</v>
      </c>
      <c r="G8" s="32" t="s">
        <v>431</v>
      </c>
      <c r="H8" s="32" t="s">
        <v>59</v>
      </c>
      <c r="I8" s="33"/>
      <c r="J8" s="33"/>
      <c r="K8" s="33"/>
      <c r="L8" s="67">
        <v>200</v>
      </c>
      <c r="M8" s="32" t="str">
        <f>"213,4656"</f>
        <v>213,4656</v>
      </c>
      <c r="N8" s="32" t="s">
        <v>72</v>
      </c>
    </row>
    <row r="10" spans="2:13" ht="15.75">
      <c r="B10" s="156" t="s">
        <v>82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4" ht="12.75">
      <c r="A11" s="49">
        <v>1</v>
      </c>
      <c r="B11" s="28" t="s">
        <v>1045</v>
      </c>
      <c r="C11" s="28" t="s">
        <v>413</v>
      </c>
      <c r="D11" s="28" t="s">
        <v>438</v>
      </c>
      <c r="E11" s="28" t="str">
        <f>"0,8902"</f>
        <v>0,8902</v>
      </c>
      <c r="F11" s="28" t="s">
        <v>1047</v>
      </c>
      <c r="G11" s="28" t="s">
        <v>439</v>
      </c>
      <c r="H11" s="28" t="s">
        <v>231</v>
      </c>
      <c r="I11" s="29"/>
      <c r="J11" s="29"/>
      <c r="K11" s="29"/>
      <c r="L11" s="56">
        <v>207.5</v>
      </c>
      <c r="M11" s="28" t="str">
        <f>"184,7165"</f>
        <v>184,7165</v>
      </c>
      <c r="N11" s="28" t="s">
        <v>998</v>
      </c>
    </row>
    <row r="12" spans="1:14" ht="12.75">
      <c r="A12" s="49">
        <v>1</v>
      </c>
      <c r="B12" s="26" t="s">
        <v>1046</v>
      </c>
      <c r="C12" s="26" t="s">
        <v>728</v>
      </c>
      <c r="D12" s="26" t="s">
        <v>729</v>
      </c>
      <c r="E12" s="26" t="str">
        <f>"0,9006"</f>
        <v>0,9006</v>
      </c>
      <c r="F12" s="26" t="s">
        <v>12</v>
      </c>
      <c r="G12" s="26" t="s">
        <v>730</v>
      </c>
      <c r="H12" s="26" t="s">
        <v>253</v>
      </c>
      <c r="I12" s="26" t="s">
        <v>111</v>
      </c>
      <c r="J12" s="26" t="s">
        <v>511</v>
      </c>
      <c r="K12" s="27"/>
      <c r="L12" s="55">
        <v>192.5</v>
      </c>
      <c r="M12" s="26" t="str">
        <f>"182,9006"</f>
        <v>182,9006</v>
      </c>
      <c r="N12" s="26" t="s">
        <v>72</v>
      </c>
    </row>
    <row r="14" spans="2:13" ht="15.75">
      <c r="B14" s="156" t="s">
        <v>348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1:14" ht="12.75">
      <c r="A15" s="49">
        <v>1</v>
      </c>
      <c r="B15" s="26" t="s">
        <v>731</v>
      </c>
      <c r="C15" s="26" t="s">
        <v>732</v>
      </c>
      <c r="D15" s="26" t="s">
        <v>733</v>
      </c>
      <c r="E15" s="26" t="str">
        <f>"0,8530"</f>
        <v>0,8530</v>
      </c>
      <c r="F15" s="26" t="s">
        <v>1028</v>
      </c>
      <c r="G15" s="26" t="s">
        <v>734</v>
      </c>
      <c r="H15" s="26" t="s">
        <v>287</v>
      </c>
      <c r="I15" s="50" t="s">
        <v>735</v>
      </c>
      <c r="J15" s="26" t="s">
        <v>735</v>
      </c>
      <c r="K15" s="27"/>
      <c r="L15" s="55">
        <v>322.5</v>
      </c>
      <c r="M15" s="26" t="str">
        <f>"275,0925"</f>
        <v>275,0925</v>
      </c>
      <c r="N15" s="26" t="s">
        <v>72</v>
      </c>
    </row>
    <row r="18" spans="2:3" ht="18">
      <c r="B18" s="34" t="s">
        <v>117</v>
      </c>
      <c r="C18" s="34"/>
    </row>
    <row r="19" spans="2:3" ht="15.75">
      <c r="B19" s="85"/>
      <c r="C19" s="35"/>
    </row>
    <row r="20" spans="2:3" ht="15.75">
      <c r="B20" s="85" t="s">
        <v>129</v>
      </c>
      <c r="C20" s="35"/>
    </row>
    <row r="21" spans="2:3" ht="13.5">
      <c r="B21" s="37" t="s">
        <v>126</v>
      </c>
      <c r="C21" s="38"/>
    </row>
    <row r="22" spans="2:6" ht="13.5">
      <c r="B22" s="39" t="s">
        <v>120</v>
      </c>
      <c r="C22" s="39" t="s">
        <v>121</v>
      </c>
      <c r="D22" s="39" t="s">
        <v>122</v>
      </c>
      <c r="E22" s="39" t="s">
        <v>123</v>
      </c>
      <c r="F22" s="39" t="s">
        <v>935</v>
      </c>
    </row>
    <row r="23" spans="1:6" ht="12.75">
      <c r="A23" s="49">
        <v>1</v>
      </c>
      <c r="B23" s="135" t="s">
        <v>731</v>
      </c>
      <c r="C23" s="83" t="s">
        <v>127</v>
      </c>
      <c r="D23" s="83" t="s">
        <v>383</v>
      </c>
      <c r="E23" s="83" t="s">
        <v>735</v>
      </c>
      <c r="F23" s="48" t="s">
        <v>736</v>
      </c>
    </row>
    <row r="24" spans="1:6" ht="12.75">
      <c r="A24" s="49">
        <v>2</v>
      </c>
      <c r="B24" s="135" t="s">
        <v>428</v>
      </c>
      <c r="C24" s="83" t="s">
        <v>127</v>
      </c>
      <c r="D24" s="83" t="s">
        <v>397</v>
      </c>
      <c r="E24" s="83" t="s">
        <v>59</v>
      </c>
      <c r="F24" s="48" t="s">
        <v>737</v>
      </c>
    </row>
    <row r="25" spans="1:6" ht="12.75">
      <c r="A25" s="49">
        <v>3</v>
      </c>
      <c r="B25" s="135" t="s">
        <v>436</v>
      </c>
      <c r="C25" s="83" t="s">
        <v>127</v>
      </c>
      <c r="D25" s="83" t="s">
        <v>130</v>
      </c>
      <c r="E25" s="83" t="s">
        <v>231</v>
      </c>
      <c r="F25" s="48" t="s">
        <v>738</v>
      </c>
    </row>
    <row r="26" spans="2:6" ht="12.75">
      <c r="B26" s="135" t="s">
        <v>725</v>
      </c>
      <c r="C26" s="83" t="s">
        <v>127</v>
      </c>
      <c r="D26" s="83" t="s">
        <v>397</v>
      </c>
      <c r="E26" s="83" t="s">
        <v>51</v>
      </c>
      <c r="F26" s="48" t="s">
        <v>739</v>
      </c>
    </row>
    <row r="28" spans="2:3" ht="13.5">
      <c r="B28" s="37"/>
      <c r="C28" s="38"/>
    </row>
    <row r="29" spans="2:6" ht="12.75">
      <c r="B29" s="36"/>
      <c r="F29" s="40"/>
    </row>
    <row r="30" spans="2:6" ht="12.75">
      <c r="B30" s="36"/>
      <c r="F30" s="40"/>
    </row>
  </sheetData>
  <sheetProtection/>
  <mergeCells count="14">
    <mergeCell ref="G3:G4"/>
    <mergeCell ref="H3:K3"/>
    <mergeCell ref="L3:L4"/>
    <mergeCell ref="M3:M4"/>
    <mergeCell ref="N3:N4"/>
    <mergeCell ref="B5:M5"/>
    <mergeCell ref="B10:M10"/>
    <mergeCell ref="B14:M14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2">
      <selection activeCell="F39" sqref="F39"/>
    </sheetView>
  </sheetViews>
  <sheetFormatPr defaultColWidth="8.75390625" defaultRowHeight="12.75"/>
  <cols>
    <col min="1" max="1" width="6.25390625" style="49" customWidth="1"/>
    <col min="2" max="2" width="27.75390625" style="25" customWidth="1"/>
    <col min="3" max="3" width="26.875" style="25" bestFit="1" customWidth="1"/>
    <col min="4" max="4" width="13.75390625" style="25" customWidth="1"/>
    <col min="5" max="5" width="9.375" style="25" customWidth="1"/>
    <col min="6" max="6" width="22.75390625" style="25" bestFit="1" customWidth="1"/>
    <col min="7" max="7" width="33.625" style="25" bestFit="1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10.875" style="25" customWidth="1"/>
    <col min="14" max="14" width="21.625" style="25" customWidth="1"/>
  </cols>
  <sheetData>
    <row r="1" spans="1:14" s="1" customFormat="1" ht="15" customHeight="1">
      <c r="A1" s="43"/>
      <c r="B1" s="157" t="s">
        <v>1029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591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592</v>
      </c>
      <c r="C6" s="26" t="s">
        <v>593</v>
      </c>
      <c r="D6" s="26" t="s">
        <v>594</v>
      </c>
      <c r="E6" s="26" t="str">
        <f>"2,6512"</f>
        <v>2,6512</v>
      </c>
      <c r="F6" s="26" t="s">
        <v>12</v>
      </c>
      <c r="G6" s="26" t="s">
        <v>595</v>
      </c>
      <c r="H6" s="26" t="s">
        <v>16</v>
      </c>
      <c r="I6" s="50" t="s">
        <v>17</v>
      </c>
      <c r="J6" s="50" t="s">
        <v>17</v>
      </c>
      <c r="K6" s="27"/>
      <c r="L6" s="66">
        <v>50</v>
      </c>
      <c r="M6" s="26" t="str">
        <f>"132,5600"</f>
        <v>132,5600</v>
      </c>
      <c r="N6" s="26" t="s">
        <v>1032</v>
      </c>
    </row>
    <row r="8" spans="2:13" ht="15.75">
      <c r="B8" s="156" t="s">
        <v>142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>
      <c r="A9" s="49">
        <v>1</v>
      </c>
      <c r="B9" s="26" t="s">
        <v>596</v>
      </c>
      <c r="C9" s="26" t="s">
        <v>597</v>
      </c>
      <c r="D9" s="26" t="s">
        <v>598</v>
      </c>
      <c r="E9" s="26" t="str">
        <f>"2,3406"</f>
        <v>2,3406</v>
      </c>
      <c r="F9" s="26" t="s">
        <v>12</v>
      </c>
      <c r="G9" s="26" t="s">
        <v>486</v>
      </c>
      <c r="H9" s="26" t="s">
        <v>28</v>
      </c>
      <c r="I9" s="26" t="s">
        <v>252</v>
      </c>
      <c r="J9" s="50" t="s">
        <v>29</v>
      </c>
      <c r="K9" s="27"/>
      <c r="L9" s="55">
        <v>62.5</v>
      </c>
      <c r="M9" s="26" t="str">
        <f>"146,2875"</f>
        <v>146,2875</v>
      </c>
      <c r="N9" s="26" t="s">
        <v>488</v>
      </c>
    </row>
    <row r="11" spans="2:13" ht="15.75">
      <c r="B11" s="156" t="s">
        <v>246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4" ht="12.75">
      <c r="A12" s="49">
        <v>1</v>
      </c>
      <c r="B12" s="26" t="s">
        <v>599</v>
      </c>
      <c r="C12" s="26" t="s">
        <v>600</v>
      </c>
      <c r="D12" s="26" t="s">
        <v>601</v>
      </c>
      <c r="E12" s="26" t="str">
        <f>"1,9230"</f>
        <v>1,9230</v>
      </c>
      <c r="F12" s="26" t="s">
        <v>12</v>
      </c>
      <c r="G12" s="26" t="s">
        <v>602</v>
      </c>
      <c r="H12" s="26" t="s">
        <v>146</v>
      </c>
      <c r="I12" s="50" t="s">
        <v>27</v>
      </c>
      <c r="J12" s="26" t="s">
        <v>27</v>
      </c>
      <c r="K12" s="27"/>
      <c r="L12" s="66">
        <v>80</v>
      </c>
      <c r="M12" s="26" t="str">
        <f>"153,8400"</f>
        <v>153,8400</v>
      </c>
      <c r="N12" s="26" t="s">
        <v>72</v>
      </c>
    </row>
    <row r="14" spans="2:13" ht="15.75">
      <c r="B14" s="156" t="s">
        <v>8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</row>
    <row r="15" spans="2:14" ht="12.75">
      <c r="B15" s="28" t="s">
        <v>603</v>
      </c>
      <c r="C15" s="28" t="s">
        <v>604</v>
      </c>
      <c r="D15" s="28" t="s">
        <v>605</v>
      </c>
      <c r="E15" s="28" t="str">
        <f>"1,7926"</f>
        <v>1,7926</v>
      </c>
      <c r="F15" s="28" t="s">
        <v>291</v>
      </c>
      <c r="G15" s="28" t="s">
        <v>606</v>
      </c>
      <c r="H15" s="53" t="s">
        <v>50</v>
      </c>
      <c r="I15" s="53" t="s">
        <v>50</v>
      </c>
      <c r="J15" s="53" t="s">
        <v>50</v>
      </c>
      <c r="K15" s="29"/>
      <c r="L15" s="72">
        <v>0</v>
      </c>
      <c r="M15" s="28" t="str">
        <f>"0,0000"</f>
        <v>0,0000</v>
      </c>
      <c r="N15" s="28" t="s">
        <v>968</v>
      </c>
    </row>
    <row r="16" spans="1:14" ht="12.75">
      <c r="A16" s="49">
        <v>1</v>
      </c>
      <c r="B16" s="26" t="s">
        <v>607</v>
      </c>
      <c r="C16" s="26" t="s">
        <v>608</v>
      </c>
      <c r="D16" s="26" t="s">
        <v>609</v>
      </c>
      <c r="E16" s="26" t="str">
        <f>"1,7950"</f>
        <v>1,7950</v>
      </c>
      <c r="F16" s="26" t="s">
        <v>12</v>
      </c>
      <c r="G16" s="26" t="s">
        <v>529</v>
      </c>
      <c r="H16" s="26" t="s">
        <v>610</v>
      </c>
      <c r="I16" s="26" t="s">
        <v>252</v>
      </c>
      <c r="J16" s="50" t="s">
        <v>30</v>
      </c>
      <c r="K16" s="27"/>
      <c r="L16" s="66">
        <v>62.5</v>
      </c>
      <c r="M16" s="26" t="str">
        <f>"112,1875"</f>
        <v>112,1875</v>
      </c>
      <c r="N16" s="26" t="s">
        <v>1039</v>
      </c>
    </row>
    <row r="17" spans="2:14" ht="12.75">
      <c r="B17" s="26" t="s">
        <v>603</v>
      </c>
      <c r="C17" s="26" t="s">
        <v>611</v>
      </c>
      <c r="D17" s="26" t="s">
        <v>605</v>
      </c>
      <c r="E17" s="26" t="str">
        <f>"1,7926"</f>
        <v>1,7926</v>
      </c>
      <c r="F17" s="26" t="s">
        <v>291</v>
      </c>
      <c r="G17" s="26" t="s">
        <v>606</v>
      </c>
      <c r="H17" s="50" t="s">
        <v>50</v>
      </c>
      <c r="I17" s="50" t="s">
        <v>50</v>
      </c>
      <c r="J17" s="50" t="s">
        <v>50</v>
      </c>
      <c r="K17" s="27"/>
      <c r="L17" s="68">
        <v>0</v>
      </c>
      <c r="M17" s="26" t="str">
        <f>"0,0000"</f>
        <v>0,0000</v>
      </c>
      <c r="N17" s="26" t="s">
        <v>968</v>
      </c>
    </row>
    <row r="18" spans="1:14" ht="12.75">
      <c r="A18" s="49">
        <v>1</v>
      </c>
      <c r="B18" s="32" t="s">
        <v>612</v>
      </c>
      <c r="C18" s="32" t="s">
        <v>613</v>
      </c>
      <c r="D18" s="32" t="s">
        <v>614</v>
      </c>
      <c r="E18" s="32" t="str">
        <f>"1,8436"</f>
        <v>1,8436</v>
      </c>
      <c r="F18" s="32" t="s">
        <v>12</v>
      </c>
      <c r="G18" s="26" t="s">
        <v>1007</v>
      </c>
      <c r="H18" s="32" t="s">
        <v>148</v>
      </c>
      <c r="I18" s="32" t="s">
        <v>615</v>
      </c>
      <c r="J18" s="52" t="s">
        <v>16</v>
      </c>
      <c r="K18" s="33"/>
      <c r="L18" s="67">
        <v>47.5</v>
      </c>
      <c r="M18" s="32" t="str">
        <f>"124,4384"</f>
        <v>124,4384</v>
      </c>
      <c r="N18" s="32" t="s">
        <v>616</v>
      </c>
    </row>
    <row r="20" spans="2:13" ht="15.75">
      <c r="B20" s="156" t="s">
        <v>156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4" ht="12.75">
      <c r="A21" s="49">
        <v>1</v>
      </c>
      <c r="B21" s="28" t="s">
        <v>1030</v>
      </c>
      <c r="C21" s="28" t="s">
        <v>163</v>
      </c>
      <c r="D21" s="28" t="s">
        <v>481</v>
      </c>
      <c r="E21" s="28" t="str">
        <f>"1,6390"</f>
        <v>1,6390</v>
      </c>
      <c r="F21" s="28" t="s">
        <v>12</v>
      </c>
      <c r="G21" s="26" t="s">
        <v>1007</v>
      </c>
      <c r="H21" s="28" t="s">
        <v>29</v>
      </c>
      <c r="I21" s="29"/>
      <c r="J21" s="29"/>
      <c r="K21" s="29"/>
      <c r="L21" s="65">
        <v>65</v>
      </c>
      <c r="M21" s="28" t="str">
        <f>"106,5350"</f>
        <v>106,5350</v>
      </c>
      <c r="N21" s="28" t="s">
        <v>966</v>
      </c>
    </row>
    <row r="22" spans="1:14" ht="12.75">
      <c r="A22" s="49">
        <v>1</v>
      </c>
      <c r="B22" s="26" t="s">
        <v>617</v>
      </c>
      <c r="C22" s="26" t="s">
        <v>618</v>
      </c>
      <c r="D22" s="26" t="s">
        <v>619</v>
      </c>
      <c r="E22" s="26" t="str">
        <f>"1,7038"</f>
        <v>1,7038</v>
      </c>
      <c r="F22" s="26" t="s">
        <v>12</v>
      </c>
      <c r="G22" s="26" t="s">
        <v>620</v>
      </c>
      <c r="H22" s="26" t="s">
        <v>29</v>
      </c>
      <c r="I22" s="26" t="s">
        <v>159</v>
      </c>
      <c r="J22" s="50" t="s">
        <v>146</v>
      </c>
      <c r="K22" s="27"/>
      <c r="L22" s="66">
        <v>70</v>
      </c>
      <c r="M22" s="26" t="str">
        <f>"119,2660"</f>
        <v>119,2660</v>
      </c>
      <c r="N22" s="26" t="s">
        <v>1033</v>
      </c>
    </row>
    <row r="24" spans="2:13" ht="15.75">
      <c r="B24" s="156" t="s">
        <v>35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</row>
    <row r="25" spans="1:14" ht="12.75">
      <c r="A25" s="49">
        <v>1</v>
      </c>
      <c r="B25" s="26" t="s">
        <v>621</v>
      </c>
      <c r="C25" s="26" t="s">
        <v>622</v>
      </c>
      <c r="D25" s="26" t="s">
        <v>623</v>
      </c>
      <c r="E25" s="26" t="str">
        <f>"1,5812"</f>
        <v>1,5812</v>
      </c>
      <c r="F25" s="26" t="s">
        <v>12</v>
      </c>
      <c r="G25" s="26" t="s">
        <v>624</v>
      </c>
      <c r="H25" s="26" t="s">
        <v>27</v>
      </c>
      <c r="I25" s="26" t="s">
        <v>161</v>
      </c>
      <c r="J25" s="50" t="s">
        <v>40</v>
      </c>
      <c r="K25" s="27"/>
      <c r="L25" s="55">
        <v>82.5</v>
      </c>
      <c r="M25" s="26" t="str">
        <f>"130,4490"</f>
        <v>130,4490</v>
      </c>
      <c r="N25" s="26" t="s">
        <v>1040</v>
      </c>
    </row>
    <row r="27" spans="2:13" ht="15.75">
      <c r="B27" s="156" t="s">
        <v>54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4" ht="12.75">
      <c r="A28" s="49">
        <v>1</v>
      </c>
      <c r="B28" s="26" t="s">
        <v>1031</v>
      </c>
      <c r="C28" s="26" t="s">
        <v>625</v>
      </c>
      <c r="D28" s="26" t="s">
        <v>626</v>
      </c>
      <c r="E28" s="26" t="str">
        <f>"1,4920"</f>
        <v>1,4920</v>
      </c>
      <c r="F28" s="26" t="s">
        <v>12</v>
      </c>
      <c r="G28" s="26" t="s">
        <v>1007</v>
      </c>
      <c r="H28" s="26" t="s">
        <v>146</v>
      </c>
      <c r="I28" s="26" t="s">
        <v>27</v>
      </c>
      <c r="J28" s="50" t="s">
        <v>40</v>
      </c>
      <c r="K28" s="27"/>
      <c r="L28" s="66">
        <v>80</v>
      </c>
      <c r="M28" s="26" t="str">
        <f>"119,3600"</f>
        <v>119,3600</v>
      </c>
      <c r="N28" s="26" t="s">
        <v>72</v>
      </c>
    </row>
    <row r="30" spans="2:13" ht="15.75">
      <c r="B30" s="156" t="s">
        <v>156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4" ht="12.75">
      <c r="A31" s="49">
        <v>1</v>
      </c>
      <c r="B31" s="26" t="s">
        <v>627</v>
      </c>
      <c r="C31" s="26" t="s">
        <v>628</v>
      </c>
      <c r="D31" s="26" t="s">
        <v>629</v>
      </c>
      <c r="E31" s="26" t="str">
        <f>"1,2852"</f>
        <v>1,2852</v>
      </c>
      <c r="F31" s="26" t="s">
        <v>946</v>
      </c>
      <c r="G31" s="26" t="s">
        <v>595</v>
      </c>
      <c r="H31" s="26" t="s">
        <v>15</v>
      </c>
      <c r="I31" s="50" t="s">
        <v>149</v>
      </c>
      <c r="J31" s="50" t="s">
        <v>149</v>
      </c>
      <c r="K31" s="27"/>
      <c r="L31" s="66">
        <v>100</v>
      </c>
      <c r="M31" s="26" t="str">
        <f>"128,5200"</f>
        <v>128,5200</v>
      </c>
      <c r="N31" s="26" t="s">
        <v>968</v>
      </c>
    </row>
    <row r="33" spans="2:13" ht="15.75">
      <c r="B33" s="156" t="s">
        <v>35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</row>
    <row r="34" spans="1:14" ht="12.75">
      <c r="A34" s="49">
        <v>1</v>
      </c>
      <c r="B34" s="28" t="s">
        <v>630</v>
      </c>
      <c r="C34" s="28" t="s">
        <v>631</v>
      </c>
      <c r="D34" s="28" t="s">
        <v>632</v>
      </c>
      <c r="E34" s="28" t="str">
        <f>"1,1588"</f>
        <v>1,1588</v>
      </c>
      <c r="F34" s="28" t="s">
        <v>12</v>
      </c>
      <c r="G34" s="28" t="s">
        <v>198</v>
      </c>
      <c r="H34" s="28" t="s">
        <v>19</v>
      </c>
      <c r="I34" s="53" t="s">
        <v>39</v>
      </c>
      <c r="J34" s="28" t="s">
        <v>43</v>
      </c>
      <c r="K34" s="29"/>
      <c r="L34" s="65">
        <v>155</v>
      </c>
      <c r="M34" s="28" t="str">
        <f>"179,6140"</f>
        <v>179,6140</v>
      </c>
      <c r="N34" s="28" t="s">
        <v>72</v>
      </c>
    </row>
    <row r="35" spans="1:14" ht="12.75">
      <c r="A35" s="49">
        <v>1</v>
      </c>
      <c r="B35" s="26" t="s">
        <v>633</v>
      </c>
      <c r="C35" s="26" t="s">
        <v>634</v>
      </c>
      <c r="D35" s="26" t="s">
        <v>635</v>
      </c>
      <c r="E35" s="26" t="str">
        <f>"1,1892"</f>
        <v>1,1892</v>
      </c>
      <c r="F35" s="26" t="s">
        <v>12</v>
      </c>
      <c r="G35" s="26" t="s">
        <v>595</v>
      </c>
      <c r="H35" s="26" t="s">
        <v>33</v>
      </c>
      <c r="I35" s="26" t="s">
        <v>42</v>
      </c>
      <c r="J35" s="26" t="s">
        <v>636</v>
      </c>
      <c r="K35" s="27"/>
      <c r="L35" s="66">
        <v>142.5</v>
      </c>
      <c r="M35" s="26" t="str">
        <f>"236,0592"</f>
        <v>236,0592</v>
      </c>
      <c r="N35" s="26" t="s">
        <v>72</v>
      </c>
    </row>
    <row r="37" spans="2:13" ht="15.75">
      <c r="B37" s="156" t="s">
        <v>54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spans="1:14" ht="12.75">
      <c r="A38" s="49">
        <v>1</v>
      </c>
      <c r="B38" s="28" t="s">
        <v>637</v>
      </c>
      <c r="C38" s="28" t="s">
        <v>638</v>
      </c>
      <c r="D38" s="28" t="s">
        <v>626</v>
      </c>
      <c r="E38" s="28" t="str">
        <f>"1,0480"</f>
        <v>1,0480</v>
      </c>
      <c r="F38" s="28" t="s">
        <v>468</v>
      </c>
      <c r="G38" s="28" t="s">
        <v>439</v>
      </c>
      <c r="H38" s="28" t="s">
        <v>39</v>
      </c>
      <c r="I38" s="53" t="s">
        <v>259</v>
      </c>
      <c r="J38" s="53" t="s">
        <v>588</v>
      </c>
      <c r="K38" s="29"/>
      <c r="L38" s="65">
        <v>150</v>
      </c>
      <c r="M38" s="28" t="str">
        <f>"157,2000"</f>
        <v>157,2000</v>
      </c>
      <c r="N38" s="28" t="s">
        <v>998</v>
      </c>
    </row>
    <row r="39" spans="1:14" ht="12.75">
      <c r="A39" s="49">
        <v>2</v>
      </c>
      <c r="B39" s="26" t="s">
        <v>639</v>
      </c>
      <c r="C39" s="26" t="s">
        <v>640</v>
      </c>
      <c r="D39" s="26" t="s">
        <v>641</v>
      </c>
      <c r="E39" s="26" t="str">
        <f>"1,0696"</f>
        <v>1,0696</v>
      </c>
      <c r="F39" s="26" t="s">
        <v>1566</v>
      </c>
      <c r="G39" s="26" t="s">
        <v>556</v>
      </c>
      <c r="H39" s="26" t="s">
        <v>472</v>
      </c>
      <c r="I39" s="26" t="s">
        <v>19</v>
      </c>
      <c r="J39" s="50" t="s">
        <v>166</v>
      </c>
      <c r="K39" s="27"/>
      <c r="L39" s="66">
        <v>145</v>
      </c>
      <c r="M39" s="26" t="str">
        <f>"155,0920"</f>
        <v>155,0920</v>
      </c>
      <c r="N39" s="26" t="s">
        <v>642</v>
      </c>
    </row>
    <row r="40" spans="1:14" ht="12.75">
      <c r="A40" s="49">
        <v>3</v>
      </c>
      <c r="B40" s="30" t="s">
        <v>643</v>
      </c>
      <c r="C40" s="30" t="s">
        <v>644</v>
      </c>
      <c r="D40" s="30" t="s">
        <v>57</v>
      </c>
      <c r="E40" s="30" t="str">
        <f>"1,0298"</f>
        <v>1,0298</v>
      </c>
      <c r="F40" s="30" t="s">
        <v>12</v>
      </c>
      <c r="G40" s="26" t="s">
        <v>1007</v>
      </c>
      <c r="H40" s="51" t="s">
        <v>42</v>
      </c>
      <c r="I40" s="30" t="s">
        <v>19</v>
      </c>
      <c r="J40" s="51" t="s">
        <v>20</v>
      </c>
      <c r="K40" s="31"/>
      <c r="L40" s="70">
        <v>145</v>
      </c>
      <c r="M40" s="30" t="str">
        <f>"149,3210"</f>
        <v>149,3210</v>
      </c>
      <c r="N40" s="30" t="s">
        <v>72</v>
      </c>
    </row>
    <row r="41" spans="1:14" ht="12.75">
      <c r="A41" s="49">
        <v>4</v>
      </c>
      <c r="B41" s="26" t="s">
        <v>645</v>
      </c>
      <c r="C41" s="26" t="s">
        <v>646</v>
      </c>
      <c r="D41" s="26" t="s">
        <v>192</v>
      </c>
      <c r="E41" s="26" t="str">
        <f>"1,0372"</f>
        <v>1,0372</v>
      </c>
      <c r="F41" s="26" t="s">
        <v>1566</v>
      </c>
      <c r="G41" s="26" t="s">
        <v>556</v>
      </c>
      <c r="H41" s="26" t="s">
        <v>32</v>
      </c>
      <c r="I41" s="26" t="s">
        <v>251</v>
      </c>
      <c r="J41" s="50" t="s">
        <v>33</v>
      </c>
      <c r="K41" s="27"/>
      <c r="L41" s="66">
        <v>132.5</v>
      </c>
      <c r="M41" s="26" t="str">
        <f>"137,4290"</f>
        <v>137,4290</v>
      </c>
      <c r="N41" s="26" t="s">
        <v>642</v>
      </c>
    </row>
    <row r="42" spans="1:14" ht="12.75">
      <c r="A42" s="49">
        <v>1</v>
      </c>
      <c r="B42" s="30" t="s">
        <v>647</v>
      </c>
      <c r="C42" s="30" t="s">
        <v>648</v>
      </c>
      <c r="D42" s="30" t="s">
        <v>649</v>
      </c>
      <c r="E42" s="30" t="str">
        <f>"1,0428"</f>
        <v>1,0428</v>
      </c>
      <c r="F42" s="30" t="s">
        <v>12</v>
      </c>
      <c r="G42" s="30" t="s">
        <v>595</v>
      </c>
      <c r="H42" s="30" t="s">
        <v>173</v>
      </c>
      <c r="I42" s="30" t="s">
        <v>42</v>
      </c>
      <c r="J42" s="51" t="s">
        <v>19</v>
      </c>
      <c r="K42" s="31"/>
      <c r="L42" s="70">
        <v>140</v>
      </c>
      <c r="M42" s="30" t="str">
        <f>"195,6293"</f>
        <v>195,6293</v>
      </c>
      <c r="N42" s="30" t="s">
        <v>72</v>
      </c>
    </row>
    <row r="43" spans="1:14" ht="12.75">
      <c r="A43" s="49">
        <v>1</v>
      </c>
      <c r="B43" s="26" t="s">
        <v>650</v>
      </c>
      <c r="C43" s="26" t="s">
        <v>651</v>
      </c>
      <c r="D43" s="26" t="s">
        <v>470</v>
      </c>
      <c r="E43" s="26" t="str">
        <f>"1,0708"</f>
        <v>1,0708</v>
      </c>
      <c r="F43" s="26" t="s">
        <v>12</v>
      </c>
      <c r="G43" s="26" t="s">
        <v>652</v>
      </c>
      <c r="H43" s="50" t="s">
        <v>13</v>
      </c>
      <c r="I43" s="26" t="s">
        <v>13</v>
      </c>
      <c r="J43" s="50" t="s">
        <v>15</v>
      </c>
      <c r="K43" s="27"/>
      <c r="L43" s="66">
        <v>90</v>
      </c>
      <c r="M43" s="26" t="str">
        <f>"176,8426"</f>
        <v>176,8426</v>
      </c>
      <c r="N43" s="26" t="s">
        <v>72</v>
      </c>
    </row>
    <row r="45" spans="2:13" ht="15.75">
      <c r="B45" s="156" t="s">
        <v>62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</row>
    <row r="46" spans="1:14" ht="12.75">
      <c r="A46" s="49">
        <v>1</v>
      </c>
      <c r="B46" s="28" t="s">
        <v>653</v>
      </c>
      <c r="C46" s="28" t="s">
        <v>654</v>
      </c>
      <c r="D46" s="28" t="s">
        <v>516</v>
      </c>
      <c r="E46" s="28" t="str">
        <f>"0,9690"</f>
        <v>0,9690</v>
      </c>
      <c r="F46" s="28" t="s">
        <v>12</v>
      </c>
      <c r="G46" s="26" t="s">
        <v>1007</v>
      </c>
      <c r="H46" s="28" t="s">
        <v>31</v>
      </c>
      <c r="I46" s="28" t="s">
        <v>32</v>
      </c>
      <c r="J46" s="28" t="s">
        <v>251</v>
      </c>
      <c r="K46" s="29"/>
      <c r="L46" s="65">
        <v>132.5</v>
      </c>
      <c r="M46" s="28" t="str">
        <f>"128,3925"</f>
        <v>128,3925</v>
      </c>
      <c r="N46" s="28" t="s">
        <v>655</v>
      </c>
    </row>
    <row r="47" spans="1:14" ht="12.75">
      <c r="A47" s="49">
        <v>1</v>
      </c>
      <c r="B47" s="26" t="s">
        <v>656</v>
      </c>
      <c r="C47" s="26" t="s">
        <v>657</v>
      </c>
      <c r="D47" s="26" t="s">
        <v>658</v>
      </c>
      <c r="E47" s="26" t="str">
        <f>"1,0036"</f>
        <v>1,0036</v>
      </c>
      <c r="F47" s="26" t="s">
        <v>468</v>
      </c>
      <c r="G47" s="26" t="s">
        <v>659</v>
      </c>
      <c r="H47" s="26" t="s">
        <v>33</v>
      </c>
      <c r="I47" s="26" t="s">
        <v>19</v>
      </c>
      <c r="J47" s="50" t="s">
        <v>20</v>
      </c>
      <c r="K47" s="27"/>
      <c r="L47" s="66">
        <v>145</v>
      </c>
      <c r="M47" s="26" t="str">
        <f>"145,5220"</f>
        <v>145,5220</v>
      </c>
      <c r="N47" s="26" t="s">
        <v>72</v>
      </c>
    </row>
    <row r="48" spans="1:14" ht="12.75">
      <c r="A48" s="49">
        <v>1</v>
      </c>
      <c r="B48" s="30" t="s">
        <v>195</v>
      </c>
      <c r="C48" s="30" t="s">
        <v>196</v>
      </c>
      <c r="D48" s="30" t="s">
        <v>660</v>
      </c>
      <c r="E48" s="30" t="str">
        <f>"0,9814"</f>
        <v>0,9814</v>
      </c>
      <c r="F48" s="30" t="s">
        <v>12</v>
      </c>
      <c r="G48" s="30" t="s">
        <v>198</v>
      </c>
      <c r="H48" s="30" t="s">
        <v>19</v>
      </c>
      <c r="I48" s="30" t="s">
        <v>43</v>
      </c>
      <c r="J48" s="31"/>
      <c r="K48" s="31"/>
      <c r="L48" s="70">
        <v>155</v>
      </c>
      <c r="M48" s="30" t="str">
        <f>"152,1170"</f>
        <v>152,1170</v>
      </c>
      <c r="N48" s="30" t="s">
        <v>967</v>
      </c>
    </row>
    <row r="49" spans="1:14" ht="12.75">
      <c r="A49" s="49">
        <v>2</v>
      </c>
      <c r="B49" s="26" t="s">
        <v>661</v>
      </c>
      <c r="C49" s="26" t="s">
        <v>662</v>
      </c>
      <c r="D49" s="26" t="s">
        <v>663</v>
      </c>
      <c r="E49" s="26" t="str">
        <f>"0,9988"</f>
        <v>0,9988</v>
      </c>
      <c r="F49" s="26" t="s">
        <v>1566</v>
      </c>
      <c r="G49" s="26" t="s">
        <v>58</v>
      </c>
      <c r="H49" s="26" t="s">
        <v>19</v>
      </c>
      <c r="I49" s="50" t="s">
        <v>20</v>
      </c>
      <c r="J49" s="50" t="s">
        <v>20</v>
      </c>
      <c r="K49" s="27"/>
      <c r="L49" s="66">
        <v>145</v>
      </c>
      <c r="M49" s="26" t="str">
        <f>"144,8260"</f>
        <v>144,8260</v>
      </c>
      <c r="N49" s="26" t="s">
        <v>642</v>
      </c>
    </row>
    <row r="50" spans="1:14" ht="12.75">
      <c r="A50" s="49">
        <v>1</v>
      </c>
      <c r="B50" s="30" t="s">
        <v>664</v>
      </c>
      <c r="C50" s="30" t="s">
        <v>665</v>
      </c>
      <c r="D50" s="30" t="s">
        <v>666</v>
      </c>
      <c r="E50" s="30" t="str">
        <f>"0,9744"</f>
        <v>0,9744</v>
      </c>
      <c r="F50" s="30" t="s">
        <v>12</v>
      </c>
      <c r="G50" s="26" t="s">
        <v>1007</v>
      </c>
      <c r="H50" s="51" t="s">
        <v>111</v>
      </c>
      <c r="I50" s="30" t="s">
        <v>511</v>
      </c>
      <c r="J50" s="51" t="s">
        <v>59</v>
      </c>
      <c r="K50" s="31"/>
      <c r="L50" s="70">
        <v>192.5</v>
      </c>
      <c r="M50" s="30" t="str">
        <f>"189,4477"</f>
        <v>189,4477</v>
      </c>
      <c r="N50" s="30" t="s">
        <v>1041</v>
      </c>
    </row>
    <row r="51" spans="2:14" ht="12.75">
      <c r="B51" s="26" t="s">
        <v>667</v>
      </c>
      <c r="C51" s="26" t="s">
        <v>668</v>
      </c>
      <c r="D51" s="26" t="s">
        <v>669</v>
      </c>
      <c r="E51" s="26" t="str">
        <f>"1,0012"</f>
        <v>1,0012</v>
      </c>
      <c r="F51" s="26" t="s">
        <v>970</v>
      </c>
      <c r="G51" s="26" t="s">
        <v>244</v>
      </c>
      <c r="H51" s="50" t="s">
        <v>67</v>
      </c>
      <c r="I51" s="27"/>
      <c r="J51" s="27"/>
      <c r="K51" s="27"/>
      <c r="L51" s="68">
        <v>0</v>
      </c>
      <c r="M51" s="26" t="str">
        <f>"0,0000"</f>
        <v>0,0000</v>
      </c>
      <c r="N51" s="26" t="s">
        <v>72</v>
      </c>
    </row>
    <row r="52" spans="1:14" ht="12.75">
      <c r="A52" s="49">
        <v>1</v>
      </c>
      <c r="B52" s="32" t="s">
        <v>670</v>
      </c>
      <c r="C52" s="32" t="s">
        <v>671</v>
      </c>
      <c r="D52" s="32" t="s">
        <v>516</v>
      </c>
      <c r="E52" s="32" t="str">
        <f>"0,9690"</f>
        <v>0,9690</v>
      </c>
      <c r="F52" s="32" t="s">
        <v>12</v>
      </c>
      <c r="G52" s="32" t="s">
        <v>211</v>
      </c>
      <c r="H52" s="52" t="s">
        <v>166</v>
      </c>
      <c r="I52" s="32" t="s">
        <v>166</v>
      </c>
      <c r="J52" s="52" t="s">
        <v>20</v>
      </c>
      <c r="K52" s="33"/>
      <c r="L52" s="67">
        <v>147.5</v>
      </c>
      <c r="M52" s="32" t="str">
        <f>"150,7885"</f>
        <v>150,7885</v>
      </c>
      <c r="N52" s="32" t="s">
        <v>672</v>
      </c>
    </row>
    <row r="54" spans="2:13" ht="15.75">
      <c r="B54" s="156" t="s">
        <v>206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</row>
    <row r="55" spans="1:14" ht="12.75">
      <c r="A55" s="49">
        <v>1</v>
      </c>
      <c r="B55" s="28" t="s">
        <v>673</v>
      </c>
      <c r="C55" s="28" t="s">
        <v>674</v>
      </c>
      <c r="D55" s="28" t="s">
        <v>675</v>
      </c>
      <c r="E55" s="28" t="str">
        <f>"0,9194"</f>
        <v>0,9194</v>
      </c>
      <c r="F55" s="28" t="s">
        <v>12</v>
      </c>
      <c r="G55" s="26" t="s">
        <v>1007</v>
      </c>
      <c r="H55" s="28" t="s">
        <v>51</v>
      </c>
      <c r="I55" s="28" t="s">
        <v>311</v>
      </c>
      <c r="J55" s="53" t="s">
        <v>67</v>
      </c>
      <c r="K55" s="29"/>
      <c r="L55" s="73">
        <v>172.5</v>
      </c>
      <c r="M55" s="28" t="str">
        <f>"158,5965"</f>
        <v>158,5965</v>
      </c>
      <c r="N55" s="28" t="s">
        <v>72</v>
      </c>
    </row>
    <row r="56" spans="1:14" ht="12.75">
      <c r="A56" s="49">
        <v>2</v>
      </c>
      <c r="B56" s="26" t="s">
        <v>676</v>
      </c>
      <c r="C56" s="26" t="s">
        <v>677</v>
      </c>
      <c r="D56" s="26" t="s">
        <v>678</v>
      </c>
      <c r="E56" s="26" t="str">
        <f>"0,9518"</f>
        <v>0,9518</v>
      </c>
      <c r="F56" s="26" t="s">
        <v>12</v>
      </c>
      <c r="G56" s="26" t="s">
        <v>1007</v>
      </c>
      <c r="H56" s="26" t="s">
        <v>20</v>
      </c>
      <c r="I56" s="50" t="s">
        <v>259</v>
      </c>
      <c r="J56" s="50" t="s">
        <v>259</v>
      </c>
      <c r="K56" s="27"/>
      <c r="L56" s="71">
        <v>152.5</v>
      </c>
      <c r="M56" s="26" t="str">
        <f>"145,1495"</f>
        <v>145,1495</v>
      </c>
      <c r="N56" s="26" t="s">
        <v>1034</v>
      </c>
    </row>
    <row r="57" spans="1:14" ht="12.75">
      <c r="A57" s="49">
        <v>3</v>
      </c>
      <c r="B57" s="30" t="s">
        <v>679</v>
      </c>
      <c r="C57" s="30" t="s">
        <v>680</v>
      </c>
      <c r="D57" s="30" t="s">
        <v>681</v>
      </c>
      <c r="E57" s="30" t="str">
        <f>"0,9332"</f>
        <v>0,9332</v>
      </c>
      <c r="F57" s="30" t="s">
        <v>12</v>
      </c>
      <c r="G57" s="30" t="s">
        <v>58</v>
      </c>
      <c r="H57" s="30" t="s">
        <v>33</v>
      </c>
      <c r="I57" s="51" t="s">
        <v>42</v>
      </c>
      <c r="J57" s="51" t="s">
        <v>42</v>
      </c>
      <c r="K57" s="31"/>
      <c r="L57" s="82">
        <v>135</v>
      </c>
      <c r="M57" s="30" t="str">
        <f>"125,9820"</f>
        <v>125,9820</v>
      </c>
      <c r="N57" s="30" t="s">
        <v>642</v>
      </c>
    </row>
    <row r="58" spans="1:14" ht="12.75">
      <c r="A58" s="49">
        <v>1</v>
      </c>
      <c r="B58" s="26" t="s">
        <v>682</v>
      </c>
      <c r="C58" s="26" t="s">
        <v>683</v>
      </c>
      <c r="D58" s="26" t="s">
        <v>684</v>
      </c>
      <c r="E58" s="26" t="str">
        <f>"0,9222"</f>
        <v>0,9222</v>
      </c>
      <c r="F58" s="26" t="s">
        <v>12</v>
      </c>
      <c r="G58" s="26" t="s">
        <v>444</v>
      </c>
      <c r="H58" s="26" t="s">
        <v>154</v>
      </c>
      <c r="I58" s="26" t="s">
        <v>31</v>
      </c>
      <c r="J58" s="26" t="s">
        <v>165</v>
      </c>
      <c r="K58" s="27"/>
      <c r="L58" s="71">
        <v>125</v>
      </c>
      <c r="M58" s="26" t="str">
        <f>"132,2204"</f>
        <v>132,2204</v>
      </c>
      <c r="N58" s="26" t="s">
        <v>72</v>
      </c>
    </row>
    <row r="60" spans="2:13" ht="15.75">
      <c r="B60" s="156" t="s">
        <v>82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4" ht="12.75">
      <c r="A61" s="49">
        <v>1</v>
      </c>
      <c r="B61" s="28" t="s">
        <v>213</v>
      </c>
      <c r="C61" s="28" t="s">
        <v>214</v>
      </c>
      <c r="D61" s="28" t="s">
        <v>215</v>
      </c>
      <c r="E61" s="28" t="str">
        <f>"0,8890"</f>
        <v>0,8890</v>
      </c>
      <c r="F61" s="28" t="s">
        <v>12</v>
      </c>
      <c r="G61" s="26" t="s">
        <v>1007</v>
      </c>
      <c r="H61" s="28" t="s">
        <v>112</v>
      </c>
      <c r="I61" s="29"/>
      <c r="J61" s="29"/>
      <c r="K61" s="29"/>
      <c r="L61" s="73">
        <v>195</v>
      </c>
      <c r="M61" s="28" t="str">
        <f>"173,3550"</f>
        <v>173,3550</v>
      </c>
      <c r="N61" s="28" t="s">
        <v>72</v>
      </c>
    </row>
    <row r="62" spans="1:14" ht="12.75">
      <c r="A62" s="49">
        <v>2</v>
      </c>
      <c r="B62" s="26" t="s">
        <v>685</v>
      </c>
      <c r="C62" s="26" t="s">
        <v>686</v>
      </c>
      <c r="D62" s="26" t="s">
        <v>687</v>
      </c>
      <c r="E62" s="26" t="str">
        <f>"0,8990"</f>
        <v>0,8990</v>
      </c>
      <c r="F62" s="26" t="s">
        <v>12</v>
      </c>
      <c r="G62" s="26" t="s">
        <v>198</v>
      </c>
      <c r="H62" s="26" t="s">
        <v>77</v>
      </c>
      <c r="I62" s="26" t="s">
        <v>110</v>
      </c>
      <c r="J62" s="26" t="s">
        <v>111</v>
      </c>
      <c r="K62" s="27"/>
      <c r="L62" s="71">
        <v>185</v>
      </c>
      <c r="M62" s="26" t="str">
        <f>"166,3150"</f>
        <v>166,3150</v>
      </c>
      <c r="N62" s="26" t="s">
        <v>72</v>
      </c>
    </row>
    <row r="63" spans="1:14" ht="12.75">
      <c r="A63" s="49">
        <v>1</v>
      </c>
      <c r="B63" s="32" t="s">
        <v>688</v>
      </c>
      <c r="C63" s="32" t="s">
        <v>689</v>
      </c>
      <c r="D63" s="32" t="s">
        <v>690</v>
      </c>
      <c r="E63" s="32" t="str">
        <f>"0,8914"</f>
        <v>0,8914</v>
      </c>
      <c r="F63" s="32" t="s">
        <v>12</v>
      </c>
      <c r="G63" s="26" t="s">
        <v>1007</v>
      </c>
      <c r="H63" s="32" t="s">
        <v>42</v>
      </c>
      <c r="I63" s="32" t="s">
        <v>19</v>
      </c>
      <c r="J63" s="32" t="s">
        <v>39</v>
      </c>
      <c r="K63" s="33"/>
      <c r="L63" s="81">
        <v>150</v>
      </c>
      <c r="M63" s="32" t="str">
        <f>"158,3126"</f>
        <v>158,3126</v>
      </c>
      <c r="N63" s="32" t="s">
        <v>72</v>
      </c>
    </row>
    <row r="65" spans="2:13" ht="15.75">
      <c r="B65" s="156" t="s">
        <v>222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</row>
    <row r="66" spans="1:14" ht="12.75">
      <c r="A66" s="49">
        <v>1</v>
      </c>
      <c r="B66" s="28" t="s">
        <v>691</v>
      </c>
      <c r="C66" s="28" t="s">
        <v>692</v>
      </c>
      <c r="D66" s="28" t="s">
        <v>693</v>
      </c>
      <c r="E66" s="28" t="str">
        <f>"0,8730"</f>
        <v>0,8730</v>
      </c>
      <c r="F66" s="28" t="s">
        <v>12</v>
      </c>
      <c r="G66" s="28" t="s">
        <v>659</v>
      </c>
      <c r="H66" s="28" t="s">
        <v>194</v>
      </c>
      <c r="I66" s="28" t="s">
        <v>98</v>
      </c>
      <c r="J66" s="28" t="s">
        <v>99</v>
      </c>
      <c r="K66" s="29"/>
      <c r="L66" s="65">
        <v>230</v>
      </c>
      <c r="M66" s="28" t="str">
        <f>"200,7900"</f>
        <v>200,7900</v>
      </c>
      <c r="N66" s="28" t="s">
        <v>1042</v>
      </c>
    </row>
    <row r="67" spans="1:14" ht="12.75">
      <c r="A67" s="49">
        <v>1</v>
      </c>
      <c r="B67" s="26" t="s">
        <v>694</v>
      </c>
      <c r="C67" s="26" t="s">
        <v>695</v>
      </c>
      <c r="D67" s="26" t="s">
        <v>696</v>
      </c>
      <c r="E67" s="26" t="str">
        <f>"0,8620"</f>
        <v>0,8620</v>
      </c>
      <c r="F67" s="26" t="s">
        <v>1037</v>
      </c>
      <c r="G67" s="26" t="s">
        <v>1007</v>
      </c>
      <c r="H67" s="26" t="s">
        <v>68</v>
      </c>
      <c r="I67" s="26" t="s">
        <v>112</v>
      </c>
      <c r="J67" s="26" t="s">
        <v>59</v>
      </c>
      <c r="K67" s="27"/>
      <c r="L67" s="66">
        <v>200</v>
      </c>
      <c r="M67" s="26" t="str">
        <f>"172,4000"</f>
        <v>172,4000</v>
      </c>
      <c r="N67" s="26" t="s">
        <v>1036</v>
      </c>
    </row>
    <row r="68" spans="1:14" ht="12.75">
      <c r="A68" s="49">
        <v>2</v>
      </c>
      <c r="B68" s="30" t="s">
        <v>697</v>
      </c>
      <c r="C68" s="30" t="s">
        <v>698</v>
      </c>
      <c r="D68" s="30" t="s">
        <v>699</v>
      </c>
      <c r="E68" s="30" t="str">
        <f>"0,8610"</f>
        <v>0,8610</v>
      </c>
      <c r="F68" s="30" t="s">
        <v>1566</v>
      </c>
      <c r="G68" s="30" t="s">
        <v>556</v>
      </c>
      <c r="H68" s="30" t="s">
        <v>588</v>
      </c>
      <c r="I68" s="51" t="s">
        <v>110</v>
      </c>
      <c r="J68" s="51" t="s">
        <v>110</v>
      </c>
      <c r="K68" s="31"/>
      <c r="L68" s="70">
        <v>167.5</v>
      </c>
      <c r="M68" s="30" t="str">
        <f>"144,2175"</f>
        <v>144,2175</v>
      </c>
      <c r="N68" s="30" t="s">
        <v>642</v>
      </c>
    </row>
    <row r="69" spans="1:14" ht="12.75">
      <c r="A69" s="49">
        <v>1</v>
      </c>
      <c r="B69" s="26" t="s">
        <v>694</v>
      </c>
      <c r="C69" s="26" t="s">
        <v>700</v>
      </c>
      <c r="D69" s="26" t="s">
        <v>696</v>
      </c>
      <c r="E69" s="26" t="str">
        <f>"0,8620"</f>
        <v>0,8620</v>
      </c>
      <c r="F69" s="26" t="s">
        <v>1037</v>
      </c>
      <c r="G69" s="26" t="s">
        <v>1007</v>
      </c>
      <c r="H69" s="26" t="s">
        <v>68</v>
      </c>
      <c r="I69" s="26" t="s">
        <v>112</v>
      </c>
      <c r="J69" s="26" t="s">
        <v>59</v>
      </c>
      <c r="K69" s="27"/>
      <c r="L69" s="66">
        <v>200</v>
      </c>
      <c r="M69" s="26" t="str">
        <f>"186,5368"</f>
        <v>186,5368</v>
      </c>
      <c r="N69" s="26" t="s">
        <v>1035</v>
      </c>
    </row>
    <row r="72" spans="2:3" ht="18">
      <c r="B72" s="34" t="s">
        <v>117</v>
      </c>
      <c r="C72" s="34"/>
    </row>
    <row r="73" spans="2:3" ht="15.75">
      <c r="B73" s="85"/>
      <c r="C73" s="35"/>
    </row>
    <row r="74" spans="2:3" ht="15.75">
      <c r="B74" s="85" t="s">
        <v>1038</v>
      </c>
      <c r="C74" s="35"/>
    </row>
    <row r="75" spans="2:3" ht="13.5">
      <c r="B75" s="37" t="s">
        <v>126</v>
      </c>
      <c r="C75" s="38"/>
    </row>
    <row r="76" spans="2:6" ht="13.5">
      <c r="B76" s="39" t="s">
        <v>120</v>
      </c>
      <c r="C76" s="39" t="s">
        <v>121</v>
      </c>
      <c r="D76" s="39" t="s">
        <v>122</v>
      </c>
      <c r="E76" s="39" t="s">
        <v>123</v>
      </c>
      <c r="F76" s="39" t="s">
        <v>935</v>
      </c>
    </row>
    <row r="77" spans="1:6" ht="12.75">
      <c r="A77" s="49">
        <v>1</v>
      </c>
      <c r="B77" s="135" t="s">
        <v>630</v>
      </c>
      <c r="C77" s="83" t="s">
        <v>127</v>
      </c>
      <c r="D77" s="83" t="s">
        <v>125</v>
      </c>
      <c r="E77" s="83" t="s">
        <v>43</v>
      </c>
      <c r="F77" s="48" t="s">
        <v>701</v>
      </c>
    </row>
    <row r="78" spans="1:6" ht="12.75">
      <c r="A78" s="49">
        <v>2</v>
      </c>
      <c r="B78" s="135" t="s">
        <v>213</v>
      </c>
      <c r="C78" s="83" t="s">
        <v>127</v>
      </c>
      <c r="D78" s="83" t="s">
        <v>130</v>
      </c>
      <c r="E78" s="83" t="s">
        <v>112</v>
      </c>
      <c r="F78" s="48" t="s">
        <v>702</v>
      </c>
    </row>
    <row r="79" spans="1:6" ht="12.75">
      <c r="A79" s="49">
        <v>3</v>
      </c>
      <c r="B79" s="135" t="s">
        <v>694</v>
      </c>
      <c r="C79" s="83" t="s">
        <v>127</v>
      </c>
      <c r="D79" s="83" t="s">
        <v>233</v>
      </c>
      <c r="E79" s="83" t="s">
        <v>59</v>
      </c>
      <c r="F79" s="48" t="s">
        <v>703</v>
      </c>
    </row>
    <row r="80" spans="2:6" ht="12.75">
      <c r="B80" s="135" t="s">
        <v>685</v>
      </c>
      <c r="C80" s="83" t="s">
        <v>127</v>
      </c>
      <c r="D80" s="83" t="s">
        <v>130</v>
      </c>
      <c r="E80" s="83" t="s">
        <v>111</v>
      </c>
      <c r="F80" s="48" t="s">
        <v>704</v>
      </c>
    </row>
    <row r="81" spans="2:6" ht="12.75">
      <c r="B81" s="135" t="s">
        <v>673</v>
      </c>
      <c r="C81" s="83" t="s">
        <v>127</v>
      </c>
      <c r="D81" s="83" t="s">
        <v>240</v>
      </c>
      <c r="E81" s="83" t="s">
        <v>311</v>
      </c>
      <c r="F81" s="48" t="s">
        <v>705</v>
      </c>
    </row>
    <row r="82" spans="2:6" ht="12.75">
      <c r="B82" s="135" t="s">
        <v>637</v>
      </c>
      <c r="C82" s="83" t="s">
        <v>127</v>
      </c>
      <c r="D82" s="83" t="s">
        <v>397</v>
      </c>
      <c r="E82" s="83" t="s">
        <v>39</v>
      </c>
      <c r="F82" s="48" t="s">
        <v>706</v>
      </c>
    </row>
    <row r="83" spans="2:6" ht="12.75">
      <c r="B83" s="135" t="s">
        <v>639</v>
      </c>
      <c r="C83" s="83" t="s">
        <v>127</v>
      </c>
      <c r="D83" s="83" t="s">
        <v>397</v>
      </c>
      <c r="E83" s="83" t="s">
        <v>19</v>
      </c>
      <c r="F83" s="48" t="s">
        <v>707</v>
      </c>
    </row>
    <row r="84" spans="2:6" ht="12.75">
      <c r="B84" s="135" t="s">
        <v>195</v>
      </c>
      <c r="C84" s="83" t="s">
        <v>127</v>
      </c>
      <c r="D84" s="83" t="s">
        <v>133</v>
      </c>
      <c r="E84" s="83" t="s">
        <v>43</v>
      </c>
      <c r="F84" s="48" t="s">
        <v>708</v>
      </c>
    </row>
    <row r="85" spans="2:6" ht="12.75">
      <c r="B85" s="135" t="s">
        <v>643</v>
      </c>
      <c r="C85" s="83" t="s">
        <v>127</v>
      </c>
      <c r="D85" s="83" t="s">
        <v>397</v>
      </c>
      <c r="E85" s="83" t="s">
        <v>19</v>
      </c>
      <c r="F85" s="48" t="s">
        <v>709</v>
      </c>
    </row>
    <row r="86" spans="2:6" ht="12.75">
      <c r="B86" s="135" t="s">
        <v>676</v>
      </c>
      <c r="C86" s="83" t="s">
        <v>127</v>
      </c>
      <c r="D86" s="83" t="s">
        <v>240</v>
      </c>
      <c r="E86" s="83" t="s">
        <v>20</v>
      </c>
      <c r="F86" s="48" t="s">
        <v>710</v>
      </c>
    </row>
    <row r="87" spans="2:6" ht="12.75">
      <c r="B87" s="135" t="s">
        <v>661</v>
      </c>
      <c r="C87" s="83" t="s">
        <v>127</v>
      </c>
      <c r="D87" s="83" t="s">
        <v>133</v>
      </c>
      <c r="E87" s="83" t="s">
        <v>19</v>
      </c>
      <c r="F87" s="48" t="s">
        <v>711</v>
      </c>
    </row>
    <row r="88" spans="2:6" ht="12.75">
      <c r="B88" s="135" t="s">
        <v>697</v>
      </c>
      <c r="C88" s="83" t="s">
        <v>127</v>
      </c>
      <c r="D88" s="83" t="s">
        <v>233</v>
      </c>
      <c r="E88" s="83" t="s">
        <v>588</v>
      </c>
      <c r="F88" s="48" t="s">
        <v>712</v>
      </c>
    </row>
    <row r="89" spans="2:6" ht="12.75">
      <c r="B89" s="135" t="s">
        <v>645</v>
      </c>
      <c r="C89" s="83" t="s">
        <v>127</v>
      </c>
      <c r="D89" s="83" t="s">
        <v>397</v>
      </c>
      <c r="E89" s="83" t="s">
        <v>251</v>
      </c>
      <c r="F89" s="48" t="s">
        <v>713</v>
      </c>
    </row>
    <row r="90" spans="2:6" ht="12.75">
      <c r="B90" s="135" t="s">
        <v>627</v>
      </c>
      <c r="C90" s="83" t="s">
        <v>127</v>
      </c>
      <c r="D90" s="83" t="s">
        <v>226</v>
      </c>
      <c r="E90" s="83" t="s">
        <v>15</v>
      </c>
      <c r="F90" s="48" t="s">
        <v>714</v>
      </c>
    </row>
    <row r="91" spans="2:6" ht="12.75">
      <c r="B91" s="135" t="s">
        <v>679</v>
      </c>
      <c r="C91" s="83" t="s">
        <v>127</v>
      </c>
      <c r="D91" s="83" t="s">
        <v>240</v>
      </c>
      <c r="E91" s="83" t="s">
        <v>33</v>
      </c>
      <c r="F91" s="48" t="s">
        <v>715</v>
      </c>
    </row>
    <row r="93" spans="2:3" ht="13.5">
      <c r="B93" s="37" t="s">
        <v>229</v>
      </c>
      <c r="C93" s="38"/>
    </row>
    <row r="94" spans="2:6" ht="13.5">
      <c r="B94" s="39" t="s">
        <v>120</v>
      </c>
      <c r="C94" s="39" t="s">
        <v>121</v>
      </c>
      <c r="D94" s="39" t="s">
        <v>122</v>
      </c>
      <c r="E94" s="39" t="s">
        <v>123</v>
      </c>
      <c r="F94" s="39" t="s">
        <v>937</v>
      </c>
    </row>
    <row r="95" spans="1:6" ht="12.75">
      <c r="A95" s="49">
        <v>1</v>
      </c>
      <c r="B95" s="135" t="s">
        <v>633</v>
      </c>
      <c r="C95" s="83" t="s">
        <v>585</v>
      </c>
      <c r="D95" s="83" t="s">
        <v>125</v>
      </c>
      <c r="E95" s="83" t="s">
        <v>203</v>
      </c>
      <c r="F95" s="48" t="s">
        <v>716</v>
      </c>
    </row>
    <row r="96" spans="1:6" ht="12.75">
      <c r="A96" s="49">
        <v>2</v>
      </c>
      <c r="B96" s="135" t="s">
        <v>647</v>
      </c>
      <c r="C96" s="83" t="s">
        <v>585</v>
      </c>
      <c r="D96" s="83" t="s">
        <v>397</v>
      </c>
      <c r="E96" s="83" t="s">
        <v>42</v>
      </c>
      <c r="F96" s="48" t="s">
        <v>717</v>
      </c>
    </row>
    <row r="97" spans="1:6" ht="12.75">
      <c r="A97" s="49">
        <v>3</v>
      </c>
      <c r="B97" s="135" t="s">
        <v>664</v>
      </c>
      <c r="C97" s="83" t="s">
        <v>232</v>
      </c>
      <c r="D97" s="83" t="s">
        <v>133</v>
      </c>
      <c r="E97" s="83" t="s">
        <v>511</v>
      </c>
      <c r="F97" s="48" t="s">
        <v>718</v>
      </c>
    </row>
    <row r="98" spans="2:6" ht="12.75">
      <c r="B98" s="135" t="s">
        <v>694</v>
      </c>
      <c r="C98" s="83" t="s">
        <v>230</v>
      </c>
      <c r="D98" s="83" t="s">
        <v>233</v>
      </c>
      <c r="E98" s="83" t="s">
        <v>59</v>
      </c>
      <c r="F98" s="48" t="s">
        <v>719</v>
      </c>
    </row>
    <row r="99" spans="2:6" ht="12.75">
      <c r="B99" s="135" t="s">
        <v>650</v>
      </c>
      <c r="C99" s="83" t="s">
        <v>720</v>
      </c>
      <c r="D99" s="83" t="s">
        <v>397</v>
      </c>
      <c r="E99" s="83" t="s">
        <v>13</v>
      </c>
      <c r="F99" s="48" t="s">
        <v>721</v>
      </c>
    </row>
    <row r="100" spans="2:6" ht="12.75">
      <c r="B100" s="135" t="s">
        <v>688</v>
      </c>
      <c r="C100" s="83" t="s">
        <v>396</v>
      </c>
      <c r="D100" s="83" t="s">
        <v>130</v>
      </c>
      <c r="E100" s="83" t="s">
        <v>39</v>
      </c>
      <c r="F100" s="48" t="s">
        <v>722</v>
      </c>
    </row>
    <row r="101" spans="2:6" ht="12.75">
      <c r="B101" s="135" t="s">
        <v>670</v>
      </c>
      <c r="C101" s="83" t="s">
        <v>230</v>
      </c>
      <c r="D101" s="83" t="s">
        <v>133</v>
      </c>
      <c r="E101" s="83" t="s">
        <v>166</v>
      </c>
      <c r="F101" s="48" t="s">
        <v>723</v>
      </c>
    </row>
    <row r="102" spans="2:6" ht="12.75">
      <c r="B102" s="135" t="s">
        <v>682</v>
      </c>
      <c r="C102" s="83" t="s">
        <v>396</v>
      </c>
      <c r="D102" s="83" t="s">
        <v>240</v>
      </c>
      <c r="E102" s="83" t="s">
        <v>165</v>
      </c>
      <c r="F102" s="48" t="s">
        <v>724</v>
      </c>
    </row>
    <row r="103" spans="2:6" ht="12.75">
      <c r="B103" s="36"/>
      <c r="F103" s="40"/>
    </row>
    <row r="107" spans="2:6" ht="12.75">
      <c r="B107" s="36"/>
      <c r="F107" s="40"/>
    </row>
    <row r="110" spans="2:6" ht="12.75">
      <c r="B110" s="36"/>
      <c r="F110" s="40"/>
    </row>
    <row r="112" spans="2:6" ht="12.75">
      <c r="B112" s="36"/>
      <c r="F112" s="40"/>
    </row>
    <row r="114" spans="2:6" ht="12.75">
      <c r="B114" s="36"/>
      <c r="F114" s="40"/>
    </row>
    <row r="117" spans="2:6" ht="12.75">
      <c r="B117" s="36"/>
      <c r="F117" s="40"/>
    </row>
    <row r="120" spans="2:6" ht="12.75">
      <c r="B120" s="36"/>
      <c r="F120" s="40"/>
    </row>
    <row r="122" spans="2:6" ht="12.75">
      <c r="B122" s="36"/>
      <c r="F122" s="40"/>
    </row>
    <row r="124" spans="2:6" ht="12.75">
      <c r="B124" s="36"/>
      <c r="F124" s="40"/>
    </row>
    <row r="127" spans="2:6" ht="12.75">
      <c r="B127" s="36"/>
      <c r="F127" s="40"/>
    </row>
    <row r="130" spans="2:6" ht="12.75">
      <c r="B130" s="36"/>
      <c r="F130" s="40"/>
    </row>
    <row r="132" spans="2:6" ht="12.75">
      <c r="B132" s="36"/>
      <c r="F132" s="40"/>
    </row>
    <row r="134" spans="2:6" ht="12.75">
      <c r="B134" s="36"/>
      <c r="F134" s="40"/>
    </row>
    <row r="137" spans="2:6" ht="12.75">
      <c r="B137" s="36"/>
      <c r="F137" s="40"/>
    </row>
    <row r="140" spans="2:6" ht="12.75">
      <c r="B140" s="36"/>
      <c r="F140" s="40"/>
    </row>
  </sheetData>
  <sheetProtection/>
  <mergeCells count="25">
    <mergeCell ref="B1:N2"/>
    <mergeCell ref="B3:B4"/>
    <mergeCell ref="C3:C4"/>
    <mergeCell ref="D3:D4"/>
    <mergeCell ref="E3:E4"/>
    <mergeCell ref="F3:F4"/>
    <mergeCell ref="G3:G4"/>
    <mergeCell ref="H3:K3"/>
    <mergeCell ref="B33:M33"/>
    <mergeCell ref="L3:L4"/>
    <mergeCell ref="M3:M4"/>
    <mergeCell ref="N3:N4"/>
    <mergeCell ref="B5:M5"/>
    <mergeCell ref="B8:M8"/>
    <mergeCell ref="B11:M11"/>
    <mergeCell ref="B37:M37"/>
    <mergeCell ref="B45:M45"/>
    <mergeCell ref="B54:M54"/>
    <mergeCell ref="B60:M60"/>
    <mergeCell ref="B65:M65"/>
    <mergeCell ref="B14:M14"/>
    <mergeCell ref="B20:M20"/>
    <mergeCell ref="B24:M24"/>
    <mergeCell ref="B27:M27"/>
    <mergeCell ref="B30:M30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workbookViewId="0" topLeftCell="B1">
      <selection activeCell="K6" sqref="K6"/>
    </sheetView>
  </sheetViews>
  <sheetFormatPr defaultColWidth="8.75390625" defaultRowHeight="12.75"/>
  <cols>
    <col min="1" max="1" width="5.375" style="49" customWidth="1"/>
    <col min="2" max="2" width="25.875" style="25" customWidth="1"/>
    <col min="3" max="3" width="26.875" style="25" bestFit="1" customWidth="1"/>
    <col min="4" max="4" width="13.00390625" style="25" customWidth="1"/>
    <col min="5" max="5" width="9.625" style="25" customWidth="1"/>
    <col min="6" max="6" width="24.25390625" style="25" customWidth="1"/>
    <col min="7" max="7" width="36.375" style="25" customWidth="1"/>
    <col min="8" max="11" width="5.625" style="25" bestFit="1" customWidth="1"/>
    <col min="12" max="12" width="9.125" style="40" customWidth="1"/>
    <col min="13" max="13" width="9.625" style="25" customWidth="1"/>
    <col min="14" max="14" width="22.25390625" style="25" bestFit="1" customWidth="1"/>
  </cols>
  <sheetData>
    <row r="1" spans="1:14" s="1" customFormat="1" ht="15" customHeight="1">
      <c r="A1" s="43"/>
      <c r="B1" s="157" t="s">
        <v>1012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156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8" t="s">
        <v>475</v>
      </c>
      <c r="C6" s="28" t="s">
        <v>476</v>
      </c>
      <c r="D6" s="28" t="s">
        <v>477</v>
      </c>
      <c r="E6" s="28" t="str">
        <f>"1,6672"</f>
        <v>1,6672</v>
      </c>
      <c r="F6" s="28" t="s">
        <v>12</v>
      </c>
      <c r="G6" s="26" t="s">
        <v>1007</v>
      </c>
      <c r="H6" s="53" t="s">
        <v>149</v>
      </c>
      <c r="I6" s="28" t="s">
        <v>189</v>
      </c>
      <c r="J6" s="53" t="s">
        <v>262</v>
      </c>
      <c r="K6" s="78" t="s">
        <v>262</v>
      </c>
      <c r="L6" s="65">
        <v>117.5</v>
      </c>
      <c r="M6" s="28" t="str">
        <f>"195,8960"</f>
        <v>195,8960</v>
      </c>
      <c r="N6" s="28" t="s">
        <v>478</v>
      </c>
    </row>
    <row r="7" spans="1:14" ht="12.75">
      <c r="A7" s="49">
        <v>2</v>
      </c>
      <c r="B7" s="26" t="s">
        <v>479</v>
      </c>
      <c r="C7" s="26" t="s">
        <v>480</v>
      </c>
      <c r="D7" s="26" t="s">
        <v>481</v>
      </c>
      <c r="E7" s="26" t="str">
        <f>"1,6390"</f>
        <v>1,6390</v>
      </c>
      <c r="F7" s="26" t="s">
        <v>12</v>
      </c>
      <c r="G7" s="26" t="s">
        <v>1007</v>
      </c>
      <c r="H7" s="26" t="s">
        <v>15</v>
      </c>
      <c r="I7" s="26" t="s">
        <v>482</v>
      </c>
      <c r="J7" s="50" t="s">
        <v>404</v>
      </c>
      <c r="K7" s="27"/>
      <c r="L7" s="66">
        <v>107.5</v>
      </c>
      <c r="M7" s="26" t="str">
        <f>"176,1925"</f>
        <v>176,1925</v>
      </c>
      <c r="N7" s="26" t="s">
        <v>72</v>
      </c>
    </row>
    <row r="8" spans="1:14" ht="12.75">
      <c r="A8" s="49">
        <v>1</v>
      </c>
      <c r="B8" s="32" t="s">
        <v>1015</v>
      </c>
      <c r="C8" s="32" t="s">
        <v>484</v>
      </c>
      <c r="D8" s="32" t="s">
        <v>485</v>
      </c>
      <c r="E8" s="32" t="str">
        <f>"1,6534"</f>
        <v>1,6534</v>
      </c>
      <c r="F8" s="32" t="s">
        <v>12</v>
      </c>
      <c r="G8" s="32" t="s">
        <v>486</v>
      </c>
      <c r="H8" s="32" t="s">
        <v>152</v>
      </c>
      <c r="I8" s="32" t="s">
        <v>487</v>
      </c>
      <c r="J8" s="32" t="s">
        <v>153</v>
      </c>
      <c r="K8" s="33"/>
      <c r="L8" s="67">
        <v>105</v>
      </c>
      <c r="M8" s="32" t="str">
        <f>"181,0721"</f>
        <v>181,0721</v>
      </c>
      <c r="N8" s="32" t="s">
        <v>488</v>
      </c>
    </row>
    <row r="10" spans="2:13" ht="15.75">
      <c r="B10" s="156" t="s">
        <v>175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4" ht="12.75">
      <c r="A11" s="49">
        <v>1</v>
      </c>
      <c r="B11" s="26" t="s">
        <v>489</v>
      </c>
      <c r="C11" s="26" t="s">
        <v>490</v>
      </c>
      <c r="D11" s="26" t="s">
        <v>491</v>
      </c>
      <c r="E11" s="26" t="str">
        <f>"1,3884"</f>
        <v>1,3884</v>
      </c>
      <c r="F11" s="26" t="s">
        <v>12</v>
      </c>
      <c r="G11" s="26" t="s">
        <v>1005</v>
      </c>
      <c r="H11" s="26" t="s">
        <v>42</v>
      </c>
      <c r="I11" s="26" t="s">
        <v>39</v>
      </c>
      <c r="J11" s="50" t="s">
        <v>44</v>
      </c>
      <c r="K11" s="27"/>
      <c r="L11" s="66">
        <v>150</v>
      </c>
      <c r="M11" s="26" t="str">
        <f>"208,2600"</f>
        <v>208,2600</v>
      </c>
      <c r="N11" s="26" t="s">
        <v>1013</v>
      </c>
    </row>
    <row r="13" spans="2:13" ht="15.75">
      <c r="B13" s="156" t="s">
        <v>246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4" ht="12.75">
      <c r="A14" s="49">
        <v>1</v>
      </c>
      <c r="B14" s="26" t="s">
        <v>1016</v>
      </c>
      <c r="C14" s="26" t="s">
        <v>493</v>
      </c>
      <c r="D14" s="26" t="s">
        <v>494</v>
      </c>
      <c r="E14" s="26" t="str">
        <f>"1,7640"</f>
        <v>1,7640</v>
      </c>
      <c r="F14" s="26" t="s">
        <v>12</v>
      </c>
      <c r="G14" s="26" t="s">
        <v>211</v>
      </c>
      <c r="H14" s="27" t="s">
        <v>20</v>
      </c>
      <c r="I14" s="26" t="s">
        <v>20</v>
      </c>
      <c r="J14" s="50" t="s">
        <v>21</v>
      </c>
      <c r="K14" s="27"/>
      <c r="L14" s="55">
        <v>152.5</v>
      </c>
      <c r="M14" s="26" t="str">
        <f>"269,0100"</f>
        <v>269,0100</v>
      </c>
      <c r="N14" s="26" t="s">
        <v>72</v>
      </c>
    </row>
    <row r="16" spans="2:13" ht="15.75">
      <c r="B16" s="156" t="s">
        <v>156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2:14" ht="12.75">
      <c r="B17" s="26" t="s">
        <v>271</v>
      </c>
      <c r="C17" s="26" t="s">
        <v>272</v>
      </c>
      <c r="D17" s="26" t="s">
        <v>273</v>
      </c>
      <c r="E17" s="26" t="str">
        <f>"1,2410"</f>
        <v>1,2410</v>
      </c>
      <c r="F17" s="26" t="s">
        <v>971</v>
      </c>
      <c r="G17" s="26" t="s">
        <v>274</v>
      </c>
      <c r="H17" s="50" t="s">
        <v>31</v>
      </c>
      <c r="I17" s="50" t="s">
        <v>31</v>
      </c>
      <c r="J17" s="50" t="s">
        <v>31</v>
      </c>
      <c r="K17" s="27"/>
      <c r="L17" s="68">
        <v>0</v>
      </c>
      <c r="M17" s="26" t="str">
        <f>"0,0000"</f>
        <v>0,0000</v>
      </c>
      <c r="N17" s="26" t="s">
        <v>275</v>
      </c>
    </row>
    <row r="19" spans="2:13" ht="15.75">
      <c r="B19" s="156" t="s">
        <v>35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4" ht="12.75">
      <c r="A20" s="49">
        <v>1</v>
      </c>
      <c r="B20" s="26" t="s">
        <v>1017</v>
      </c>
      <c r="C20" s="26" t="s">
        <v>495</v>
      </c>
      <c r="D20" s="26" t="s">
        <v>496</v>
      </c>
      <c r="E20" s="26" t="str">
        <f>"1,1288"</f>
        <v>1,1288</v>
      </c>
      <c r="F20" s="26" t="s">
        <v>12</v>
      </c>
      <c r="G20" s="26" t="s">
        <v>497</v>
      </c>
      <c r="H20" s="26" t="s">
        <v>31</v>
      </c>
      <c r="I20" s="26" t="s">
        <v>173</v>
      </c>
      <c r="J20" s="26" t="s">
        <v>33</v>
      </c>
      <c r="K20" s="27"/>
      <c r="L20" s="66">
        <v>135</v>
      </c>
      <c r="M20" s="26" t="str">
        <f>"152,3880"</f>
        <v>152,3880</v>
      </c>
      <c r="N20" s="26" t="s">
        <v>72</v>
      </c>
    </row>
    <row r="22" spans="2:13" ht="15.75">
      <c r="B22" s="156" t="s">
        <v>54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</row>
    <row r="23" spans="1:14" ht="12.75">
      <c r="A23" s="49">
        <v>1</v>
      </c>
      <c r="B23" s="28" t="s">
        <v>1018</v>
      </c>
      <c r="C23" s="28" t="s">
        <v>498</v>
      </c>
      <c r="D23" s="28" t="s">
        <v>499</v>
      </c>
      <c r="E23" s="28" t="str">
        <f>"1,0328"</f>
        <v>1,0328</v>
      </c>
      <c r="F23" s="28" t="s">
        <v>500</v>
      </c>
      <c r="G23" s="26" t="s">
        <v>1005</v>
      </c>
      <c r="H23" s="28" t="s">
        <v>42</v>
      </c>
      <c r="I23" s="28" t="s">
        <v>19</v>
      </c>
      <c r="J23" s="53" t="s">
        <v>43</v>
      </c>
      <c r="K23" s="29"/>
      <c r="L23" s="65">
        <v>145</v>
      </c>
      <c r="M23" s="28" t="str">
        <f>"149,7560"</f>
        <v>149,7560</v>
      </c>
      <c r="N23" s="28" t="s">
        <v>501</v>
      </c>
    </row>
    <row r="24" spans="1:14" ht="12.75">
      <c r="A24" s="49">
        <v>1</v>
      </c>
      <c r="B24" s="26" t="s">
        <v>1019</v>
      </c>
      <c r="C24" s="26" t="s">
        <v>502</v>
      </c>
      <c r="D24" s="26" t="s">
        <v>503</v>
      </c>
      <c r="E24" s="26" t="str">
        <f>"1,0290"</f>
        <v>1,0290</v>
      </c>
      <c r="F24" s="26" t="s">
        <v>12</v>
      </c>
      <c r="G24" s="26" t="s">
        <v>504</v>
      </c>
      <c r="H24" s="26" t="s">
        <v>33</v>
      </c>
      <c r="I24" s="26" t="s">
        <v>42</v>
      </c>
      <c r="J24" s="50" t="s">
        <v>19</v>
      </c>
      <c r="K24" s="27"/>
      <c r="L24" s="66">
        <v>140</v>
      </c>
      <c r="M24" s="26" t="str">
        <f>"144,0600"</f>
        <v>144,0600</v>
      </c>
      <c r="N24" s="26" t="s">
        <v>505</v>
      </c>
    </row>
    <row r="25" spans="1:14" ht="12.75">
      <c r="A25" s="49">
        <v>1</v>
      </c>
      <c r="B25" s="30" t="s">
        <v>1020</v>
      </c>
      <c r="C25" s="30" t="s">
        <v>506</v>
      </c>
      <c r="D25" s="30" t="s">
        <v>503</v>
      </c>
      <c r="E25" s="30" t="str">
        <f>"1,0290"</f>
        <v>1,0290</v>
      </c>
      <c r="F25" s="30" t="s">
        <v>12</v>
      </c>
      <c r="G25" s="26" t="s">
        <v>1007</v>
      </c>
      <c r="H25" s="30" t="s">
        <v>19</v>
      </c>
      <c r="I25" s="30" t="s">
        <v>43</v>
      </c>
      <c r="J25" s="30" t="s">
        <v>44</v>
      </c>
      <c r="K25" s="31"/>
      <c r="L25" s="70">
        <v>160</v>
      </c>
      <c r="M25" s="30" t="str">
        <f>"164,6400"</f>
        <v>164,6400</v>
      </c>
      <c r="N25" s="30" t="s">
        <v>507</v>
      </c>
    </row>
    <row r="26" spans="1:14" ht="12.75">
      <c r="A26" s="49">
        <v>1</v>
      </c>
      <c r="B26" s="26" t="s">
        <v>508</v>
      </c>
      <c r="C26" s="26" t="s">
        <v>509</v>
      </c>
      <c r="D26" s="26" t="s">
        <v>192</v>
      </c>
      <c r="E26" s="26" t="str">
        <f>"1,0372"</f>
        <v>1,0372</v>
      </c>
      <c r="F26" s="26" t="s">
        <v>1028</v>
      </c>
      <c r="G26" s="26" t="s">
        <v>510</v>
      </c>
      <c r="H26" s="26" t="s">
        <v>111</v>
      </c>
      <c r="I26" s="26" t="s">
        <v>511</v>
      </c>
      <c r="J26" s="27"/>
      <c r="K26" s="27"/>
      <c r="L26" s="66">
        <v>192.5</v>
      </c>
      <c r="M26" s="26" t="str">
        <f>"199,6610"</f>
        <v>199,6610</v>
      </c>
      <c r="N26" s="26" t="s">
        <v>1014</v>
      </c>
    </row>
    <row r="28" spans="2:13" ht="15.75">
      <c r="B28" s="156" t="s">
        <v>62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4" ht="12.75">
      <c r="A29" s="49">
        <v>1</v>
      </c>
      <c r="B29" s="28" t="s">
        <v>512</v>
      </c>
      <c r="C29" s="28" t="s">
        <v>513</v>
      </c>
      <c r="D29" s="28" t="s">
        <v>284</v>
      </c>
      <c r="E29" s="28" t="str">
        <f>"0,9720"</f>
        <v>0,9720</v>
      </c>
      <c r="F29" s="28" t="s">
        <v>12</v>
      </c>
      <c r="G29" s="26" t="s">
        <v>1005</v>
      </c>
      <c r="H29" s="28" t="s">
        <v>44</v>
      </c>
      <c r="I29" s="28" t="s">
        <v>51</v>
      </c>
      <c r="J29" s="28" t="s">
        <v>77</v>
      </c>
      <c r="K29" s="29"/>
      <c r="L29" s="65">
        <v>170</v>
      </c>
      <c r="M29" s="28" t="str">
        <f>"165,2400"</f>
        <v>165,2400</v>
      </c>
      <c r="N29" s="28" t="s">
        <v>72</v>
      </c>
    </row>
    <row r="30" spans="1:14" ht="12.75">
      <c r="A30" s="49">
        <v>2</v>
      </c>
      <c r="B30" s="26" t="s">
        <v>1021</v>
      </c>
      <c r="C30" s="26" t="s">
        <v>64</v>
      </c>
      <c r="D30" s="26" t="s">
        <v>65</v>
      </c>
      <c r="E30" s="26" t="str">
        <f>"0,9924"</f>
        <v>0,9924</v>
      </c>
      <c r="F30" s="26" t="s">
        <v>12</v>
      </c>
      <c r="G30" s="26" t="s">
        <v>66</v>
      </c>
      <c r="H30" s="26" t="s">
        <v>42</v>
      </c>
      <c r="I30" s="27"/>
      <c r="J30" s="27"/>
      <c r="K30" s="27"/>
      <c r="L30" s="66">
        <v>140</v>
      </c>
      <c r="M30" s="26" t="str">
        <f>"138,9360"</f>
        <v>138,9360</v>
      </c>
      <c r="N30" s="26" t="s">
        <v>72</v>
      </c>
    </row>
    <row r="31" spans="1:14" ht="12.75">
      <c r="A31" s="49">
        <v>1</v>
      </c>
      <c r="B31" s="30" t="s">
        <v>501</v>
      </c>
      <c r="C31" s="30" t="s">
        <v>515</v>
      </c>
      <c r="D31" s="30" t="s">
        <v>516</v>
      </c>
      <c r="E31" s="30" t="str">
        <f>"0,9690"</f>
        <v>0,9690</v>
      </c>
      <c r="F31" s="30" t="s">
        <v>500</v>
      </c>
      <c r="G31" s="26" t="s">
        <v>1005</v>
      </c>
      <c r="H31" s="51" t="s">
        <v>51</v>
      </c>
      <c r="I31" s="51" t="s">
        <v>253</v>
      </c>
      <c r="J31" s="30" t="s">
        <v>253</v>
      </c>
      <c r="K31" s="31"/>
      <c r="L31" s="70">
        <v>175</v>
      </c>
      <c r="M31" s="30" t="str">
        <f>"169,5750"</f>
        <v>169,5750</v>
      </c>
      <c r="N31" s="26" t="s">
        <v>72</v>
      </c>
    </row>
    <row r="32" spans="1:14" ht="12.75">
      <c r="A32" s="49">
        <v>2</v>
      </c>
      <c r="B32" s="26" t="s">
        <v>1022</v>
      </c>
      <c r="C32" s="26" t="s">
        <v>518</v>
      </c>
      <c r="D32" s="26" t="s">
        <v>519</v>
      </c>
      <c r="E32" s="26" t="str">
        <f>"0,9790"</f>
        <v>0,9790</v>
      </c>
      <c r="F32" s="26" t="s">
        <v>520</v>
      </c>
      <c r="G32" s="26" t="s">
        <v>1005</v>
      </c>
      <c r="H32" s="26" t="s">
        <v>44</v>
      </c>
      <c r="I32" s="50" t="s">
        <v>253</v>
      </c>
      <c r="J32" s="27"/>
      <c r="K32" s="27"/>
      <c r="L32" s="66">
        <v>160</v>
      </c>
      <c r="M32" s="26" t="str">
        <f>"156,6400"</f>
        <v>156,6400</v>
      </c>
      <c r="N32" s="26" t="s">
        <v>521</v>
      </c>
    </row>
    <row r="33" spans="1:14" ht="12.75">
      <c r="A33" s="49">
        <v>3</v>
      </c>
      <c r="B33" s="30" t="s">
        <v>1023</v>
      </c>
      <c r="C33" s="30" t="s">
        <v>523</v>
      </c>
      <c r="D33" s="30" t="s">
        <v>524</v>
      </c>
      <c r="E33" s="30" t="str">
        <f>"0,9728"</f>
        <v>0,9728</v>
      </c>
      <c r="F33" s="30" t="s">
        <v>12</v>
      </c>
      <c r="G33" s="26" t="s">
        <v>1007</v>
      </c>
      <c r="H33" s="30" t="s">
        <v>39</v>
      </c>
      <c r="I33" s="30" t="s">
        <v>44</v>
      </c>
      <c r="J33" s="51" t="s">
        <v>253</v>
      </c>
      <c r="K33" s="31"/>
      <c r="L33" s="70">
        <v>160</v>
      </c>
      <c r="M33" s="30" t="str">
        <f>"155,6480"</f>
        <v>155,6480</v>
      </c>
      <c r="N33" s="30" t="s">
        <v>525</v>
      </c>
    </row>
    <row r="34" spans="1:14" ht="12.75">
      <c r="A34" s="49">
        <v>4</v>
      </c>
      <c r="B34" s="26" t="s">
        <v>526</v>
      </c>
      <c r="C34" s="26" t="s">
        <v>527</v>
      </c>
      <c r="D34" s="26" t="s">
        <v>528</v>
      </c>
      <c r="E34" s="26" t="str">
        <f>"0,9948"</f>
        <v>0,9948</v>
      </c>
      <c r="F34" s="26" t="s">
        <v>12</v>
      </c>
      <c r="G34" s="26" t="s">
        <v>529</v>
      </c>
      <c r="H34" s="26" t="s">
        <v>39</v>
      </c>
      <c r="I34" s="50" t="s">
        <v>20</v>
      </c>
      <c r="J34" s="50" t="s">
        <v>20</v>
      </c>
      <c r="K34" s="27"/>
      <c r="L34" s="66">
        <v>150</v>
      </c>
      <c r="M34" s="26" t="str">
        <f>"149,2200"</f>
        <v>149,2200</v>
      </c>
      <c r="N34" s="26" t="s">
        <v>72</v>
      </c>
    </row>
    <row r="35" spans="1:14" ht="12.75">
      <c r="A35" s="49">
        <v>1</v>
      </c>
      <c r="B35" s="30" t="s">
        <v>530</v>
      </c>
      <c r="C35" s="30" t="s">
        <v>531</v>
      </c>
      <c r="D35" s="30" t="s">
        <v>532</v>
      </c>
      <c r="E35" s="30" t="str">
        <f>"0,9752"</f>
        <v>0,9752</v>
      </c>
      <c r="F35" s="30" t="s">
        <v>12</v>
      </c>
      <c r="G35" s="30" t="s">
        <v>533</v>
      </c>
      <c r="H35" s="30" t="s">
        <v>67</v>
      </c>
      <c r="I35" s="51" t="s">
        <v>111</v>
      </c>
      <c r="J35" s="30" t="s">
        <v>111</v>
      </c>
      <c r="K35" s="31"/>
      <c r="L35" s="70">
        <v>185</v>
      </c>
      <c r="M35" s="30" t="str">
        <f>"180,4120"</f>
        <v>180,4120</v>
      </c>
      <c r="N35" s="30" t="s">
        <v>72</v>
      </c>
    </row>
    <row r="36" spans="1:14" ht="12.75">
      <c r="A36" s="49">
        <v>1</v>
      </c>
      <c r="B36" s="26" t="s">
        <v>255</v>
      </c>
      <c r="C36" s="26" t="s">
        <v>535</v>
      </c>
      <c r="D36" s="26" t="s">
        <v>516</v>
      </c>
      <c r="E36" s="26" t="str">
        <f>"0,9690"</f>
        <v>0,9690</v>
      </c>
      <c r="F36" s="26" t="s">
        <v>139</v>
      </c>
      <c r="G36" s="26" t="s">
        <v>1005</v>
      </c>
      <c r="H36" s="26" t="s">
        <v>44</v>
      </c>
      <c r="I36" s="26" t="s">
        <v>536</v>
      </c>
      <c r="J36" s="50" t="s">
        <v>311</v>
      </c>
      <c r="K36" s="27"/>
      <c r="L36" s="66">
        <v>167.5</v>
      </c>
      <c r="M36" s="26" t="str">
        <f>"175,6167"</f>
        <v>175,6167</v>
      </c>
      <c r="N36" s="26" t="s">
        <v>72</v>
      </c>
    </row>
    <row r="38" spans="2:13" ht="15.75">
      <c r="B38" s="156" t="s">
        <v>206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1:14" ht="12.75">
      <c r="A39" s="49">
        <v>1</v>
      </c>
      <c r="B39" s="28" t="s">
        <v>1024</v>
      </c>
      <c r="C39" s="28" t="s">
        <v>537</v>
      </c>
      <c r="D39" s="28" t="s">
        <v>538</v>
      </c>
      <c r="E39" s="28" t="str">
        <f>"0,9370"</f>
        <v>0,9370</v>
      </c>
      <c r="F39" s="28" t="s">
        <v>12</v>
      </c>
      <c r="G39" s="28" t="s">
        <v>38</v>
      </c>
      <c r="H39" s="28" t="s">
        <v>173</v>
      </c>
      <c r="I39" s="28" t="s">
        <v>472</v>
      </c>
      <c r="J39" s="28" t="s">
        <v>19</v>
      </c>
      <c r="K39" s="28" t="s">
        <v>39</v>
      </c>
      <c r="L39" s="65">
        <v>145</v>
      </c>
      <c r="M39" s="28" t="str">
        <f>"135,8650"</f>
        <v>135,8650</v>
      </c>
      <c r="N39" s="28" t="s">
        <v>72</v>
      </c>
    </row>
    <row r="40" spans="1:14" ht="12.75">
      <c r="A40" s="49">
        <v>1</v>
      </c>
      <c r="B40" s="26" t="s">
        <v>539</v>
      </c>
      <c r="C40" s="26" t="s">
        <v>540</v>
      </c>
      <c r="D40" s="26" t="s">
        <v>541</v>
      </c>
      <c r="E40" s="26" t="str">
        <f>"0,9158"</f>
        <v>0,9158</v>
      </c>
      <c r="F40" s="26" t="s">
        <v>12</v>
      </c>
      <c r="G40" s="26" t="s">
        <v>1007</v>
      </c>
      <c r="H40" s="26" t="s">
        <v>99</v>
      </c>
      <c r="I40" s="26" t="s">
        <v>70</v>
      </c>
      <c r="J40" s="50" t="s">
        <v>216</v>
      </c>
      <c r="K40" s="27"/>
      <c r="L40" s="66">
        <v>240</v>
      </c>
      <c r="M40" s="26" t="str">
        <f>"219,7920"</f>
        <v>219,7920</v>
      </c>
      <c r="N40" s="26" t="s">
        <v>72</v>
      </c>
    </row>
    <row r="41" spans="1:14" ht="12.75">
      <c r="A41" s="49">
        <v>2</v>
      </c>
      <c r="B41" s="30" t="s">
        <v>542</v>
      </c>
      <c r="C41" s="30" t="s">
        <v>543</v>
      </c>
      <c r="D41" s="30" t="s">
        <v>310</v>
      </c>
      <c r="E41" s="30" t="str">
        <f>"0,9150"</f>
        <v>0,9150</v>
      </c>
      <c r="F41" s="30" t="s">
        <v>12</v>
      </c>
      <c r="G41" s="30" t="s">
        <v>544</v>
      </c>
      <c r="H41" s="30" t="s">
        <v>212</v>
      </c>
      <c r="I41" s="51" t="s">
        <v>69</v>
      </c>
      <c r="J41" s="30" t="s">
        <v>69</v>
      </c>
      <c r="K41" s="31"/>
      <c r="L41" s="70">
        <v>225</v>
      </c>
      <c r="M41" s="30" t="str">
        <f>"205,8750"</f>
        <v>205,8750</v>
      </c>
      <c r="N41" s="30" t="s">
        <v>72</v>
      </c>
    </row>
    <row r="42" spans="1:14" ht="12.75">
      <c r="A42" s="49">
        <v>3</v>
      </c>
      <c r="B42" s="26" t="s">
        <v>545</v>
      </c>
      <c r="C42" s="26" t="s">
        <v>546</v>
      </c>
      <c r="D42" s="26" t="s">
        <v>547</v>
      </c>
      <c r="E42" s="26" t="str">
        <f>"0,9488"</f>
        <v>0,9488</v>
      </c>
      <c r="F42" s="26" t="s">
        <v>947</v>
      </c>
      <c r="G42" s="26" t="s">
        <v>1007</v>
      </c>
      <c r="H42" s="50" t="s">
        <v>67</v>
      </c>
      <c r="I42" s="26" t="s">
        <v>67</v>
      </c>
      <c r="J42" s="50" t="s">
        <v>111</v>
      </c>
      <c r="K42" s="27"/>
      <c r="L42" s="66">
        <v>180</v>
      </c>
      <c r="M42" s="26" t="str">
        <f>"170,7840"</f>
        <v>170,7840</v>
      </c>
      <c r="N42" s="26" t="s">
        <v>72</v>
      </c>
    </row>
    <row r="44" spans="2:13" ht="15.75">
      <c r="B44" s="156" t="s">
        <v>82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5" spans="2:14" ht="12.75">
      <c r="B45" s="28" t="s">
        <v>548</v>
      </c>
      <c r="C45" s="28" t="s">
        <v>549</v>
      </c>
      <c r="D45" s="28" t="s">
        <v>419</v>
      </c>
      <c r="E45" s="28" t="str">
        <f>"0,8918"</f>
        <v>0,8918</v>
      </c>
      <c r="F45" s="28" t="s">
        <v>12</v>
      </c>
      <c r="G45" s="28" t="s">
        <v>322</v>
      </c>
      <c r="H45" s="53" t="s">
        <v>423</v>
      </c>
      <c r="I45" s="53" t="s">
        <v>423</v>
      </c>
      <c r="J45" s="29"/>
      <c r="K45" s="29"/>
      <c r="L45" s="72">
        <v>0</v>
      </c>
      <c r="M45" s="28" t="str">
        <f>"0,0000"</f>
        <v>0,0000</v>
      </c>
      <c r="N45" s="28" t="s">
        <v>323</v>
      </c>
    </row>
    <row r="46" spans="1:14" ht="12.75">
      <c r="A46" s="49">
        <v>1</v>
      </c>
      <c r="B46" s="26" t="s">
        <v>1025</v>
      </c>
      <c r="C46" s="26" t="s">
        <v>551</v>
      </c>
      <c r="D46" s="26" t="s">
        <v>94</v>
      </c>
      <c r="E46" s="26" t="str">
        <f>"0,8850"</f>
        <v>0,8850</v>
      </c>
      <c r="F46" s="26" t="s">
        <v>12</v>
      </c>
      <c r="G46" s="26" t="s">
        <v>1007</v>
      </c>
      <c r="H46" s="26" t="s">
        <v>70</v>
      </c>
      <c r="I46" s="26" t="s">
        <v>78</v>
      </c>
      <c r="J46" s="50" t="s">
        <v>217</v>
      </c>
      <c r="K46" s="27"/>
      <c r="L46" s="66">
        <v>250</v>
      </c>
      <c r="M46" s="26" t="str">
        <f>"221,2500"</f>
        <v>221,2500</v>
      </c>
      <c r="N46" s="26" t="s">
        <v>72</v>
      </c>
    </row>
    <row r="47" spans="1:14" ht="12.75">
      <c r="A47" s="49">
        <v>2</v>
      </c>
      <c r="B47" s="30" t="s">
        <v>530</v>
      </c>
      <c r="C47" s="30" t="s">
        <v>552</v>
      </c>
      <c r="D47" s="30" t="s">
        <v>316</v>
      </c>
      <c r="E47" s="30" t="str">
        <f>"0,8864"</f>
        <v>0,8864</v>
      </c>
      <c r="F47" s="30" t="s">
        <v>946</v>
      </c>
      <c r="G47" s="30" t="s">
        <v>198</v>
      </c>
      <c r="H47" s="30" t="s">
        <v>59</v>
      </c>
      <c r="I47" s="51" t="s">
        <v>194</v>
      </c>
      <c r="J47" s="51" t="s">
        <v>194</v>
      </c>
      <c r="K47" s="31"/>
      <c r="L47" s="70">
        <v>200</v>
      </c>
      <c r="M47" s="30" t="str">
        <f>"177,2800"</f>
        <v>177,2800</v>
      </c>
      <c r="N47" s="26" t="s">
        <v>72</v>
      </c>
    </row>
    <row r="48" spans="1:14" ht="12.75">
      <c r="A48" s="49">
        <v>1</v>
      </c>
      <c r="B48" s="26" t="s">
        <v>553</v>
      </c>
      <c r="C48" s="26" t="s">
        <v>554</v>
      </c>
      <c r="D48" s="26" t="s">
        <v>555</v>
      </c>
      <c r="E48" s="26" t="str">
        <f>"0,9106"</f>
        <v>0,9106</v>
      </c>
      <c r="F48" s="26" t="s">
        <v>1566</v>
      </c>
      <c r="G48" s="26" t="s">
        <v>556</v>
      </c>
      <c r="H48" s="26" t="s">
        <v>253</v>
      </c>
      <c r="I48" s="26" t="s">
        <v>423</v>
      </c>
      <c r="J48" s="50" t="s">
        <v>111</v>
      </c>
      <c r="K48" s="27"/>
      <c r="L48" s="66">
        <v>182.5</v>
      </c>
      <c r="M48" s="26" t="str">
        <f>"231,4950"</f>
        <v>231,4950</v>
      </c>
      <c r="N48" s="26" t="s">
        <v>72</v>
      </c>
    </row>
    <row r="50" spans="2:13" ht="15.75">
      <c r="B50" s="156" t="s">
        <v>222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</row>
    <row r="51" spans="1:14" ht="12.75">
      <c r="A51" s="49">
        <v>1</v>
      </c>
      <c r="B51" s="28" t="s">
        <v>1026</v>
      </c>
      <c r="C51" s="28" t="s">
        <v>558</v>
      </c>
      <c r="D51" s="28" t="s">
        <v>559</v>
      </c>
      <c r="E51" s="28" t="str">
        <f>"0,8834"</f>
        <v>0,8834</v>
      </c>
      <c r="F51" s="28" t="s">
        <v>12</v>
      </c>
      <c r="G51" s="28" t="s">
        <v>560</v>
      </c>
      <c r="H51" s="53" t="s">
        <v>59</v>
      </c>
      <c r="I51" s="28" t="s">
        <v>59</v>
      </c>
      <c r="J51" s="53" t="s">
        <v>194</v>
      </c>
      <c r="K51" s="29"/>
      <c r="L51" s="65">
        <v>200</v>
      </c>
      <c r="M51" s="28" t="str">
        <f>"176,6800"</f>
        <v>176,6800</v>
      </c>
      <c r="N51" s="26" t="s">
        <v>72</v>
      </c>
    </row>
    <row r="52" spans="1:14" ht="12.75">
      <c r="A52" s="49">
        <v>2</v>
      </c>
      <c r="B52" s="26" t="s">
        <v>561</v>
      </c>
      <c r="C52" s="26" t="s">
        <v>562</v>
      </c>
      <c r="D52" s="26" t="s">
        <v>563</v>
      </c>
      <c r="E52" s="26" t="str">
        <f>"0,8750"</f>
        <v>0,8750</v>
      </c>
      <c r="F52" s="26" t="s">
        <v>12</v>
      </c>
      <c r="G52" s="26" t="s">
        <v>529</v>
      </c>
      <c r="H52" s="26" t="s">
        <v>67</v>
      </c>
      <c r="I52" s="26" t="s">
        <v>471</v>
      </c>
      <c r="J52" s="50" t="s">
        <v>511</v>
      </c>
      <c r="K52" s="27"/>
      <c r="L52" s="66">
        <v>187.5</v>
      </c>
      <c r="M52" s="26" t="str">
        <f>"164,0625"</f>
        <v>164,0625</v>
      </c>
      <c r="N52" s="26" t="s">
        <v>72</v>
      </c>
    </row>
    <row r="53" spans="1:14" ht="12.75">
      <c r="A53" s="49">
        <v>1</v>
      </c>
      <c r="B53" s="32" t="s">
        <v>1027</v>
      </c>
      <c r="C53" s="32" t="s">
        <v>565</v>
      </c>
      <c r="D53" s="32" t="s">
        <v>566</v>
      </c>
      <c r="E53" s="32" t="str">
        <f>"0,8846"</f>
        <v>0,8846</v>
      </c>
      <c r="F53" s="32" t="s">
        <v>12</v>
      </c>
      <c r="G53" s="32" t="s">
        <v>567</v>
      </c>
      <c r="H53" s="32" t="s">
        <v>67</v>
      </c>
      <c r="I53" s="32" t="s">
        <v>68</v>
      </c>
      <c r="J53" s="52" t="s">
        <v>59</v>
      </c>
      <c r="K53" s="33"/>
      <c r="L53" s="67">
        <v>190</v>
      </c>
      <c r="M53" s="32" t="str">
        <f>"173,2843"</f>
        <v>173,2843</v>
      </c>
      <c r="N53" s="32" t="s">
        <v>488</v>
      </c>
    </row>
    <row r="56" spans="2:3" ht="18">
      <c r="B56" s="34" t="s">
        <v>117</v>
      </c>
      <c r="C56" s="34"/>
    </row>
    <row r="57" spans="2:3" ht="15.75">
      <c r="B57" s="85"/>
      <c r="C57" s="35"/>
    </row>
    <row r="58" spans="2:3" ht="15.75">
      <c r="B58" s="85" t="s">
        <v>118</v>
      </c>
      <c r="C58" s="35"/>
    </row>
    <row r="59" spans="2:3" ht="13.5">
      <c r="B59" s="37" t="s">
        <v>126</v>
      </c>
      <c r="C59" s="38"/>
    </row>
    <row r="60" spans="2:6" ht="13.5">
      <c r="B60" s="39" t="s">
        <v>120</v>
      </c>
      <c r="C60" s="39" t="s">
        <v>121</v>
      </c>
      <c r="D60" s="39" t="s">
        <v>122</v>
      </c>
      <c r="E60" s="39" t="s">
        <v>123</v>
      </c>
      <c r="F60" s="39" t="s">
        <v>935</v>
      </c>
    </row>
    <row r="61" spans="1:6" ht="12.75">
      <c r="A61" s="49">
        <v>1</v>
      </c>
      <c r="B61" s="135" t="s">
        <v>489</v>
      </c>
      <c r="C61" s="83" t="s">
        <v>127</v>
      </c>
      <c r="D61" s="83" t="s">
        <v>568</v>
      </c>
      <c r="E61" s="83" t="s">
        <v>39</v>
      </c>
      <c r="F61" s="48" t="s">
        <v>569</v>
      </c>
    </row>
    <row r="62" spans="1:6" ht="12.75">
      <c r="A62" s="49">
        <v>2</v>
      </c>
      <c r="B62" s="135" t="s">
        <v>475</v>
      </c>
      <c r="C62" s="83" t="s">
        <v>127</v>
      </c>
      <c r="D62" s="83" t="s">
        <v>226</v>
      </c>
      <c r="E62" s="83" t="s">
        <v>189</v>
      </c>
      <c r="F62" s="48" t="s">
        <v>570</v>
      </c>
    </row>
    <row r="63" spans="1:6" ht="12.75">
      <c r="A63" s="49">
        <v>3</v>
      </c>
      <c r="B63" s="135" t="s">
        <v>479</v>
      </c>
      <c r="C63" s="83" t="s">
        <v>127</v>
      </c>
      <c r="D63" s="83" t="s">
        <v>226</v>
      </c>
      <c r="E63" s="83" t="s">
        <v>482</v>
      </c>
      <c r="F63" s="48" t="s">
        <v>571</v>
      </c>
    </row>
    <row r="64" ht="12.75">
      <c r="F64" s="83"/>
    </row>
    <row r="65" spans="2:6" ht="15.75">
      <c r="B65" s="85" t="s">
        <v>129</v>
      </c>
      <c r="C65" s="35"/>
      <c r="F65" s="83"/>
    </row>
    <row r="66" ht="12.75">
      <c r="F66" s="83"/>
    </row>
    <row r="67" spans="2:6" ht="13.5">
      <c r="B67" s="37" t="s">
        <v>126</v>
      </c>
      <c r="C67" s="38"/>
      <c r="F67" s="83"/>
    </row>
    <row r="68" spans="2:6" ht="13.5">
      <c r="B68" s="39" t="s">
        <v>120</v>
      </c>
      <c r="C68" s="39" t="s">
        <v>121</v>
      </c>
      <c r="D68" s="39" t="s">
        <v>122</v>
      </c>
      <c r="E68" s="39" t="s">
        <v>123</v>
      </c>
      <c r="F68" s="39" t="s">
        <v>935</v>
      </c>
    </row>
    <row r="69" spans="1:6" ht="12.75">
      <c r="A69" s="49">
        <v>1</v>
      </c>
      <c r="B69" s="135" t="s">
        <v>492</v>
      </c>
      <c r="C69" s="83" t="s">
        <v>127</v>
      </c>
      <c r="D69" s="83" t="s">
        <v>360</v>
      </c>
      <c r="E69" s="83" t="s">
        <v>20</v>
      </c>
      <c r="F69" s="48" t="s">
        <v>572</v>
      </c>
    </row>
    <row r="70" spans="1:6" ht="12.75">
      <c r="A70" s="49">
        <v>2</v>
      </c>
      <c r="B70" s="135" t="s">
        <v>550</v>
      </c>
      <c r="C70" s="83" t="s">
        <v>127</v>
      </c>
      <c r="D70" s="83" t="s">
        <v>130</v>
      </c>
      <c r="E70" s="83" t="s">
        <v>78</v>
      </c>
      <c r="F70" s="48" t="s">
        <v>573</v>
      </c>
    </row>
    <row r="71" spans="1:6" ht="12.75">
      <c r="A71" s="49">
        <v>3</v>
      </c>
      <c r="B71" s="135" t="s">
        <v>539</v>
      </c>
      <c r="C71" s="83" t="s">
        <v>127</v>
      </c>
      <c r="D71" s="83" t="s">
        <v>240</v>
      </c>
      <c r="E71" s="83" t="s">
        <v>70</v>
      </c>
      <c r="F71" s="48" t="s">
        <v>574</v>
      </c>
    </row>
    <row r="72" spans="2:6" ht="12.75">
      <c r="B72" s="135" t="s">
        <v>542</v>
      </c>
      <c r="C72" s="83" t="s">
        <v>127</v>
      </c>
      <c r="D72" s="83" t="s">
        <v>240</v>
      </c>
      <c r="E72" s="83" t="s">
        <v>69</v>
      </c>
      <c r="F72" s="48" t="s">
        <v>575</v>
      </c>
    </row>
    <row r="73" spans="2:6" ht="12.75">
      <c r="B73" s="135" t="s">
        <v>508</v>
      </c>
      <c r="C73" s="83" t="s">
        <v>127</v>
      </c>
      <c r="D73" s="83" t="s">
        <v>397</v>
      </c>
      <c r="E73" s="83" t="s">
        <v>511</v>
      </c>
      <c r="F73" s="48" t="s">
        <v>576</v>
      </c>
    </row>
    <row r="74" spans="2:6" ht="12.75">
      <c r="B74" s="135" t="s">
        <v>530</v>
      </c>
      <c r="C74" s="83" t="s">
        <v>127</v>
      </c>
      <c r="D74" s="83" t="s">
        <v>130</v>
      </c>
      <c r="E74" s="83" t="s">
        <v>59</v>
      </c>
      <c r="F74" s="48" t="s">
        <v>577</v>
      </c>
    </row>
    <row r="75" spans="2:6" ht="12.75">
      <c r="B75" s="135" t="s">
        <v>557</v>
      </c>
      <c r="C75" s="83" t="s">
        <v>127</v>
      </c>
      <c r="D75" s="83" t="s">
        <v>233</v>
      </c>
      <c r="E75" s="83" t="s">
        <v>59</v>
      </c>
      <c r="F75" s="48" t="s">
        <v>578</v>
      </c>
    </row>
    <row r="76" spans="2:6" ht="12.75">
      <c r="B76" s="135" t="s">
        <v>545</v>
      </c>
      <c r="C76" s="83" t="s">
        <v>127</v>
      </c>
      <c r="D76" s="83" t="s">
        <v>240</v>
      </c>
      <c r="E76" s="83" t="s">
        <v>67</v>
      </c>
      <c r="F76" s="48" t="s">
        <v>579</v>
      </c>
    </row>
    <row r="77" spans="2:6" ht="12.75">
      <c r="B77" s="135" t="s">
        <v>514</v>
      </c>
      <c r="C77" s="83" t="s">
        <v>127</v>
      </c>
      <c r="D77" s="83" t="s">
        <v>133</v>
      </c>
      <c r="E77" s="83" t="s">
        <v>253</v>
      </c>
      <c r="F77" s="48" t="s">
        <v>580</v>
      </c>
    </row>
    <row r="78" spans="2:6" ht="12.75">
      <c r="B78" s="135" t="s">
        <v>561</v>
      </c>
      <c r="C78" s="83" t="s">
        <v>127</v>
      </c>
      <c r="D78" s="83" t="s">
        <v>233</v>
      </c>
      <c r="E78" s="83" t="s">
        <v>471</v>
      </c>
      <c r="F78" s="48" t="s">
        <v>581</v>
      </c>
    </row>
    <row r="79" spans="2:6" ht="12.75">
      <c r="B79" s="135" t="s">
        <v>517</v>
      </c>
      <c r="C79" s="83" t="s">
        <v>127</v>
      </c>
      <c r="D79" s="83" t="s">
        <v>133</v>
      </c>
      <c r="E79" s="83" t="s">
        <v>44</v>
      </c>
      <c r="F79" s="48" t="s">
        <v>582</v>
      </c>
    </row>
    <row r="80" spans="2:6" ht="12.75">
      <c r="B80" s="135" t="s">
        <v>522</v>
      </c>
      <c r="C80" s="83" t="s">
        <v>127</v>
      </c>
      <c r="D80" s="83" t="s">
        <v>133</v>
      </c>
      <c r="E80" s="83" t="s">
        <v>44</v>
      </c>
      <c r="F80" s="48" t="s">
        <v>583</v>
      </c>
    </row>
    <row r="81" spans="2:6" ht="12.75">
      <c r="B81" s="135" t="s">
        <v>526</v>
      </c>
      <c r="C81" s="83" t="s">
        <v>127</v>
      </c>
      <c r="D81" s="83" t="s">
        <v>133</v>
      </c>
      <c r="E81" s="83" t="s">
        <v>39</v>
      </c>
      <c r="F81" s="48" t="s">
        <v>584</v>
      </c>
    </row>
    <row r="82" ht="12.75">
      <c r="F82" s="83"/>
    </row>
    <row r="83" spans="2:6" ht="13.5">
      <c r="B83" s="37" t="s">
        <v>229</v>
      </c>
      <c r="C83" s="38"/>
      <c r="F83" s="83"/>
    </row>
    <row r="84" spans="2:6" ht="13.5">
      <c r="B84" s="39" t="s">
        <v>120</v>
      </c>
      <c r="C84" s="39" t="s">
        <v>121</v>
      </c>
      <c r="D84" s="39" t="s">
        <v>122</v>
      </c>
      <c r="E84" s="39" t="s">
        <v>123</v>
      </c>
      <c r="F84" s="39" t="s">
        <v>935</v>
      </c>
    </row>
    <row r="85" spans="1:6" ht="12.75">
      <c r="A85" s="49">
        <v>1</v>
      </c>
      <c r="B85" s="135" t="s">
        <v>553</v>
      </c>
      <c r="C85" s="83" t="s">
        <v>585</v>
      </c>
      <c r="D85" s="83" t="s">
        <v>130</v>
      </c>
      <c r="E85" s="83" t="s">
        <v>423</v>
      </c>
      <c r="F85" s="48" t="s">
        <v>586</v>
      </c>
    </row>
    <row r="86" spans="1:6" ht="12.75">
      <c r="A86" s="49">
        <v>2</v>
      </c>
      <c r="B86" s="135" t="s">
        <v>530</v>
      </c>
      <c r="C86" s="83" t="s">
        <v>232</v>
      </c>
      <c r="D86" s="83" t="s">
        <v>133</v>
      </c>
      <c r="E86" s="83" t="s">
        <v>111</v>
      </c>
      <c r="F86" s="48" t="s">
        <v>587</v>
      </c>
    </row>
    <row r="87" spans="1:6" ht="12.75">
      <c r="A87" s="49">
        <v>3</v>
      </c>
      <c r="B87" s="135" t="s">
        <v>534</v>
      </c>
      <c r="C87" s="83" t="s">
        <v>230</v>
      </c>
      <c r="D87" s="83" t="s">
        <v>133</v>
      </c>
      <c r="E87" s="83" t="s">
        <v>588</v>
      </c>
      <c r="F87" s="48" t="s">
        <v>589</v>
      </c>
    </row>
    <row r="88" spans="2:6" ht="12.75">
      <c r="B88" s="135" t="s">
        <v>564</v>
      </c>
      <c r="C88" s="83" t="s">
        <v>232</v>
      </c>
      <c r="D88" s="83" t="s">
        <v>233</v>
      </c>
      <c r="E88" s="83" t="s">
        <v>68</v>
      </c>
      <c r="F88" s="48" t="s">
        <v>590</v>
      </c>
    </row>
    <row r="89" spans="2:6" ht="12.75">
      <c r="B89" s="83"/>
      <c r="C89" s="83"/>
      <c r="D89" s="83"/>
      <c r="E89" s="83"/>
      <c r="F89" s="83"/>
    </row>
  </sheetData>
  <sheetProtection/>
  <mergeCells count="21">
    <mergeCell ref="B50:M50"/>
    <mergeCell ref="B16:M16"/>
    <mergeCell ref="B19:M19"/>
    <mergeCell ref="B22:M22"/>
    <mergeCell ref="B28:M28"/>
    <mergeCell ref="B38:M38"/>
    <mergeCell ref="B44:M44"/>
    <mergeCell ref="B10:M10"/>
    <mergeCell ref="B13:M13"/>
    <mergeCell ref="M3:M4"/>
    <mergeCell ref="N3:N4"/>
    <mergeCell ref="L3:L4"/>
    <mergeCell ref="F3:F4"/>
    <mergeCell ref="G3:G4"/>
    <mergeCell ref="H3:K3"/>
    <mergeCell ref="B1:N2"/>
    <mergeCell ref="B3:B4"/>
    <mergeCell ref="C3:C4"/>
    <mergeCell ref="D3:D4"/>
    <mergeCell ref="E3:E4"/>
    <mergeCell ref="B5:M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6"/>
  <sheetViews>
    <sheetView workbookViewId="0" topLeftCell="A3">
      <selection activeCell="F18" sqref="F18"/>
    </sheetView>
  </sheetViews>
  <sheetFormatPr defaultColWidth="8.75390625" defaultRowHeight="12.75"/>
  <cols>
    <col min="1" max="1" width="4.25390625" style="0" customWidth="1"/>
    <col min="2" max="2" width="23.625" style="0" customWidth="1"/>
    <col min="3" max="3" width="26.25390625" style="0" customWidth="1"/>
    <col min="4" max="4" width="10.125" style="0" customWidth="1"/>
    <col min="5" max="5" width="8.75390625" style="0" customWidth="1"/>
    <col min="6" max="6" width="16.25390625" style="0" customWidth="1"/>
    <col min="7" max="7" width="36.625" style="0" customWidth="1"/>
    <col min="8" max="10" width="8.75390625" style="0" customWidth="1"/>
    <col min="11" max="11" width="6.25390625" style="0" customWidth="1"/>
    <col min="12" max="12" width="10.00390625" style="0" customWidth="1"/>
    <col min="13" max="13" width="11.00390625" style="0" customWidth="1"/>
    <col min="14" max="14" width="21.125" style="0" customWidth="1"/>
  </cols>
  <sheetData>
    <row r="1" spans="1:14" ht="12.75">
      <c r="A1" s="43"/>
      <c r="B1" s="157" t="s">
        <v>1146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ht="45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3.5">
      <c r="A3" s="2"/>
      <c r="B3" s="163" t="s">
        <v>0</v>
      </c>
      <c r="C3" s="165" t="s">
        <v>1077</v>
      </c>
      <c r="D3" s="151" t="s">
        <v>936</v>
      </c>
      <c r="E3" s="151" t="s">
        <v>935</v>
      </c>
      <c r="F3" s="151" t="s">
        <v>6</v>
      </c>
      <c r="G3" s="151" t="s">
        <v>940</v>
      </c>
      <c r="H3" s="166" t="s">
        <v>1079</v>
      </c>
      <c r="I3" s="171"/>
      <c r="J3" s="171"/>
      <c r="K3" s="167"/>
      <c r="L3" s="151" t="s">
        <v>1080</v>
      </c>
      <c r="M3" s="151" t="s">
        <v>935</v>
      </c>
      <c r="N3" s="153" t="s">
        <v>5</v>
      </c>
    </row>
    <row r="4" spans="1:14" ht="15" thickBot="1">
      <c r="A4" s="2"/>
      <c r="B4" s="164"/>
      <c r="C4" s="152"/>
      <c r="D4" s="152"/>
      <c r="E4" s="152"/>
      <c r="F4" s="152"/>
      <c r="G4" s="152"/>
      <c r="H4" s="169" t="s">
        <v>1078</v>
      </c>
      <c r="I4" s="170"/>
      <c r="J4" s="169" t="s">
        <v>1081</v>
      </c>
      <c r="K4" s="170"/>
      <c r="L4" s="152"/>
      <c r="M4" s="152"/>
      <c r="N4" s="154"/>
    </row>
    <row r="5" spans="1:21" ht="15.75">
      <c r="A5" s="89"/>
      <c r="B5" s="156" t="s">
        <v>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14" ht="12.75">
      <c r="A6" s="91" t="s">
        <v>932</v>
      </c>
      <c r="B6" s="26" t="s">
        <v>603</v>
      </c>
      <c r="C6" s="26" t="s">
        <v>604</v>
      </c>
      <c r="D6" s="26" t="s">
        <v>605</v>
      </c>
      <c r="E6" s="98" t="s">
        <v>1156</v>
      </c>
      <c r="F6" s="26" t="s">
        <v>291</v>
      </c>
      <c r="G6" s="26" t="s">
        <v>606</v>
      </c>
      <c r="H6" s="92">
        <v>60</v>
      </c>
      <c r="I6" s="93"/>
      <c r="J6" s="94">
        <v>21</v>
      </c>
      <c r="K6" s="93"/>
      <c r="L6" s="95">
        <v>1260</v>
      </c>
      <c r="M6" s="105" t="s">
        <v>1164</v>
      </c>
      <c r="N6" s="93" t="s">
        <v>968</v>
      </c>
    </row>
    <row r="7" spans="2:21" ht="15.75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ht="15.75">
      <c r="A8" s="91"/>
      <c r="B8" s="156" t="s">
        <v>1091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1:14" ht="12.75">
      <c r="A9" s="91" t="s">
        <v>932</v>
      </c>
      <c r="B9" s="26" t="s">
        <v>1147</v>
      </c>
      <c r="C9" s="26" t="s">
        <v>646</v>
      </c>
      <c r="D9" s="26" t="s">
        <v>57</v>
      </c>
      <c r="E9" s="98" t="s">
        <v>1157</v>
      </c>
      <c r="F9" s="26" t="s">
        <v>1566</v>
      </c>
      <c r="G9" s="26" t="s">
        <v>1148</v>
      </c>
      <c r="H9" s="92">
        <v>82.5</v>
      </c>
      <c r="I9" s="93"/>
      <c r="J9" s="94">
        <v>21</v>
      </c>
      <c r="K9" s="93"/>
      <c r="L9" s="105">
        <v>1732.5</v>
      </c>
      <c r="M9" s="105" t="s">
        <v>1165</v>
      </c>
      <c r="N9" s="93" t="s">
        <v>553</v>
      </c>
    </row>
    <row r="10" spans="2:21" ht="15.75"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1" ht="15.75">
      <c r="A11" s="91"/>
      <c r="B11" s="156" t="s">
        <v>62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14" ht="12.75">
      <c r="A12" s="91" t="s">
        <v>932</v>
      </c>
      <c r="B12" s="16" t="s">
        <v>656</v>
      </c>
      <c r="C12" s="26" t="s">
        <v>657</v>
      </c>
      <c r="D12" s="16" t="s">
        <v>658</v>
      </c>
      <c r="E12" s="98" t="s">
        <v>1158</v>
      </c>
      <c r="F12" s="16" t="s">
        <v>12</v>
      </c>
      <c r="G12" s="26" t="s">
        <v>659</v>
      </c>
      <c r="H12" s="92">
        <v>87.5</v>
      </c>
      <c r="I12" s="93"/>
      <c r="J12" s="94">
        <v>26</v>
      </c>
      <c r="K12" s="93"/>
      <c r="L12" s="95">
        <v>2275</v>
      </c>
      <c r="M12" s="105" t="s">
        <v>1166</v>
      </c>
      <c r="N12" s="93" t="s">
        <v>1051</v>
      </c>
    </row>
    <row r="13" spans="1:14" ht="12.75">
      <c r="A13" s="91" t="s">
        <v>932</v>
      </c>
      <c r="B13" s="16" t="s">
        <v>656</v>
      </c>
      <c r="C13" s="26" t="s">
        <v>1172</v>
      </c>
      <c r="D13" s="16" t="s">
        <v>658</v>
      </c>
      <c r="E13" s="98" t="s">
        <v>1158</v>
      </c>
      <c r="F13" s="16" t="s">
        <v>12</v>
      </c>
      <c r="G13" s="26" t="s">
        <v>659</v>
      </c>
      <c r="H13" s="92">
        <v>87.5</v>
      </c>
      <c r="I13" s="93"/>
      <c r="J13" s="94">
        <v>26</v>
      </c>
      <c r="K13" s="93"/>
      <c r="L13" s="95">
        <v>2275</v>
      </c>
      <c r="M13" s="105" t="s">
        <v>1166</v>
      </c>
      <c r="N13" s="93" t="s">
        <v>1051</v>
      </c>
    </row>
    <row r="14" spans="1:14" ht="12.75">
      <c r="A14" s="89">
        <v>2</v>
      </c>
      <c r="B14" s="26" t="s">
        <v>661</v>
      </c>
      <c r="C14" s="26" t="s">
        <v>1149</v>
      </c>
      <c r="D14" s="16" t="s">
        <v>663</v>
      </c>
      <c r="E14" s="98" t="s">
        <v>1159</v>
      </c>
      <c r="F14" s="26" t="s">
        <v>1566</v>
      </c>
      <c r="G14" s="26" t="s">
        <v>1150</v>
      </c>
      <c r="H14" s="92">
        <v>87.5</v>
      </c>
      <c r="I14" s="93"/>
      <c r="J14" s="94">
        <v>26</v>
      </c>
      <c r="K14" s="93"/>
      <c r="L14" s="95">
        <v>2275</v>
      </c>
      <c r="M14" s="105" t="s">
        <v>1167</v>
      </c>
      <c r="N14" s="93" t="s">
        <v>553</v>
      </c>
    </row>
    <row r="16" spans="1:21" ht="15.75">
      <c r="A16" s="91"/>
      <c r="B16" s="156" t="s">
        <v>206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1:14" ht="12.75">
      <c r="A17" s="91" t="s">
        <v>932</v>
      </c>
      <c r="B17" s="16" t="s">
        <v>673</v>
      </c>
      <c r="C17" s="26" t="s">
        <v>674</v>
      </c>
      <c r="D17" s="16" t="s">
        <v>1151</v>
      </c>
      <c r="E17" s="98" t="s">
        <v>1160</v>
      </c>
      <c r="F17" s="16" t="s">
        <v>1152</v>
      </c>
      <c r="G17" s="26" t="s">
        <v>659</v>
      </c>
      <c r="H17" s="92">
        <v>100</v>
      </c>
      <c r="I17" s="93"/>
      <c r="J17" s="94">
        <v>25</v>
      </c>
      <c r="K17" s="93"/>
      <c r="L17" s="95">
        <v>2500</v>
      </c>
      <c r="M17" s="105" t="s">
        <v>1168</v>
      </c>
      <c r="N17" s="93" t="s">
        <v>1051</v>
      </c>
    </row>
    <row r="18" spans="1:14" ht="12.75">
      <c r="A18" s="91" t="s">
        <v>932</v>
      </c>
      <c r="B18" s="16" t="s">
        <v>679</v>
      </c>
      <c r="C18" s="26" t="s">
        <v>680</v>
      </c>
      <c r="D18" s="16" t="s">
        <v>1153</v>
      </c>
      <c r="E18" s="98" t="s">
        <v>1161</v>
      </c>
      <c r="F18" s="16" t="s">
        <v>1566</v>
      </c>
      <c r="G18" s="26" t="s">
        <v>1154</v>
      </c>
      <c r="H18" s="92">
        <v>97.5</v>
      </c>
      <c r="I18" s="93"/>
      <c r="J18" s="94">
        <v>14</v>
      </c>
      <c r="K18" s="93"/>
      <c r="L18" s="95">
        <v>1365</v>
      </c>
      <c r="M18" s="105" t="s">
        <v>1169</v>
      </c>
      <c r="N18" s="93" t="s">
        <v>553</v>
      </c>
    </row>
    <row r="19" spans="1:21" ht="15.75">
      <c r="A19" s="91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</row>
    <row r="20" spans="1:21" ht="15.75">
      <c r="A20" s="91"/>
      <c r="B20" s="156" t="s">
        <v>82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14" ht="12.75">
      <c r="A21" s="91" t="s">
        <v>932</v>
      </c>
      <c r="B21" s="16" t="s">
        <v>688</v>
      </c>
      <c r="C21" s="26" t="s">
        <v>1155</v>
      </c>
      <c r="D21" s="16" t="s">
        <v>690</v>
      </c>
      <c r="E21" s="98" t="s">
        <v>1162</v>
      </c>
      <c r="F21" s="16" t="s">
        <v>12</v>
      </c>
      <c r="G21" s="26" t="s">
        <v>944</v>
      </c>
      <c r="H21" s="92">
        <v>107.5</v>
      </c>
      <c r="I21" s="93"/>
      <c r="J21" s="94">
        <v>18</v>
      </c>
      <c r="K21" s="93"/>
      <c r="L21" s="95">
        <v>1935</v>
      </c>
      <c r="M21" s="105" t="s">
        <v>1170</v>
      </c>
      <c r="N21" s="93" t="s">
        <v>1051</v>
      </c>
    </row>
    <row r="22" spans="1:21" ht="15.75">
      <c r="A22" s="91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</row>
    <row r="23" spans="1:21" ht="15.75">
      <c r="A23" s="89"/>
      <c r="B23" s="156" t="s">
        <v>222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14" ht="12.75">
      <c r="A24" s="91" t="s">
        <v>932</v>
      </c>
      <c r="B24" s="16" t="s">
        <v>697</v>
      </c>
      <c r="C24" s="26" t="s">
        <v>698</v>
      </c>
      <c r="D24" s="16" t="s">
        <v>699</v>
      </c>
      <c r="E24" s="98" t="s">
        <v>1163</v>
      </c>
      <c r="F24" s="16" t="s">
        <v>1566</v>
      </c>
      <c r="G24" s="26" t="s">
        <v>1148</v>
      </c>
      <c r="H24" s="92">
        <v>122.5</v>
      </c>
      <c r="I24" s="93"/>
      <c r="J24" s="94">
        <v>17</v>
      </c>
      <c r="K24" s="93"/>
      <c r="L24" s="95">
        <v>2082.5</v>
      </c>
      <c r="M24" s="105" t="s">
        <v>1171</v>
      </c>
      <c r="N24" s="93" t="s">
        <v>553</v>
      </c>
    </row>
    <row r="26" spans="1:6" ht="18">
      <c r="A26" s="43"/>
      <c r="B26" s="19" t="s">
        <v>117</v>
      </c>
      <c r="C26" s="20"/>
      <c r="D26" s="1"/>
      <c r="E26" s="1"/>
      <c r="F26" s="5"/>
    </row>
    <row r="27" spans="1:6" ht="15.75">
      <c r="A27" s="43"/>
      <c r="B27" s="21"/>
      <c r="C27" s="22"/>
      <c r="D27" s="1"/>
      <c r="E27" s="1"/>
      <c r="F27" s="5"/>
    </row>
    <row r="28" spans="1:6" ht="15.75">
      <c r="A28" s="43"/>
      <c r="B28" s="21" t="s">
        <v>129</v>
      </c>
      <c r="C28" s="22"/>
      <c r="D28" s="1"/>
      <c r="E28" s="1"/>
      <c r="F28" s="5"/>
    </row>
    <row r="29" spans="1:6" ht="13.5">
      <c r="A29" s="43"/>
      <c r="B29" s="84" t="s">
        <v>126</v>
      </c>
      <c r="C29" s="23"/>
      <c r="D29" s="1"/>
      <c r="E29" s="1"/>
      <c r="F29" s="5"/>
    </row>
    <row r="30" spans="1:6" ht="13.5">
      <c r="A30" s="43"/>
      <c r="B30" s="24" t="s">
        <v>120</v>
      </c>
      <c r="C30" s="24" t="s">
        <v>121</v>
      </c>
      <c r="D30" s="24" t="s">
        <v>122</v>
      </c>
      <c r="E30" s="24" t="s">
        <v>1080</v>
      </c>
      <c r="F30" s="24" t="s">
        <v>1173</v>
      </c>
    </row>
    <row r="31" spans="1:7" ht="12.75">
      <c r="A31" s="43" t="s">
        <v>932</v>
      </c>
      <c r="B31" s="5" t="s">
        <v>673</v>
      </c>
      <c r="C31" s="1" t="s">
        <v>127</v>
      </c>
      <c r="D31" s="1" t="s">
        <v>1086</v>
      </c>
      <c r="E31" s="101">
        <v>2500</v>
      </c>
      <c r="F31" s="99" t="s">
        <v>1168</v>
      </c>
      <c r="G31" s="106"/>
    </row>
    <row r="32" spans="1:6" ht="12.75">
      <c r="A32" s="43" t="s">
        <v>933</v>
      </c>
      <c r="B32" s="5" t="s">
        <v>656</v>
      </c>
      <c r="C32" s="1" t="s">
        <v>127</v>
      </c>
      <c r="D32" s="1" t="s">
        <v>1083</v>
      </c>
      <c r="E32" s="101">
        <v>2275</v>
      </c>
      <c r="F32" s="99" t="s">
        <v>1166</v>
      </c>
    </row>
    <row r="33" spans="1:6" ht="12.75">
      <c r="A33" s="43" t="s">
        <v>934</v>
      </c>
      <c r="B33" s="5" t="s">
        <v>661</v>
      </c>
      <c r="C33" s="1" t="s">
        <v>127</v>
      </c>
      <c r="D33" s="1" t="s">
        <v>1083</v>
      </c>
      <c r="E33" s="101">
        <v>2275</v>
      </c>
      <c r="F33" s="99" t="s">
        <v>1167</v>
      </c>
    </row>
    <row r="34" spans="1:6" ht="12.75">
      <c r="A34" s="43"/>
      <c r="B34" s="5" t="s">
        <v>697</v>
      </c>
      <c r="C34" s="1" t="s">
        <v>127</v>
      </c>
      <c r="D34" s="1" t="s">
        <v>1084</v>
      </c>
      <c r="E34" s="102">
        <v>2082.5</v>
      </c>
      <c r="F34" s="99" t="s">
        <v>1171</v>
      </c>
    </row>
    <row r="35" spans="1:6" ht="12.75">
      <c r="A35" s="43"/>
      <c r="B35" s="5" t="s">
        <v>1147</v>
      </c>
      <c r="C35" s="1" t="s">
        <v>127</v>
      </c>
      <c r="D35" s="1" t="s">
        <v>161</v>
      </c>
      <c r="E35" s="102">
        <v>1732.5</v>
      </c>
      <c r="F35" s="99" t="s">
        <v>1165</v>
      </c>
    </row>
    <row r="36" spans="1:6" ht="12.75">
      <c r="A36" s="43"/>
      <c r="B36" s="5" t="s">
        <v>679</v>
      </c>
      <c r="C36" s="1" t="s">
        <v>127</v>
      </c>
      <c r="D36" s="1" t="s">
        <v>1086</v>
      </c>
      <c r="E36" s="102">
        <v>1365</v>
      </c>
      <c r="F36" s="99" t="s">
        <v>1169</v>
      </c>
    </row>
  </sheetData>
  <sheetProtection/>
  <mergeCells count="22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H4:I4"/>
    <mergeCell ref="J4:K4"/>
    <mergeCell ref="B5:U5"/>
    <mergeCell ref="B7:U7"/>
    <mergeCell ref="B8:U8"/>
    <mergeCell ref="B22:U22"/>
    <mergeCell ref="B23:U23"/>
    <mergeCell ref="B10:U10"/>
    <mergeCell ref="B11:U11"/>
    <mergeCell ref="B16:U16"/>
    <mergeCell ref="B20:U20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8">
      <selection activeCell="B1" sqref="B1:N2"/>
    </sheetView>
  </sheetViews>
  <sheetFormatPr defaultColWidth="8.75390625" defaultRowHeight="12.75"/>
  <cols>
    <col min="1" max="1" width="3.375" style="0" customWidth="1"/>
    <col min="2" max="2" width="20.00390625" style="0" customWidth="1"/>
    <col min="3" max="3" width="27.625" style="0" customWidth="1"/>
    <col min="4" max="4" width="11.25390625" style="0" customWidth="1"/>
    <col min="5" max="5" width="10.875" style="0" customWidth="1"/>
    <col min="6" max="6" width="25.375" style="0" customWidth="1"/>
    <col min="7" max="7" width="37.00390625" style="0" customWidth="1"/>
    <col min="8" max="8" width="8.75390625" style="0" customWidth="1"/>
    <col min="9" max="9" width="5.00390625" style="0" customWidth="1"/>
    <col min="10" max="10" width="8.75390625" style="0" customWidth="1"/>
    <col min="11" max="11" width="6.125" style="0" customWidth="1"/>
    <col min="12" max="12" width="14.75390625" style="0" customWidth="1"/>
    <col min="13" max="13" width="13.00390625" style="0" customWidth="1"/>
    <col min="14" max="14" width="23.375" style="0" customWidth="1"/>
  </cols>
  <sheetData>
    <row r="1" spans="1:14" ht="12.75">
      <c r="A1" s="43"/>
      <c r="B1" s="157" t="s">
        <v>1087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ht="62.2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1:14" ht="13.5">
      <c r="A3" s="2"/>
      <c r="B3" s="163" t="s">
        <v>0</v>
      </c>
      <c r="C3" s="165" t="s">
        <v>1077</v>
      </c>
      <c r="D3" s="151" t="s">
        <v>936</v>
      </c>
      <c r="E3" s="151" t="s">
        <v>935</v>
      </c>
      <c r="F3" s="151" t="s">
        <v>6</v>
      </c>
      <c r="G3" s="151" t="s">
        <v>940</v>
      </c>
      <c r="H3" s="166" t="s">
        <v>1079</v>
      </c>
      <c r="I3" s="171"/>
      <c r="J3" s="171"/>
      <c r="K3" s="167"/>
      <c r="L3" s="151" t="s">
        <v>1080</v>
      </c>
      <c r="M3" s="151" t="s">
        <v>935</v>
      </c>
      <c r="N3" s="153" t="s">
        <v>5</v>
      </c>
    </row>
    <row r="4" spans="1:14" ht="15" thickBot="1">
      <c r="A4" s="2"/>
      <c r="B4" s="164"/>
      <c r="C4" s="152"/>
      <c r="D4" s="152"/>
      <c r="E4" s="152"/>
      <c r="F4" s="152"/>
      <c r="G4" s="152"/>
      <c r="H4" s="169" t="s">
        <v>1078</v>
      </c>
      <c r="I4" s="170"/>
      <c r="J4" s="169" t="s">
        <v>1081</v>
      </c>
      <c r="K4" s="170"/>
      <c r="L4" s="152"/>
      <c r="M4" s="152"/>
      <c r="N4" s="154"/>
    </row>
    <row r="5" spans="1:21" ht="15.75">
      <c r="A5" s="89"/>
      <c r="B5" s="156" t="s">
        <v>1090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14" ht="12.75">
      <c r="A6" s="91" t="s">
        <v>932</v>
      </c>
      <c r="B6" s="16" t="s">
        <v>489</v>
      </c>
      <c r="C6" s="26" t="s">
        <v>490</v>
      </c>
      <c r="D6" s="26" t="s">
        <v>491</v>
      </c>
      <c r="E6" s="98" t="s">
        <v>1116</v>
      </c>
      <c r="F6" s="26" t="s">
        <v>12</v>
      </c>
      <c r="G6" s="26" t="s">
        <v>1005</v>
      </c>
      <c r="H6" s="92">
        <v>97.5</v>
      </c>
      <c r="I6" s="93"/>
      <c r="J6" s="94">
        <v>22</v>
      </c>
      <c r="K6" s="93"/>
      <c r="L6" s="95">
        <v>2145</v>
      </c>
      <c r="M6" s="97" t="s">
        <v>1117</v>
      </c>
      <c r="N6" s="93" t="s">
        <v>1013</v>
      </c>
    </row>
    <row r="7" spans="2:21" ht="15.75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</row>
    <row r="8" spans="1:21" ht="15.75">
      <c r="A8" s="91"/>
      <c r="B8" s="156" t="s">
        <v>1091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1:14" ht="12.75">
      <c r="A9" s="91" t="s">
        <v>932</v>
      </c>
      <c r="B9" s="26" t="s">
        <v>508</v>
      </c>
      <c r="C9" s="26" t="s">
        <v>509</v>
      </c>
      <c r="D9" s="26" t="s">
        <v>192</v>
      </c>
      <c r="E9" s="98" t="s">
        <v>1118</v>
      </c>
      <c r="F9" s="26" t="s">
        <v>1028</v>
      </c>
      <c r="G9" s="26" t="s">
        <v>510</v>
      </c>
      <c r="H9" s="92">
        <v>82.5</v>
      </c>
      <c r="I9" s="93"/>
      <c r="J9" s="94">
        <v>59</v>
      </c>
      <c r="K9" s="93"/>
      <c r="L9" s="95">
        <v>4867.5</v>
      </c>
      <c r="M9" s="97" t="s">
        <v>1119</v>
      </c>
      <c r="N9" s="93" t="s">
        <v>1014</v>
      </c>
    </row>
    <row r="10" spans="1:14" ht="12.75">
      <c r="A10" s="89">
        <v>1</v>
      </c>
      <c r="B10" s="26" t="s">
        <v>979</v>
      </c>
      <c r="C10" s="26" t="s">
        <v>1092</v>
      </c>
      <c r="D10" s="26" t="s">
        <v>277</v>
      </c>
      <c r="E10" s="98" t="s">
        <v>1120</v>
      </c>
      <c r="F10" s="26" t="s">
        <v>12</v>
      </c>
      <c r="G10" s="26" t="s">
        <v>278</v>
      </c>
      <c r="H10" s="92">
        <v>82.5</v>
      </c>
      <c r="I10" s="93"/>
      <c r="J10" s="94">
        <v>36</v>
      </c>
      <c r="K10" s="93"/>
      <c r="L10" s="95">
        <v>2970</v>
      </c>
      <c r="M10" s="97" t="s">
        <v>1121</v>
      </c>
      <c r="N10" s="93" t="s">
        <v>981</v>
      </c>
    </row>
    <row r="11" spans="2:21" ht="15.75"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ht="15.75">
      <c r="A12" s="91"/>
      <c r="B12" s="156" t="s">
        <v>62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</row>
    <row r="13" spans="1:14" ht="12.75">
      <c r="A13" s="91" t="s">
        <v>932</v>
      </c>
      <c r="B13" s="16" t="s">
        <v>1093</v>
      </c>
      <c r="C13" s="26" t="s">
        <v>1094</v>
      </c>
      <c r="D13" s="16" t="s">
        <v>1082</v>
      </c>
      <c r="E13" s="98" t="s">
        <v>1122</v>
      </c>
      <c r="F13" s="16" t="s">
        <v>1095</v>
      </c>
      <c r="G13" s="26" t="s">
        <v>1007</v>
      </c>
      <c r="H13" s="92">
        <v>85</v>
      </c>
      <c r="I13" s="93"/>
      <c r="J13" s="94">
        <v>21</v>
      </c>
      <c r="K13" s="93"/>
      <c r="L13" s="95">
        <v>1785</v>
      </c>
      <c r="M13" s="97" t="s">
        <v>1123</v>
      </c>
      <c r="N13" s="93" t="s">
        <v>1051</v>
      </c>
    </row>
    <row r="14" spans="1:14" ht="12.75">
      <c r="A14" s="91" t="s">
        <v>932</v>
      </c>
      <c r="B14" s="26" t="s">
        <v>279</v>
      </c>
      <c r="C14" s="26" t="s">
        <v>280</v>
      </c>
      <c r="D14" s="26" t="s">
        <v>281</v>
      </c>
      <c r="E14" s="98" t="s">
        <v>1124</v>
      </c>
      <c r="F14" s="26" t="s">
        <v>12</v>
      </c>
      <c r="G14" s="26" t="s">
        <v>944</v>
      </c>
      <c r="H14" s="92">
        <v>90</v>
      </c>
      <c r="I14" s="93"/>
      <c r="J14" s="94">
        <v>44</v>
      </c>
      <c r="K14" s="93"/>
      <c r="L14" s="95">
        <v>3960</v>
      </c>
      <c r="M14" s="97" t="s">
        <v>1125</v>
      </c>
      <c r="N14" s="93" t="s">
        <v>1051</v>
      </c>
    </row>
    <row r="15" spans="1:14" ht="12.75">
      <c r="A15" s="89">
        <v>2</v>
      </c>
      <c r="B15" s="26" t="s">
        <v>514</v>
      </c>
      <c r="C15" s="30" t="s">
        <v>515</v>
      </c>
      <c r="D15" s="30" t="s">
        <v>516</v>
      </c>
      <c r="E15" s="98" t="s">
        <v>1126</v>
      </c>
      <c r="F15" s="30" t="s">
        <v>500</v>
      </c>
      <c r="G15" s="26" t="s">
        <v>1005</v>
      </c>
      <c r="H15" s="92">
        <v>90</v>
      </c>
      <c r="I15" s="93"/>
      <c r="J15" s="94">
        <v>29</v>
      </c>
      <c r="K15" s="93"/>
      <c r="L15" s="95">
        <v>2610</v>
      </c>
      <c r="M15" s="97" t="s">
        <v>1127</v>
      </c>
      <c r="N15" s="93" t="s">
        <v>1051</v>
      </c>
    </row>
    <row r="16" spans="1:14" ht="12.75">
      <c r="A16" s="91" t="s">
        <v>934</v>
      </c>
      <c r="B16" s="26" t="s">
        <v>73</v>
      </c>
      <c r="C16" s="26" t="s">
        <v>74</v>
      </c>
      <c r="D16" s="96" t="s">
        <v>75</v>
      </c>
      <c r="E16" s="98" t="s">
        <v>1128</v>
      </c>
      <c r="F16" s="26" t="s">
        <v>12</v>
      </c>
      <c r="G16" s="26" t="s">
        <v>1005</v>
      </c>
      <c r="H16" s="92">
        <v>90</v>
      </c>
      <c r="I16" s="93"/>
      <c r="J16" s="94">
        <v>26</v>
      </c>
      <c r="K16" s="93"/>
      <c r="L16" s="95">
        <v>2340</v>
      </c>
      <c r="M16" s="97" t="s">
        <v>1129</v>
      </c>
      <c r="N16" s="93" t="s">
        <v>1051</v>
      </c>
    </row>
    <row r="18" spans="1:21" ht="15.75">
      <c r="A18" s="91"/>
      <c r="B18" s="156" t="s">
        <v>206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</row>
    <row r="19" spans="1:14" ht="12.75">
      <c r="A19" s="91" t="s">
        <v>932</v>
      </c>
      <c r="B19" s="16" t="s">
        <v>1096</v>
      </c>
      <c r="C19" s="26" t="s">
        <v>1097</v>
      </c>
      <c r="D19" s="16" t="s">
        <v>1098</v>
      </c>
      <c r="E19" s="98" t="s">
        <v>1130</v>
      </c>
      <c r="F19" s="16" t="s">
        <v>1095</v>
      </c>
      <c r="G19" s="26" t="s">
        <v>1007</v>
      </c>
      <c r="H19" s="92">
        <v>92.5</v>
      </c>
      <c r="I19" s="93"/>
      <c r="J19" s="94">
        <v>28</v>
      </c>
      <c r="K19" s="93"/>
      <c r="L19" s="95">
        <v>2590</v>
      </c>
      <c r="M19" s="97" t="s">
        <v>1131</v>
      </c>
      <c r="N19" s="93" t="s">
        <v>1051</v>
      </c>
    </row>
    <row r="20" spans="1:21" ht="15.75">
      <c r="A20" s="91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21" ht="15.75">
      <c r="A21" s="91"/>
      <c r="B21" s="156" t="s">
        <v>82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14" ht="12.75">
      <c r="A22" s="91" t="s">
        <v>932</v>
      </c>
      <c r="B22" s="16" t="s">
        <v>1099</v>
      </c>
      <c r="C22" s="26" t="s">
        <v>1100</v>
      </c>
      <c r="D22" s="16" t="s">
        <v>1104</v>
      </c>
      <c r="E22" s="98" t="s">
        <v>1132</v>
      </c>
      <c r="F22" s="16" t="s">
        <v>12</v>
      </c>
      <c r="G22" s="26" t="s">
        <v>1101</v>
      </c>
      <c r="H22" s="92">
        <v>105</v>
      </c>
      <c r="I22" s="93"/>
      <c r="J22" s="94">
        <v>33</v>
      </c>
      <c r="K22" s="93"/>
      <c r="L22" s="95">
        <v>3465</v>
      </c>
      <c r="M22" s="97" t="s">
        <v>1133</v>
      </c>
      <c r="N22" s="93" t="s">
        <v>1051</v>
      </c>
    </row>
    <row r="23" spans="1:14" ht="12.75">
      <c r="A23" s="91" t="s">
        <v>933</v>
      </c>
      <c r="B23" s="26" t="s">
        <v>1102</v>
      </c>
      <c r="C23" s="26" t="s">
        <v>1103</v>
      </c>
      <c r="D23" s="26" t="s">
        <v>1105</v>
      </c>
      <c r="E23" s="98" t="s">
        <v>1134</v>
      </c>
      <c r="F23" s="26" t="s">
        <v>12</v>
      </c>
      <c r="G23" s="26" t="s">
        <v>944</v>
      </c>
      <c r="H23" s="92">
        <v>102.5</v>
      </c>
      <c r="I23" s="93"/>
      <c r="J23" s="94">
        <v>30</v>
      </c>
      <c r="K23" s="93"/>
      <c r="L23" s="95">
        <v>3075</v>
      </c>
      <c r="M23" s="97" t="s">
        <v>1135</v>
      </c>
      <c r="N23" s="93" t="s">
        <v>1051</v>
      </c>
    </row>
    <row r="24" spans="1:14" ht="12.75">
      <c r="A24" s="89">
        <v>3</v>
      </c>
      <c r="B24" s="26" t="s">
        <v>530</v>
      </c>
      <c r="C24" s="26" t="s">
        <v>552</v>
      </c>
      <c r="D24" s="26" t="s">
        <v>316</v>
      </c>
      <c r="E24" s="98" t="s">
        <v>1136</v>
      </c>
      <c r="F24" s="26" t="s">
        <v>946</v>
      </c>
      <c r="G24" s="26" t="s">
        <v>1106</v>
      </c>
      <c r="H24" s="92">
        <v>110</v>
      </c>
      <c r="I24" s="93"/>
      <c r="J24" s="94">
        <v>23</v>
      </c>
      <c r="K24" s="93"/>
      <c r="L24" s="95">
        <v>2530</v>
      </c>
      <c r="M24" s="97" t="s">
        <v>1137</v>
      </c>
      <c r="N24" s="93" t="s">
        <v>1051</v>
      </c>
    </row>
    <row r="25" spans="1:21" ht="15.75">
      <c r="A25" s="91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</row>
    <row r="26" spans="1:21" ht="15.75">
      <c r="A26" s="91"/>
      <c r="B26" s="156" t="s">
        <v>222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</row>
    <row r="27" spans="1:14" ht="12.75">
      <c r="A27" s="91" t="s">
        <v>932</v>
      </c>
      <c r="B27" s="16" t="s">
        <v>564</v>
      </c>
      <c r="C27" s="26" t="s">
        <v>1107</v>
      </c>
      <c r="D27" s="16" t="s">
        <v>566</v>
      </c>
      <c r="E27" s="98" t="s">
        <v>1138</v>
      </c>
      <c r="F27" s="16" t="s">
        <v>12</v>
      </c>
      <c r="G27" s="26" t="s">
        <v>1108</v>
      </c>
      <c r="H27" s="92">
        <v>112.5</v>
      </c>
      <c r="I27" s="93"/>
      <c r="J27" s="94">
        <v>28</v>
      </c>
      <c r="K27" s="93"/>
      <c r="L27" s="95">
        <v>3150</v>
      </c>
      <c r="M27" s="97" t="s">
        <v>1140</v>
      </c>
      <c r="N27" s="93" t="s">
        <v>845</v>
      </c>
    </row>
    <row r="28" spans="1:14" ht="12.75">
      <c r="A28" s="91" t="s">
        <v>933</v>
      </c>
      <c r="B28" s="26" t="s">
        <v>1109</v>
      </c>
      <c r="C28" s="26" t="s">
        <v>1110</v>
      </c>
      <c r="D28" s="26" t="s">
        <v>835</v>
      </c>
      <c r="E28" s="98" t="s">
        <v>1141</v>
      </c>
      <c r="F28" s="26" t="s">
        <v>12</v>
      </c>
      <c r="G28" s="26" t="s">
        <v>1101</v>
      </c>
      <c r="H28" s="92">
        <v>120</v>
      </c>
      <c r="I28" s="93"/>
      <c r="J28" s="94">
        <v>22</v>
      </c>
      <c r="K28" s="93"/>
      <c r="L28" s="95">
        <v>2640</v>
      </c>
      <c r="M28" s="97" t="s">
        <v>1142</v>
      </c>
      <c r="N28" s="93" t="s">
        <v>1051</v>
      </c>
    </row>
    <row r="29" spans="1:14" ht="12.75">
      <c r="A29" s="89">
        <v>3</v>
      </c>
      <c r="B29" s="26" t="s">
        <v>1111</v>
      </c>
      <c r="C29" s="30" t="s">
        <v>1112</v>
      </c>
      <c r="D29" s="30" t="s">
        <v>1113</v>
      </c>
      <c r="E29" s="98" t="s">
        <v>1143</v>
      </c>
      <c r="F29" s="30" t="s">
        <v>1095</v>
      </c>
      <c r="G29" s="26" t="s">
        <v>944</v>
      </c>
      <c r="H29" s="92">
        <v>112.5</v>
      </c>
      <c r="I29" s="93"/>
      <c r="J29" s="94">
        <v>19</v>
      </c>
      <c r="K29" s="93"/>
      <c r="L29" s="95">
        <v>2137.5</v>
      </c>
      <c r="M29" s="97" t="s">
        <v>1144</v>
      </c>
      <c r="N29" s="93" t="s">
        <v>1051</v>
      </c>
    </row>
    <row r="30" spans="1:14" ht="12.75">
      <c r="A30" s="91" t="s">
        <v>932</v>
      </c>
      <c r="B30" s="16" t="s">
        <v>564</v>
      </c>
      <c r="C30" s="26" t="s">
        <v>1114</v>
      </c>
      <c r="D30" s="16" t="s">
        <v>566</v>
      </c>
      <c r="E30" s="98" t="s">
        <v>1138</v>
      </c>
      <c r="F30" s="16" t="s">
        <v>12</v>
      </c>
      <c r="G30" s="26" t="s">
        <v>1108</v>
      </c>
      <c r="H30" s="92">
        <v>112.5</v>
      </c>
      <c r="I30" s="93"/>
      <c r="J30" s="94">
        <v>28</v>
      </c>
      <c r="K30" s="93"/>
      <c r="L30" s="95">
        <v>3150</v>
      </c>
      <c r="M30" s="97" t="s">
        <v>1139</v>
      </c>
      <c r="N30" s="93" t="s">
        <v>845</v>
      </c>
    </row>
    <row r="31" spans="1:14" ht="12.75">
      <c r="A31" s="91" t="s">
        <v>933</v>
      </c>
      <c r="B31" s="26" t="s">
        <v>1111</v>
      </c>
      <c r="C31" s="26" t="s">
        <v>1115</v>
      </c>
      <c r="D31" s="26" t="s">
        <v>1113</v>
      </c>
      <c r="E31" s="98" t="s">
        <v>1143</v>
      </c>
      <c r="F31" s="26" t="s">
        <v>1095</v>
      </c>
      <c r="G31" s="26" t="s">
        <v>944</v>
      </c>
      <c r="H31" s="92">
        <v>112.5</v>
      </c>
      <c r="I31" s="93"/>
      <c r="J31" s="94">
        <v>19</v>
      </c>
      <c r="K31" s="93"/>
      <c r="L31" s="95">
        <v>2137.5</v>
      </c>
      <c r="M31" s="97" t="s">
        <v>1145</v>
      </c>
      <c r="N31" s="93" t="s">
        <v>1051</v>
      </c>
    </row>
    <row r="33" spans="1:6" ht="18">
      <c r="A33" s="43"/>
      <c r="B33" s="19" t="s">
        <v>117</v>
      </c>
      <c r="C33" s="20"/>
      <c r="D33" s="1"/>
      <c r="E33" s="1"/>
      <c r="F33" s="5"/>
    </row>
    <row r="34" spans="1:6" ht="15.75">
      <c r="A34" s="43"/>
      <c r="B34" s="21"/>
      <c r="C34" s="22"/>
      <c r="D34" s="1"/>
      <c r="E34" s="1"/>
      <c r="F34" s="5"/>
    </row>
    <row r="35" spans="1:6" ht="15.75">
      <c r="A35" s="43"/>
      <c r="B35" s="21" t="s">
        <v>129</v>
      </c>
      <c r="C35" s="22"/>
      <c r="D35" s="1"/>
      <c r="E35" s="1"/>
      <c r="F35" s="5"/>
    </row>
    <row r="36" spans="1:6" ht="13.5">
      <c r="A36" s="43"/>
      <c r="B36" s="84" t="s">
        <v>126</v>
      </c>
      <c r="C36" s="23"/>
      <c r="D36" s="1"/>
      <c r="E36" s="1"/>
      <c r="F36" s="5"/>
    </row>
    <row r="37" spans="1:6" ht="13.5">
      <c r="A37" s="43"/>
      <c r="B37" s="24" t="s">
        <v>120</v>
      </c>
      <c r="C37" s="24" t="s">
        <v>121</v>
      </c>
      <c r="D37" s="24" t="s">
        <v>122</v>
      </c>
      <c r="E37" s="24" t="s">
        <v>1080</v>
      </c>
      <c r="F37" s="24" t="s">
        <v>1173</v>
      </c>
    </row>
    <row r="38" spans="1:6" ht="12.75">
      <c r="A38" s="43" t="s">
        <v>932</v>
      </c>
      <c r="B38" s="5" t="s">
        <v>508</v>
      </c>
      <c r="C38" s="1" t="s">
        <v>127</v>
      </c>
      <c r="D38" s="1" t="s">
        <v>161</v>
      </c>
      <c r="E38" s="101">
        <v>4867.5</v>
      </c>
      <c r="F38" s="99" t="s">
        <v>1119</v>
      </c>
    </row>
    <row r="39" spans="1:6" ht="12.75">
      <c r="A39" s="43" t="s">
        <v>933</v>
      </c>
      <c r="B39" s="5" t="s">
        <v>279</v>
      </c>
      <c r="C39" s="1" t="s">
        <v>127</v>
      </c>
      <c r="D39" s="1" t="s">
        <v>1083</v>
      </c>
      <c r="E39" s="101">
        <v>3960</v>
      </c>
      <c r="F39" s="99" t="s">
        <v>1125</v>
      </c>
    </row>
    <row r="40" spans="1:6" ht="12.75">
      <c r="A40" s="43" t="s">
        <v>934</v>
      </c>
      <c r="B40" s="5" t="s">
        <v>1099</v>
      </c>
      <c r="C40" s="1" t="s">
        <v>127</v>
      </c>
      <c r="D40" s="1" t="s">
        <v>1085</v>
      </c>
      <c r="E40" s="101">
        <v>3465</v>
      </c>
      <c r="F40" s="99" t="s">
        <v>1133</v>
      </c>
    </row>
    <row r="41" spans="1:6" ht="12.75">
      <c r="A41" s="43"/>
      <c r="B41" s="5" t="s">
        <v>1102</v>
      </c>
      <c r="C41" s="1" t="s">
        <v>127</v>
      </c>
      <c r="D41" s="1" t="s">
        <v>1085</v>
      </c>
      <c r="E41" s="102">
        <v>3075</v>
      </c>
      <c r="F41" s="99" t="s">
        <v>1135</v>
      </c>
    </row>
    <row r="42" spans="1:6" ht="12.75">
      <c r="A42" s="43"/>
      <c r="B42" s="5" t="s">
        <v>564</v>
      </c>
      <c r="C42" s="1" t="s">
        <v>127</v>
      </c>
      <c r="D42" s="1" t="s">
        <v>1084</v>
      </c>
      <c r="E42" s="102">
        <v>3150</v>
      </c>
      <c r="F42" s="99" t="s">
        <v>1140</v>
      </c>
    </row>
    <row r="43" spans="1:6" ht="12.75">
      <c r="A43" s="43"/>
      <c r="B43" s="5" t="s">
        <v>514</v>
      </c>
      <c r="C43" s="1" t="s">
        <v>127</v>
      </c>
      <c r="D43" s="1" t="s">
        <v>1083</v>
      </c>
      <c r="E43" s="102">
        <v>2610</v>
      </c>
      <c r="F43" s="99" t="s">
        <v>1127</v>
      </c>
    </row>
    <row r="44" spans="1:6" ht="12.75">
      <c r="A44" s="43"/>
      <c r="B44" s="5" t="s">
        <v>1096</v>
      </c>
      <c r="C44" s="1" t="s">
        <v>127</v>
      </c>
      <c r="D44" s="1" t="s">
        <v>1086</v>
      </c>
      <c r="E44" s="102">
        <v>2590</v>
      </c>
      <c r="F44" s="99" t="s">
        <v>1131</v>
      </c>
    </row>
    <row r="45" spans="2:6" ht="12.75">
      <c r="B45" s="5" t="s">
        <v>1109</v>
      </c>
      <c r="C45" s="1" t="s">
        <v>127</v>
      </c>
      <c r="D45" s="100">
        <v>125</v>
      </c>
      <c r="E45" s="101">
        <v>2640</v>
      </c>
      <c r="F45" s="99" t="s">
        <v>1142</v>
      </c>
    </row>
    <row r="46" spans="2:6" ht="12.75">
      <c r="B46" s="5" t="s">
        <v>73</v>
      </c>
      <c r="C46" s="1" t="s">
        <v>127</v>
      </c>
      <c r="D46" s="100">
        <v>90</v>
      </c>
      <c r="E46" s="101">
        <v>2340</v>
      </c>
      <c r="F46" s="99" t="s">
        <v>1129</v>
      </c>
    </row>
    <row r="47" spans="2:6" ht="12.75">
      <c r="B47" s="5" t="s">
        <v>530</v>
      </c>
      <c r="C47" s="1" t="s">
        <v>127</v>
      </c>
      <c r="D47" s="100">
        <v>110</v>
      </c>
      <c r="E47" s="103">
        <v>2530</v>
      </c>
      <c r="F47" s="99" t="s">
        <v>1137</v>
      </c>
    </row>
    <row r="48" spans="2:6" ht="12.75">
      <c r="B48" s="5" t="s">
        <v>1111</v>
      </c>
      <c r="C48" s="1" t="s">
        <v>127</v>
      </c>
      <c r="D48" s="100">
        <v>125</v>
      </c>
      <c r="E48" s="103">
        <v>2137.5</v>
      </c>
      <c r="F48" s="99" t="s">
        <v>1144</v>
      </c>
    </row>
  </sheetData>
  <sheetProtection/>
  <mergeCells count="22">
    <mergeCell ref="B5:U5"/>
    <mergeCell ref="L3:L4"/>
    <mergeCell ref="M3:M4"/>
    <mergeCell ref="F3:F4"/>
    <mergeCell ref="G3:G4"/>
    <mergeCell ref="H3:K3"/>
    <mergeCell ref="B26:U26"/>
    <mergeCell ref="B8:U8"/>
    <mergeCell ref="B11:U11"/>
    <mergeCell ref="B12:U12"/>
    <mergeCell ref="B18:U18"/>
    <mergeCell ref="B7:U7"/>
    <mergeCell ref="B21:U21"/>
    <mergeCell ref="B20:U20"/>
    <mergeCell ref="B1:N2"/>
    <mergeCell ref="B3:B4"/>
    <mergeCell ref="C3:C4"/>
    <mergeCell ref="D3:D4"/>
    <mergeCell ref="E3:E4"/>
    <mergeCell ref="N3:N4"/>
    <mergeCell ref="H4:I4"/>
    <mergeCell ref="J4:K4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G6" sqref="G6"/>
    </sheetView>
  </sheetViews>
  <sheetFormatPr defaultColWidth="8.75390625" defaultRowHeight="12.75"/>
  <cols>
    <col min="1" max="1" width="5.125" style="49" customWidth="1"/>
    <col min="2" max="2" width="24.625" style="25" customWidth="1"/>
    <col min="3" max="3" width="26.875" style="25" bestFit="1" customWidth="1"/>
    <col min="4" max="4" width="19.00390625" style="25" bestFit="1" customWidth="1"/>
    <col min="5" max="5" width="9.75390625" style="25" customWidth="1"/>
    <col min="6" max="6" width="22.75390625" style="25" bestFit="1" customWidth="1"/>
    <col min="7" max="7" width="27.875" style="25" bestFit="1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10.00390625" style="25" customWidth="1"/>
    <col min="14" max="14" width="21.625" style="25" customWidth="1"/>
  </cols>
  <sheetData>
    <row r="1" spans="1:14" s="1" customFormat="1" ht="15" customHeight="1">
      <c r="A1" s="43"/>
      <c r="B1" s="157" t="s">
        <v>1010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1088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176</v>
      </c>
      <c r="C6" s="26" t="s">
        <v>177</v>
      </c>
      <c r="D6" s="26" t="s">
        <v>178</v>
      </c>
      <c r="E6" s="26" t="str">
        <f>"1,3362"</f>
        <v>1,3362</v>
      </c>
      <c r="F6" s="26" t="s">
        <v>12</v>
      </c>
      <c r="G6" s="26" t="s">
        <v>1007</v>
      </c>
      <c r="H6" s="26" t="s">
        <v>33</v>
      </c>
      <c r="I6" s="50" t="s">
        <v>203</v>
      </c>
      <c r="J6" s="50" t="s">
        <v>203</v>
      </c>
      <c r="K6" s="27"/>
      <c r="L6" s="66">
        <v>135</v>
      </c>
      <c r="M6" s="26" t="str">
        <f>"180,3870"</f>
        <v>180,3870</v>
      </c>
      <c r="N6" s="26" t="s">
        <v>72</v>
      </c>
    </row>
    <row r="8" spans="2:13" ht="15.75">
      <c r="B8" s="156" t="s">
        <v>206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>
      <c r="A9" s="49">
        <v>1</v>
      </c>
      <c r="B9" s="26" t="s">
        <v>930</v>
      </c>
      <c r="C9" s="26" t="s">
        <v>931</v>
      </c>
      <c r="D9" s="26" t="s">
        <v>300</v>
      </c>
      <c r="E9" s="26" t="str">
        <f>"0,9214"</f>
        <v>0,9214</v>
      </c>
      <c r="F9" s="26" t="s">
        <v>970</v>
      </c>
      <c r="G9" s="26" t="s">
        <v>244</v>
      </c>
      <c r="H9" s="26" t="s">
        <v>67</v>
      </c>
      <c r="I9" s="50" t="s">
        <v>194</v>
      </c>
      <c r="J9" s="26" t="s">
        <v>194</v>
      </c>
      <c r="K9" s="27"/>
      <c r="L9" s="66">
        <v>210</v>
      </c>
      <c r="M9" s="26" t="str">
        <f>"193,4940"</f>
        <v>193,4940</v>
      </c>
      <c r="N9" s="26" t="s">
        <v>990</v>
      </c>
    </row>
  </sheetData>
  <sheetProtection/>
  <mergeCells count="13"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B18" sqref="B18"/>
    </sheetView>
  </sheetViews>
  <sheetFormatPr defaultColWidth="8.75390625" defaultRowHeight="12.75"/>
  <cols>
    <col min="1" max="1" width="4.875" style="49" customWidth="1"/>
    <col min="2" max="2" width="31.875" style="25" bestFit="1" customWidth="1"/>
    <col min="3" max="3" width="27.75390625" style="25" customWidth="1"/>
    <col min="4" max="4" width="12.00390625" style="25" customWidth="1"/>
    <col min="5" max="5" width="10.125" style="25" customWidth="1"/>
    <col min="6" max="6" width="22.75390625" style="25" bestFit="1" customWidth="1"/>
    <col min="7" max="7" width="29.125" style="25" bestFit="1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9.375" style="25" customWidth="1"/>
    <col min="14" max="14" width="17.00390625" style="25" customWidth="1"/>
  </cols>
  <sheetData>
    <row r="1" spans="1:14" s="1" customFormat="1" ht="15" customHeight="1">
      <c r="A1" s="43"/>
      <c r="B1" s="157" t="s">
        <v>1011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156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267</v>
      </c>
      <c r="C6" s="26" t="s">
        <v>268</v>
      </c>
      <c r="D6" s="26" t="s">
        <v>269</v>
      </c>
      <c r="E6" s="26" t="str">
        <f>"1,2766"</f>
        <v>1,2766</v>
      </c>
      <c r="F6" s="26" t="s">
        <v>946</v>
      </c>
      <c r="G6" s="26" t="s">
        <v>1007</v>
      </c>
      <c r="H6" s="26" t="s">
        <v>112</v>
      </c>
      <c r="I6" s="26" t="s">
        <v>270</v>
      </c>
      <c r="J6" s="26" t="s">
        <v>212</v>
      </c>
      <c r="K6" s="27"/>
      <c r="L6" s="66">
        <v>215</v>
      </c>
      <c r="M6" s="26" t="str">
        <f>"274,4690"</f>
        <v>274,4690</v>
      </c>
      <c r="N6" s="26" t="s">
        <v>72</v>
      </c>
    </row>
    <row r="8" spans="2:13" ht="15.75">
      <c r="B8" s="156" t="s">
        <v>206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>
      <c r="A9" s="49">
        <v>1</v>
      </c>
      <c r="B9" s="26" t="s">
        <v>304</v>
      </c>
      <c r="C9" s="26" t="s">
        <v>305</v>
      </c>
      <c r="D9" s="26" t="s">
        <v>306</v>
      </c>
      <c r="E9" s="26" t="str">
        <f>"0,9328"</f>
        <v>0,9328</v>
      </c>
      <c r="F9" s="26" t="s">
        <v>12</v>
      </c>
      <c r="G9" s="26" t="s">
        <v>198</v>
      </c>
      <c r="H9" s="26" t="s">
        <v>78</v>
      </c>
      <c r="I9" s="26" t="s">
        <v>282</v>
      </c>
      <c r="J9" s="26" t="s">
        <v>102</v>
      </c>
      <c r="K9" s="27"/>
      <c r="L9" s="66">
        <v>275</v>
      </c>
      <c r="M9" s="26" t="str">
        <f>"256,5200"</f>
        <v>256,5200</v>
      </c>
      <c r="N9" s="26" t="s">
        <v>307</v>
      </c>
    </row>
  </sheetData>
  <sheetProtection/>
  <mergeCells count="13">
    <mergeCell ref="B5:M5"/>
    <mergeCell ref="B8:M8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18" sqref="B18"/>
    </sheetView>
  </sheetViews>
  <sheetFormatPr defaultColWidth="8.75390625" defaultRowHeight="12.75"/>
  <cols>
    <col min="1" max="1" width="5.625" style="49" customWidth="1"/>
    <col min="2" max="2" width="31.875" style="25" bestFit="1" customWidth="1"/>
    <col min="3" max="3" width="26.00390625" style="25" bestFit="1" customWidth="1"/>
    <col min="4" max="4" width="16.125" style="25" bestFit="1" customWidth="1"/>
    <col min="5" max="5" width="9.875" style="25" customWidth="1"/>
    <col min="6" max="6" width="22.75390625" style="25" bestFit="1" customWidth="1"/>
    <col min="7" max="7" width="28.75390625" style="25" customWidth="1"/>
    <col min="8" max="11" width="5.25390625" style="25" customWidth="1"/>
    <col min="12" max="12" width="8.75390625" style="40" customWidth="1"/>
    <col min="13" max="13" width="9.625" style="25" customWidth="1"/>
    <col min="14" max="14" width="17.25390625" style="25" customWidth="1"/>
  </cols>
  <sheetData>
    <row r="1" spans="1:14" s="1" customFormat="1" ht="15" customHeight="1">
      <c r="A1" s="43"/>
      <c r="B1" s="157" t="s">
        <v>1009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156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162</v>
      </c>
      <c r="C6" s="26" t="s">
        <v>163</v>
      </c>
      <c r="D6" s="26" t="s">
        <v>164</v>
      </c>
      <c r="E6" s="26" t="str">
        <f>"1,6454"</f>
        <v>1,6454</v>
      </c>
      <c r="F6" s="26" t="s">
        <v>12</v>
      </c>
      <c r="G6" s="26" t="s">
        <v>1007</v>
      </c>
      <c r="H6" s="26" t="s">
        <v>165</v>
      </c>
      <c r="I6" s="27"/>
      <c r="J6" s="27"/>
      <c r="K6" s="27"/>
      <c r="L6" s="66">
        <v>125</v>
      </c>
      <c r="M6" s="26" t="str">
        <f>"205,6750"</f>
        <v>205,6750</v>
      </c>
      <c r="N6" s="26" t="s">
        <v>966</v>
      </c>
    </row>
    <row r="7" spans="1:14" ht="12.75">
      <c r="A7" s="49">
        <v>1</v>
      </c>
      <c r="B7" s="32" t="s">
        <v>162</v>
      </c>
      <c r="C7" s="32" t="s">
        <v>169</v>
      </c>
      <c r="D7" s="32" t="s">
        <v>164</v>
      </c>
      <c r="E7" s="32" t="str">
        <f>"1,6454"</f>
        <v>1,6454</v>
      </c>
      <c r="F7" s="32" t="s">
        <v>12</v>
      </c>
      <c r="G7" s="26" t="s">
        <v>1007</v>
      </c>
      <c r="H7" s="32" t="s">
        <v>165</v>
      </c>
      <c r="I7" s="33"/>
      <c r="J7" s="33"/>
      <c r="K7" s="33"/>
      <c r="L7" s="67">
        <v>125</v>
      </c>
      <c r="M7" s="32" t="str">
        <f>"205,6750"</f>
        <v>205,6750</v>
      </c>
      <c r="N7" s="26" t="s">
        <v>966</v>
      </c>
    </row>
  </sheetData>
  <sheetProtection/>
  <mergeCells count="12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18" sqref="B18"/>
    </sheetView>
  </sheetViews>
  <sheetFormatPr defaultColWidth="8.75390625" defaultRowHeight="12.75"/>
  <cols>
    <col min="1" max="1" width="5.125" style="49" customWidth="1"/>
    <col min="2" max="2" width="31.875" style="25" bestFit="1" customWidth="1"/>
    <col min="3" max="3" width="27.25390625" style="25" customWidth="1"/>
    <col min="4" max="4" width="11.875" style="25" customWidth="1"/>
    <col min="5" max="5" width="9.875" style="25" customWidth="1"/>
    <col min="6" max="6" width="22.75390625" style="25" bestFit="1" customWidth="1"/>
    <col min="7" max="7" width="28.875" style="25" bestFit="1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9.625" style="25" customWidth="1"/>
    <col min="14" max="14" width="15.375" style="25" bestFit="1" customWidth="1"/>
  </cols>
  <sheetData>
    <row r="1" spans="1:14" s="1" customFormat="1" ht="15" customHeight="1">
      <c r="A1" s="43"/>
      <c r="B1" s="157" t="s">
        <v>1006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62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8" t="s">
        <v>63</v>
      </c>
      <c r="C6" s="28" t="s">
        <v>64</v>
      </c>
      <c r="D6" s="28" t="s">
        <v>65</v>
      </c>
      <c r="E6" s="28" t="str">
        <f>"0,9924"</f>
        <v>0,9924</v>
      </c>
      <c r="F6" s="28" t="s">
        <v>12</v>
      </c>
      <c r="G6" s="28" t="s">
        <v>66</v>
      </c>
      <c r="H6" s="28" t="s">
        <v>67</v>
      </c>
      <c r="I6" s="53" t="s">
        <v>68</v>
      </c>
      <c r="J6" s="29"/>
      <c r="K6" s="29"/>
      <c r="L6" s="65">
        <v>180</v>
      </c>
      <c r="M6" s="28" t="str">
        <f>"178,6320"</f>
        <v>178,6320</v>
      </c>
      <c r="N6" s="28" t="s">
        <v>72</v>
      </c>
    </row>
    <row r="7" spans="1:14" ht="12.75">
      <c r="A7" s="49">
        <v>1</v>
      </c>
      <c r="B7" s="26" t="s">
        <v>927</v>
      </c>
      <c r="C7" s="26" t="s">
        <v>928</v>
      </c>
      <c r="D7" s="26" t="s">
        <v>929</v>
      </c>
      <c r="E7" s="26" t="str">
        <f>"0,9822"</f>
        <v>0,9822</v>
      </c>
      <c r="F7" s="26" t="s">
        <v>12</v>
      </c>
      <c r="G7" s="26" t="s">
        <v>1007</v>
      </c>
      <c r="H7" s="26" t="s">
        <v>67</v>
      </c>
      <c r="I7" s="50" t="s">
        <v>59</v>
      </c>
      <c r="J7" s="26" t="s">
        <v>59</v>
      </c>
      <c r="K7" s="27"/>
      <c r="L7" s="66">
        <v>200</v>
      </c>
      <c r="M7" s="26" t="str">
        <f>"196,4400"</f>
        <v>196,4400</v>
      </c>
      <c r="N7" s="26" t="s">
        <v>1008</v>
      </c>
    </row>
  </sheetData>
  <sheetProtection/>
  <mergeCells count="12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F13" sqref="F13"/>
    </sheetView>
  </sheetViews>
  <sheetFormatPr defaultColWidth="8.75390625" defaultRowHeight="12.75"/>
  <cols>
    <col min="1" max="1" width="3.875" style="0" customWidth="1"/>
    <col min="2" max="2" width="20.75390625" style="0" customWidth="1"/>
    <col min="3" max="3" width="27.00390625" style="0" customWidth="1"/>
    <col min="4" max="5" width="10.625" style="0" customWidth="1"/>
    <col min="6" max="6" width="24.875" style="0" customWidth="1"/>
    <col min="7" max="7" width="32.125" style="0" customWidth="1"/>
    <col min="8" max="9" width="8.75390625" style="0" customWidth="1"/>
    <col min="10" max="10" width="9.00390625" style="0" customWidth="1"/>
    <col min="11" max="11" width="8.125" style="0" customWidth="1"/>
    <col min="12" max="16" width="8.75390625" style="0" customWidth="1"/>
    <col min="17" max="17" width="10.00390625" style="0" customWidth="1"/>
    <col min="18" max="18" width="23.25390625" style="0" customWidth="1"/>
  </cols>
  <sheetData>
    <row r="1" spans="1:18" ht="12.75">
      <c r="A1" s="43"/>
      <c r="B1" s="157" t="s">
        <v>1174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ht="60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1:18" ht="13.5">
      <c r="A3" s="2"/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1176</v>
      </c>
      <c r="I3" s="151"/>
      <c r="J3" s="151"/>
      <c r="K3" s="151"/>
      <c r="L3" s="151" t="s">
        <v>1175</v>
      </c>
      <c r="M3" s="151"/>
      <c r="N3" s="166"/>
      <c r="O3" s="167"/>
      <c r="P3" s="151" t="s">
        <v>4</v>
      </c>
      <c r="Q3" s="151" t="s">
        <v>935</v>
      </c>
      <c r="R3" s="153" t="s">
        <v>5</v>
      </c>
    </row>
    <row r="4" spans="1:18" ht="15" thickBot="1">
      <c r="A4" s="2"/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152"/>
      <c r="Q4" s="152"/>
      <c r="R4" s="154"/>
    </row>
    <row r="5" spans="1:18" ht="15.75">
      <c r="A5" s="49"/>
      <c r="B5" s="155" t="s">
        <v>1177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25"/>
    </row>
    <row r="6" spans="1:18" ht="12.75">
      <c r="A6" s="49">
        <v>1</v>
      </c>
      <c r="B6" s="26" t="s">
        <v>475</v>
      </c>
      <c r="C6" s="26" t="s">
        <v>476</v>
      </c>
      <c r="D6" s="26" t="s">
        <v>477</v>
      </c>
      <c r="E6" s="98" t="s">
        <v>1193</v>
      </c>
      <c r="F6" s="26" t="s">
        <v>12</v>
      </c>
      <c r="G6" s="26" t="s">
        <v>1007</v>
      </c>
      <c r="H6" s="26" t="s">
        <v>16</v>
      </c>
      <c r="I6" s="26" t="s">
        <v>610</v>
      </c>
      <c r="J6" s="50" t="s">
        <v>252</v>
      </c>
      <c r="K6" s="27"/>
      <c r="L6" s="26" t="s">
        <v>147</v>
      </c>
      <c r="M6" s="26" t="s">
        <v>615</v>
      </c>
      <c r="N6" s="26" t="s">
        <v>16</v>
      </c>
      <c r="O6" s="27"/>
      <c r="P6" s="55" t="s">
        <v>482</v>
      </c>
      <c r="Q6" s="105" t="s">
        <v>1190</v>
      </c>
      <c r="R6" s="26" t="s">
        <v>478</v>
      </c>
    </row>
    <row r="7" spans="1:18" ht="12.75">
      <c r="A7" s="49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40"/>
      <c r="Q7" s="25"/>
      <c r="R7" s="25"/>
    </row>
    <row r="8" spans="1:18" ht="15.75">
      <c r="A8" s="49"/>
      <c r="B8" s="156" t="s">
        <v>1091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25"/>
    </row>
    <row r="9" spans="1:18" ht="12.75">
      <c r="A9" s="49">
        <v>1</v>
      </c>
      <c r="B9" s="26" t="s">
        <v>1178</v>
      </c>
      <c r="C9" s="26" t="s">
        <v>1179</v>
      </c>
      <c r="D9" s="26" t="s">
        <v>1180</v>
      </c>
      <c r="E9" s="98" t="s">
        <v>1191</v>
      </c>
      <c r="F9" s="26" t="s">
        <v>12</v>
      </c>
      <c r="G9" s="26" t="s">
        <v>1181</v>
      </c>
      <c r="H9" s="26" t="s">
        <v>28</v>
      </c>
      <c r="I9" s="50" t="s">
        <v>159</v>
      </c>
      <c r="J9" s="50" t="s">
        <v>159</v>
      </c>
      <c r="K9" s="27"/>
      <c r="L9" s="26" t="s">
        <v>28</v>
      </c>
      <c r="M9" s="26" t="s">
        <v>29</v>
      </c>
      <c r="N9" s="50" t="s">
        <v>159</v>
      </c>
      <c r="O9" s="27"/>
      <c r="P9" s="55" t="s">
        <v>165</v>
      </c>
      <c r="Q9" s="105" t="s">
        <v>1192</v>
      </c>
      <c r="R9" s="26" t="s">
        <v>1051</v>
      </c>
    </row>
    <row r="10" spans="1:18" ht="12.75">
      <c r="A10" s="4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0"/>
      <c r="Q10" s="25"/>
      <c r="R10" s="25"/>
    </row>
    <row r="11" spans="1:18" ht="15.75">
      <c r="A11" s="49"/>
      <c r="B11" s="156" t="s">
        <v>62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25"/>
    </row>
    <row r="12" spans="1:18" ht="14.25" customHeight="1">
      <c r="A12" s="49">
        <v>1</v>
      </c>
      <c r="B12" s="28" t="s">
        <v>1182</v>
      </c>
      <c r="C12" s="28" t="s">
        <v>1183</v>
      </c>
      <c r="D12" s="28" t="s">
        <v>1184</v>
      </c>
      <c r="E12" s="98" t="s">
        <v>1194</v>
      </c>
      <c r="F12" s="26" t="s">
        <v>12</v>
      </c>
      <c r="G12" s="26" t="s">
        <v>1185</v>
      </c>
      <c r="H12" s="50" t="s">
        <v>15</v>
      </c>
      <c r="I12" s="26" t="s">
        <v>15</v>
      </c>
      <c r="J12" s="50" t="s">
        <v>15</v>
      </c>
      <c r="K12" s="27"/>
      <c r="L12" s="26" t="s">
        <v>29</v>
      </c>
      <c r="M12" s="50" t="s">
        <v>159</v>
      </c>
      <c r="N12" s="26" t="s">
        <v>159</v>
      </c>
      <c r="O12" s="50"/>
      <c r="P12" s="66">
        <v>170</v>
      </c>
      <c r="Q12" s="105" t="s">
        <v>1195</v>
      </c>
      <c r="R12" s="28" t="s">
        <v>72</v>
      </c>
    </row>
    <row r="13" spans="1:18" ht="12.75">
      <c r="A13" s="49">
        <v>1</v>
      </c>
      <c r="B13" s="26" t="s">
        <v>1186</v>
      </c>
      <c r="C13" s="26" t="s">
        <v>1187</v>
      </c>
      <c r="D13" s="26" t="s">
        <v>1188</v>
      </c>
      <c r="E13" s="107" t="s">
        <v>1196</v>
      </c>
      <c r="F13" s="119" t="s">
        <v>1338</v>
      </c>
      <c r="G13" s="32" t="s">
        <v>1189</v>
      </c>
      <c r="H13" s="32" t="s">
        <v>27</v>
      </c>
      <c r="I13" s="32" t="s">
        <v>13</v>
      </c>
      <c r="J13" s="52" t="s">
        <v>15</v>
      </c>
      <c r="K13" s="33"/>
      <c r="L13" s="32" t="s">
        <v>28</v>
      </c>
      <c r="M13" s="32" t="s">
        <v>159</v>
      </c>
      <c r="N13" s="52" t="s">
        <v>27</v>
      </c>
      <c r="O13" s="33"/>
      <c r="P13" s="108" t="s">
        <v>44</v>
      </c>
      <c r="Q13" s="109" t="s">
        <v>1197</v>
      </c>
      <c r="R13" s="26" t="s">
        <v>72</v>
      </c>
    </row>
    <row r="14" spans="1:18" ht="12.75">
      <c r="A14" s="49"/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8"/>
      <c r="O14" s="58"/>
      <c r="P14" s="59"/>
      <c r="Q14" s="57"/>
      <c r="R14" s="57"/>
    </row>
    <row r="22" ht="12.75">
      <c r="K22" s="104"/>
    </row>
  </sheetData>
  <sheetProtection/>
  <mergeCells count="15">
    <mergeCell ref="B5:Q5"/>
    <mergeCell ref="B8:Q8"/>
    <mergeCell ref="B11:Q11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rintOptions/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G15" sqref="G15"/>
    </sheetView>
  </sheetViews>
  <sheetFormatPr defaultColWidth="8.75390625" defaultRowHeight="12.75"/>
  <cols>
    <col min="1" max="1" width="5.00390625" style="49" customWidth="1"/>
    <col min="2" max="2" width="27.375" style="25" customWidth="1"/>
    <col min="3" max="3" width="28.625" style="25" customWidth="1"/>
    <col min="4" max="4" width="14.125" style="25" customWidth="1"/>
    <col min="5" max="5" width="9.375" style="25" customWidth="1"/>
    <col min="6" max="6" width="22.75390625" style="25" bestFit="1" customWidth="1"/>
    <col min="7" max="7" width="36.25390625" style="25" customWidth="1"/>
    <col min="8" max="15" width="5.25390625" style="25" customWidth="1"/>
    <col min="16" max="16" width="9.25390625" style="40" customWidth="1"/>
    <col min="17" max="17" width="9.875" style="25" customWidth="1"/>
    <col min="18" max="18" width="17.375" style="25" customWidth="1"/>
  </cols>
  <sheetData>
    <row r="1" spans="1:18" s="1" customFormat="1" ht="15" customHeight="1">
      <c r="A1" s="43"/>
      <c r="B1" s="157" t="s">
        <v>1002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2:18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3</v>
      </c>
      <c r="M3" s="151"/>
      <c r="N3" s="151"/>
      <c r="O3" s="151"/>
      <c r="P3" s="151" t="s">
        <v>4</v>
      </c>
      <c r="Q3" s="151" t="s">
        <v>935</v>
      </c>
      <c r="R3" s="153" t="s">
        <v>5</v>
      </c>
    </row>
    <row r="4" spans="2:18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152"/>
      <c r="Q4" s="152"/>
      <c r="R4" s="154"/>
    </row>
    <row r="5" spans="2:17" ht="15.75">
      <c r="B5" s="155" t="s">
        <v>8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>
      <c r="A6" s="49">
        <v>1</v>
      </c>
      <c r="B6" s="26" t="s">
        <v>916</v>
      </c>
      <c r="C6" s="26" t="s">
        <v>917</v>
      </c>
      <c r="D6" s="26" t="s">
        <v>918</v>
      </c>
      <c r="E6" s="26" t="str">
        <f>"1,8108"</f>
        <v>1,8108</v>
      </c>
      <c r="F6" s="26" t="s">
        <v>500</v>
      </c>
      <c r="G6" s="26" t="s">
        <v>1005</v>
      </c>
      <c r="H6" s="26" t="s">
        <v>147</v>
      </c>
      <c r="I6" s="26" t="s">
        <v>148</v>
      </c>
      <c r="J6" s="50" t="s">
        <v>16</v>
      </c>
      <c r="K6" s="27"/>
      <c r="L6" s="77" t="s">
        <v>13</v>
      </c>
      <c r="M6" s="77" t="s">
        <v>15</v>
      </c>
      <c r="N6" s="77" t="s">
        <v>154</v>
      </c>
      <c r="O6" s="27"/>
      <c r="P6" s="66">
        <v>160</v>
      </c>
      <c r="Q6" s="26" t="str">
        <f>"289,7280"</f>
        <v>289,7280</v>
      </c>
      <c r="R6" s="26" t="s">
        <v>501</v>
      </c>
    </row>
    <row r="7" spans="2:17" ht="15.75"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2:18" ht="15.75">
      <c r="B8" s="173" t="s">
        <v>156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26" t="s">
        <v>72</v>
      </c>
    </row>
    <row r="9" spans="1:18" ht="12.75">
      <c r="A9" s="49">
        <v>1</v>
      </c>
      <c r="B9" s="26" t="s">
        <v>179</v>
      </c>
      <c r="C9" s="26" t="s">
        <v>180</v>
      </c>
      <c r="D9" s="26" t="s">
        <v>269</v>
      </c>
      <c r="E9" s="26" t="str">
        <f>"1,2766"</f>
        <v>1,2766</v>
      </c>
      <c r="F9" s="26" t="s">
        <v>12</v>
      </c>
      <c r="G9" s="26" t="s">
        <v>182</v>
      </c>
      <c r="H9" s="50" t="s">
        <v>15</v>
      </c>
      <c r="I9" s="77" t="s">
        <v>15</v>
      </c>
      <c r="J9" s="77" t="s">
        <v>153</v>
      </c>
      <c r="K9" s="27"/>
      <c r="L9" s="77" t="s">
        <v>67</v>
      </c>
      <c r="M9" s="77" t="s">
        <v>112</v>
      </c>
      <c r="N9" s="50" t="s">
        <v>59</v>
      </c>
      <c r="O9" s="27"/>
      <c r="P9" s="66">
        <v>300</v>
      </c>
      <c r="Q9" s="26" t="str">
        <f>"382,9800"</f>
        <v>382,9800</v>
      </c>
      <c r="R9" s="26" t="s">
        <v>72</v>
      </c>
    </row>
  </sheetData>
  <sheetProtection/>
  <mergeCells count="15">
    <mergeCell ref="B1:R2"/>
    <mergeCell ref="B3:B4"/>
    <mergeCell ref="C3:C4"/>
    <mergeCell ref="D3:D4"/>
    <mergeCell ref="E3:E4"/>
    <mergeCell ref="F3:F4"/>
    <mergeCell ref="G3:G4"/>
    <mergeCell ref="H3:K3"/>
    <mergeCell ref="B7:Q7"/>
    <mergeCell ref="P3:P4"/>
    <mergeCell ref="Q3:Q4"/>
    <mergeCell ref="B8:Q8"/>
    <mergeCell ref="R3:R4"/>
    <mergeCell ref="L3:O3"/>
    <mergeCell ref="B5:Q5"/>
  </mergeCells>
  <printOptions/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B20" sqref="B20"/>
    </sheetView>
  </sheetViews>
  <sheetFormatPr defaultColWidth="8.75390625" defaultRowHeight="12.75"/>
  <cols>
    <col min="1" max="1" width="4.625" style="49" customWidth="1"/>
    <col min="2" max="2" width="25.375" style="25" customWidth="1"/>
    <col min="3" max="3" width="28.75390625" style="25" customWidth="1"/>
    <col min="4" max="4" width="11.625" style="25" customWidth="1"/>
    <col min="5" max="5" width="9.875" style="25" customWidth="1"/>
    <col min="6" max="6" width="22.75390625" style="25" bestFit="1" customWidth="1"/>
    <col min="7" max="7" width="28.875" style="25" bestFit="1" customWidth="1"/>
    <col min="8" max="15" width="5.25390625" style="25" customWidth="1"/>
    <col min="16" max="16" width="7.875" style="40" bestFit="1" customWidth="1"/>
    <col min="17" max="17" width="10.25390625" style="25" customWidth="1"/>
    <col min="18" max="18" width="15.875" style="25" bestFit="1" customWidth="1"/>
  </cols>
  <sheetData>
    <row r="1" spans="1:18" s="1" customFormat="1" ht="15" customHeight="1">
      <c r="A1" s="43"/>
      <c r="B1" s="157" t="s">
        <v>1003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</row>
    <row r="2" spans="1:18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</row>
    <row r="3" spans="2:18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3</v>
      </c>
      <c r="M3" s="151"/>
      <c r="N3" s="166"/>
      <c r="O3" s="167"/>
      <c r="P3" s="151" t="s">
        <v>4</v>
      </c>
      <c r="Q3" s="151" t="s">
        <v>935</v>
      </c>
      <c r="R3" s="153" t="s">
        <v>5</v>
      </c>
    </row>
    <row r="4" spans="2:18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152"/>
      <c r="Q4" s="152"/>
      <c r="R4" s="154"/>
    </row>
    <row r="5" spans="2:17" ht="15.75">
      <c r="B5" s="155" t="s">
        <v>206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8" ht="12.75">
      <c r="A6" s="49">
        <v>1</v>
      </c>
      <c r="B6" s="26" t="s">
        <v>919</v>
      </c>
      <c r="C6" s="26" t="s">
        <v>920</v>
      </c>
      <c r="D6" s="26" t="s">
        <v>921</v>
      </c>
      <c r="E6" s="26" t="str">
        <f>"0,9170"</f>
        <v>0,9170</v>
      </c>
      <c r="F6" s="26" t="s">
        <v>12</v>
      </c>
      <c r="G6" s="26" t="s">
        <v>922</v>
      </c>
      <c r="H6" s="50" t="s">
        <v>20</v>
      </c>
      <c r="I6" s="26" t="s">
        <v>20</v>
      </c>
      <c r="J6" s="26" t="s">
        <v>21</v>
      </c>
      <c r="K6" s="27"/>
      <c r="L6" s="77" t="s">
        <v>98</v>
      </c>
      <c r="M6" s="77" t="s">
        <v>99</v>
      </c>
      <c r="N6" s="77" t="s">
        <v>70</v>
      </c>
      <c r="O6" s="27"/>
      <c r="P6" s="55">
        <v>397.5</v>
      </c>
      <c r="Q6" s="26" t="str">
        <f>"364,5075"</f>
        <v>364,5075</v>
      </c>
      <c r="R6" s="26" t="s">
        <v>72</v>
      </c>
    </row>
    <row r="8" spans="2:17" ht="15.75">
      <c r="B8" s="156" t="s">
        <v>82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18" ht="12.75">
      <c r="A9" s="49">
        <v>1</v>
      </c>
      <c r="B9" s="26" t="s">
        <v>331</v>
      </c>
      <c r="C9" s="26" t="s">
        <v>332</v>
      </c>
      <c r="D9" s="26" t="s">
        <v>333</v>
      </c>
      <c r="E9" s="26" t="str">
        <f>"0,9090"</f>
        <v>0,9090</v>
      </c>
      <c r="F9" s="26" t="s">
        <v>12</v>
      </c>
      <c r="G9" s="26" t="s">
        <v>193</v>
      </c>
      <c r="H9" s="26" t="s">
        <v>42</v>
      </c>
      <c r="I9" s="26" t="s">
        <v>39</v>
      </c>
      <c r="J9" s="50" t="s">
        <v>43</v>
      </c>
      <c r="K9" s="27"/>
      <c r="L9" s="77" t="s">
        <v>297</v>
      </c>
      <c r="M9" s="77" t="s">
        <v>282</v>
      </c>
      <c r="N9" s="50" t="s">
        <v>220</v>
      </c>
      <c r="O9" s="27"/>
      <c r="P9" s="55">
        <v>417.5</v>
      </c>
      <c r="Q9" s="26" t="str">
        <f>"400,3804"</f>
        <v>400,3804</v>
      </c>
      <c r="R9" s="26" t="s">
        <v>334</v>
      </c>
    </row>
    <row r="11" spans="2:17" ht="15.75">
      <c r="B11" s="156" t="s">
        <v>222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</row>
    <row r="12" spans="1:18" ht="12.75">
      <c r="A12" s="49">
        <v>1</v>
      </c>
      <c r="B12" s="28" t="s">
        <v>833</v>
      </c>
      <c r="C12" s="28" t="s">
        <v>834</v>
      </c>
      <c r="D12" s="28" t="s">
        <v>835</v>
      </c>
      <c r="E12" s="28" t="str">
        <f>"0,8640"</f>
        <v>0,8640</v>
      </c>
      <c r="F12" s="28" t="s">
        <v>12</v>
      </c>
      <c r="G12" s="28" t="s">
        <v>182</v>
      </c>
      <c r="H12" s="28" t="s">
        <v>39</v>
      </c>
      <c r="I12" s="28" t="s">
        <v>923</v>
      </c>
      <c r="J12" s="28" t="s">
        <v>51</v>
      </c>
      <c r="K12" s="29"/>
      <c r="L12" s="78" t="s">
        <v>88</v>
      </c>
      <c r="M12" s="78" t="s">
        <v>96</v>
      </c>
      <c r="N12" s="78" t="s">
        <v>836</v>
      </c>
      <c r="O12" s="53" t="s">
        <v>1004</v>
      </c>
      <c r="P12" s="65">
        <v>495</v>
      </c>
      <c r="Q12" s="28" t="str">
        <f>"427,6800"</f>
        <v>427,6800</v>
      </c>
      <c r="R12" s="28" t="s">
        <v>72</v>
      </c>
    </row>
    <row r="13" spans="1:18" ht="12.75">
      <c r="A13" s="49">
        <v>2</v>
      </c>
      <c r="B13" s="26" t="s">
        <v>924</v>
      </c>
      <c r="C13" s="26" t="s">
        <v>925</v>
      </c>
      <c r="D13" s="26" t="s">
        <v>926</v>
      </c>
      <c r="E13" s="26" t="str">
        <f>"0,8730"</f>
        <v>0,8730</v>
      </c>
      <c r="F13" s="26" t="s">
        <v>12</v>
      </c>
      <c r="G13" s="26" t="s">
        <v>922</v>
      </c>
      <c r="H13" s="26" t="s">
        <v>311</v>
      </c>
      <c r="I13" s="26" t="s">
        <v>253</v>
      </c>
      <c r="J13" s="26" t="s">
        <v>110</v>
      </c>
      <c r="K13" s="27"/>
      <c r="L13" s="26" t="s">
        <v>194</v>
      </c>
      <c r="M13" s="77" t="s">
        <v>98</v>
      </c>
      <c r="N13" s="50" t="s">
        <v>69</v>
      </c>
      <c r="O13" s="27"/>
      <c r="P13" s="55">
        <v>397.5</v>
      </c>
      <c r="Q13" s="26" t="str">
        <f>"347,0175"</f>
        <v>347,0175</v>
      </c>
      <c r="R13" s="26" t="s">
        <v>72</v>
      </c>
    </row>
    <row r="14" spans="2:18" ht="12.75">
      <c r="B14" s="57"/>
      <c r="C14" s="57"/>
      <c r="D14" s="57"/>
      <c r="E14" s="57"/>
      <c r="F14" s="57"/>
      <c r="G14" s="57"/>
      <c r="H14" s="57"/>
      <c r="I14" s="57"/>
      <c r="J14" s="57"/>
      <c r="K14" s="58"/>
      <c r="L14" s="58"/>
      <c r="M14" s="58"/>
      <c r="N14" s="58"/>
      <c r="O14" s="58"/>
      <c r="P14" s="59"/>
      <c r="Q14" s="57"/>
      <c r="R14" s="57"/>
    </row>
    <row r="15" spans="2:18" ht="12.75">
      <c r="B15" s="57"/>
      <c r="C15" s="57"/>
      <c r="D15" s="57"/>
      <c r="E15" s="57"/>
      <c r="F15" s="57"/>
      <c r="G15" s="57"/>
      <c r="H15" s="57"/>
      <c r="I15" s="57"/>
      <c r="J15" s="57"/>
      <c r="K15" s="58"/>
      <c r="L15" s="58"/>
      <c r="M15" s="58"/>
      <c r="N15" s="58"/>
      <c r="O15" s="58"/>
      <c r="P15" s="59"/>
      <c r="Q15" s="57"/>
      <c r="R15" s="57"/>
    </row>
    <row r="17" spans="2:6" ht="12.75">
      <c r="B17" s="57"/>
      <c r="C17" s="57"/>
      <c r="D17" s="57"/>
      <c r="E17" s="57"/>
      <c r="F17" s="57"/>
    </row>
    <row r="18" spans="2:6" ht="12.75">
      <c r="B18" s="57"/>
      <c r="C18" s="57"/>
      <c r="D18" s="57"/>
      <c r="E18" s="57"/>
      <c r="F18" s="57"/>
    </row>
    <row r="20" spans="2:6" ht="12.75">
      <c r="B20" s="57"/>
      <c r="C20" s="57"/>
      <c r="D20" s="57"/>
      <c r="E20" s="57"/>
      <c r="F20" s="57"/>
    </row>
    <row r="21" spans="2:6" ht="12.75">
      <c r="B21" s="57"/>
      <c r="C21" s="57"/>
      <c r="D21" s="57"/>
      <c r="E21" s="57"/>
      <c r="F21" s="57"/>
    </row>
    <row r="24" spans="2:6" ht="12.75">
      <c r="B24" s="57"/>
      <c r="C24" s="57"/>
      <c r="D24" s="57"/>
      <c r="E24" s="57"/>
      <c r="F24" s="57"/>
    </row>
    <row r="25" spans="2:6" ht="12.75">
      <c r="B25" s="57"/>
      <c r="C25" s="57"/>
      <c r="D25" s="57"/>
      <c r="E25" s="57"/>
      <c r="F25" s="57"/>
    </row>
    <row r="27" spans="2:6" ht="12.75">
      <c r="B27" s="57"/>
      <c r="C27" s="57"/>
      <c r="D27" s="57"/>
      <c r="E27" s="57"/>
      <c r="F27" s="57"/>
    </row>
    <row r="28" spans="2:6" ht="12.75">
      <c r="B28" s="57"/>
      <c r="C28" s="57"/>
      <c r="D28" s="57"/>
      <c r="E28" s="57"/>
      <c r="F28" s="57"/>
    </row>
    <row r="31" spans="2:6" ht="12.75">
      <c r="B31" s="57"/>
      <c r="C31" s="57"/>
      <c r="D31" s="57"/>
      <c r="E31" s="57"/>
      <c r="F31" s="57"/>
    </row>
    <row r="32" spans="2:6" ht="12.75">
      <c r="B32" s="57"/>
      <c r="C32" s="57"/>
      <c r="D32" s="57"/>
      <c r="E32" s="57"/>
      <c r="F32" s="57"/>
    </row>
    <row r="35" spans="2:6" ht="12.75">
      <c r="B35" s="57"/>
      <c r="C35" s="57"/>
      <c r="D35" s="57"/>
      <c r="E35" s="57"/>
      <c r="F35" s="57"/>
    </row>
    <row r="36" spans="2:6" ht="12.75">
      <c r="B36" s="57"/>
      <c r="C36" s="57"/>
      <c r="D36" s="57"/>
      <c r="E36" s="57"/>
      <c r="F36" s="57"/>
    </row>
  </sheetData>
  <sheetProtection/>
  <mergeCells count="15">
    <mergeCell ref="B8:Q8"/>
    <mergeCell ref="B11:Q11"/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  <mergeCell ref="B5:Q5"/>
  </mergeCells>
  <printOptions/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0"/>
  <sheetViews>
    <sheetView workbookViewId="0" topLeftCell="A1">
      <selection activeCell="B8" sqref="B8:U8"/>
    </sheetView>
  </sheetViews>
  <sheetFormatPr defaultColWidth="8.75390625" defaultRowHeight="12.75"/>
  <cols>
    <col min="1" max="1" width="5.125" style="49" customWidth="1"/>
    <col min="2" max="2" width="22.00390625" style="25" customWidth="1"/>
    <col min="3" max="3" width="27.625" style="25" customWidth="1"/>
    <col min="4" max="4" width="11.75390625" style="25" customWidth="1"/>
    <col min="5" max="5" width="8.375" style="25" bestFit="1" customWidth="1"/>
    <col min="6" max="6" width="14.00390625" style="25" customWidth="1"/>
    <col min="7" max="7" width="33.625" style="25" bestFit="1" customWidth="1"/>
    <col min="8" max="10" width="5.625" style="25" bestFit="1" customWidth="1"/>
    <col min="11" max="11" width="4.625" style="25" bestFit="1" customWidth="1"/>
    <col min="12" max="14" width="5.625" style="25" bestFit="1" customWidth="1"/>
    <col min="15" max="15" width="4.625" style="25" bestFit="1" customWidth="1"/>
    <col min="16" max="18" width="5.625" style="25" bestFit="1" customWidth="1"/>
    <col min="19" max="19" width="4.625" style="25" bestFit="1" customWidth="1"/>
    <col min="20" max="20" width="7.875" style="40" bestFit="1" customWidth="1"/>
    <col min="21" max="21" width="10.125" style="25" customWidth="1"/>
    <col min="22" max="22" width="18.75390625" style="25" customWidth="1"/>
  </cols>
  <sheetData>
    <row r="1" spans="1:22" s="1" customFormat="1" ht="15" customHeight="1">
      <c r="A1" s="43"/>
      <c r="B1" s="157" t="s">
        <v>1001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935</v>
      </c>
      <c r="V3" s="153" t="s">
        <v>5</v>
      </c>
    </row>
    <row r="4" spans="2:22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3">
        <v>1</v>
      </c>
      <c r="Q4" s="3">
        <v>2</v>
      </c>
      <c r="R4" s="3">
        <v>3</v>
      </c>
      <c r="S4" s="3" t="s">
        <v>7</v>
      </c>
      <c r="T4" s="152"/>
      <c r="U4" s="152"/>
      <c r="V4" s="154"/>
    </row>
    <row r="5" spans="2:21" ht="15.75">
      <c r="B5" s="155" t="s">
        <v>54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49">
        <v>1</v>
      </c>
      <c r="B6" s="26" t="s">
        <v>999</v>
      </c>
      <c r="C6" s="26" t="s">
        <v>469</v>
      </c>
      <c r="D6" s="26" t="s">
        <v>470</v>
      </c>
      <c r="E6" s="26" t="str">
        <f>"1,0708"</f>
        <v>1,0708</v>
      </c>
      <c r="F6" s="26" t="s">
        <v>468</v>
      </c>
      <c r="G6" s="26" t="s">
        <v>439</v>
      </c>
      <c r="H6" s="26" t="s">
        <v>471</v>
      </c>
      <c r="I6" s="26" t="s">
        <v>231</v>
      </c>
      <c r="J6" s="26" t="s">
        <v>212</v>
      </c>
      <c r="K6" s="27"/>
      <c r="L6" s="26" t="s">
        <v>32</v>
      </c>
      <c r="M6" s="26" t="s">
        <v>33</v>
      </c>
      <c r="N6" s="50" t="s">
        <v>472</v>
      </c>
      <c r="O6" s="27"/>
      <c r="P6" s="26" t="s">
        <v>471</v>
      </c>
      <c r="Q6" s="50" t="s">
        <v>194</v>
      </c>
      <c r="R6" s="50" t="s">
        <v>194</v>
      </c>
      <c r="S6" s="27"/>
      <c r="T6" s="55">
        <v>537.5</v>
      </c>
      <c r="U6" s="26" t="str">
        <f>"575,5550"</f>
        <v>575,5550</v>
      </c>
      <c r="V6" s="26" t="s">
        <v>998</v>
      </c>
    </row>
    <row r="8" spans="2:21" ht="15.75">
      <c r="B8" s="156" t="s">
        <v>62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2:22" ht="12.75">
      <c r="B9" s="26" t="s">
        <v>473</v>
      </c>
      <c r="C9" s="26" t="s">
        <v>474</v>
      </c>
      <c r="D9" s="26" t="s">
        <v>295</v>
      </c>
      <c r="E9" s="26" t="str">
        <f>"0,9798"</f>
        <v>0,9798</v>
      </c>
      <c r="F9" s="26" t="s">
        <v>12</v>
      </c>
      <c r="G9" s="26" t="s">
        <v>988</v>
      </c>
      <c r="H9" s="50" t="s">
        <v>70</v>
      </c>
      <c r="I9" s="50" t="s">
        <v>70</v>
      </c>
      <c r="J9" s="50" t="s">
        <v>70</v>
      </c>
      <c r="K9" s="50"/>
      <c r="L9" s="50" t="s">
        <v>43</v>
      </c>
      <c r="M9" s="50"/>
      <c r="N9" s="50"/>
      <c r="O9" s="50"/>
      <c r="P9" s="50" t="s">
        <v>59</v>
      </c>
      <c r="Q9" s="27"/>
      <c r="R9" s="27"/>
      <c r="S9" s="27"/>
      <c r="T9" s="68">
        <v>0</v>
      </c>
      <c r="U9" s="26" t="str">
        <f>"0,0000"</f>
        <v>0,0000</v>
      </c>
      <c r="V9" s="26" t="s">
        <v>1000</v>
      </c>
    </row>
    <row r="10" ht="12.75">
      <c r="W10" t="s">
        <v>116</v>
      </c>
    </row>
  </sheetData>
  <sheetProtection/>
  <mergeCells count="15"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B8:U8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4">
      <selection activeCell="G30" sqref="G30"/>
    </sheetView>
  </sheetViews>
  <sheetFormatPr defaultColWidth="8.75390625" defaultRowHeight="12.75"/>
  <cols>
    <col min="1" max="1" width="5.625" style="49" customWidth="1"/>
    <col min="2" max="2" width="26.00390625" style="25" customWidth="1"/>
    <col min="3" max="3" width="26.375" style="25" customWidth="1"/>
    <col min="4" max="4" width="12.625" style="25" customWidth="1"/>
    <col min="5" max="5" width="9.625" style="25" customWidth="1"/>
    <col min="6" max="6" width="13.75390625" style="25" customWidth="1"/>
    <col min="7" max="7" width="33.375" style="25" customWidth="1"/>
    <col min="8" max="10" width="5.625" style="25" bestFit="1" customWidth="1"/>
    <col min="11" max="11" width="4.625" style="25" bestFit="1" customWidth="1"/>
    <col min="12" max="14" width="5.625" style="25" bestFit="1" customWidth="1"/>
    <col min="15" max="15" width="4.625" style="25" bestFit="1" customWidth="1"/>
    <col min="16" max="18" width="5.625" style="25" bestFit="1" customWidth="1"/>
    <col min="19" max="19" width="4.625" style="25" bestFit="1" customWidth="1"/>
    <col min="20" max="20" width="7.875" style="40" bestFit="1" customWidth="1"/>
    <col min="21" max="21" width="9.25390625" style="25" customWidth="1"/>
    <col min="22" max="22" width="15.75390625" style="25" bestFit="1" customWidth="1"/>
  </cols>
  <sheetData>
    <row r="1" spans="1:22" s="1" customFormat="1" ht="15" customHeight="1">
      <c r="A1" s="43"/>
      <c r="B1" s="157" t="s">
        <v>995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935</v>
      </c>
      <c r="V3" s="153" t="s">
        <v>5</v>
      </c>
    </row>
    <row r="4" spans="2:22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3">
        <v>1</v>
      </c>
      <c r="Q4" s="3">
        <v>2</v>
      </c>
      <c r="R4" s="3">
        <v>3</v>
      </c>
      <c r="S4" s="3" t="s">
        <v>7</v>
      </c>
      <c r="T4" s="152"/>
      <c r="U4" s="152"/>
      <c r="V4" s="154"/>
    </row>
    <row r="5" spans="2:21" ht="15.75">
      <c r="B5" s="155" t="s">
        <v>54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49">
        <v>1</v>
      </c>
      <c r="B6" s="28" t="s">
        <v>428</v>
      </c>
      <c r="C6" s="28" t="s">
        <v>429</v>
      </c>
      <c r="D6" s="28" t="s">
        <v>430</v>
      </c>
      <c r="E6" s="28" t="str">
        <f>"1,0464"</f>
        <v>1,0464</v>
      </c>
      <c r="F6" s="28" t="s">
        <v>12</v>
      </c>
      <c r="G6" s="28" t="s">
        <v>431</v>
      </c>
      <c r="H6" s="28" t="s">
        <v>87</v>
      </c>
      <c r="I6" s="53" t="s">
        <v>353</v>
      </c>
      <c r="J6" s="53" t="s">
        <v>96</v>
      </c>
      <c r="K6" s="29"/>
      <c r="L6" s="28" t="s">
        <v>173</v>
      </c>
      <c r="M6" s="28" t="s">
        <v>59</v>
      </c>
      <c r="N6" s="29"/>
      <c r="O6" s="29"/>
      <c r="P6" s="28" t="s">
        <v>78</v>
      </c>
      <c r="Q6" s="53" t="s">
        <v>102</v>
      </c>
      <c r="R6" s="29"/>
      <c r="S6" s="29"/>
      <c r="T6" s="65">
        <v>740</v>
      </c>
      <c r="U6" s="28" t="str">
        <f>"774,3360"</f>
        <v>774,3360</v>
      </c>
      <c r="V6" s="28" t="s">
        <v>72</v>
      </c>
    </row>
    <row r="7" spans="1:22" ht="12.75">
      <c r="A7" s="49">
        <v>1</v>
      </c>
      <c r="B7" s="26" t="s">
        <v>996</v>
      </c>
      <c r="C7" s="26" t="s">
        <v>432</v>
      </c>
      <c r="D7" s="26" t="s">
        <v>430</v>
      </c>
      <c r="E7" s="26" t="str">
        <f>"1,0464"</f>
        <v>1,0464</v>
      </c>
      <c r="F7" s="26" t="s">
        <v>12</v>
      </c>
      <c r="G7" s="26" t="s">
        <v>431</v>
      </c>
      <c r="H7" s="26" t="s">
        <v>87</v>
      </c>
      <c r="I7" s="50" t="s">
        <v>353</v>
      </c>
      <c r="J7" s="50" t="s">
        <v>96</v>
      </c>
      <c r="K7" s="27"/>
      <c r="L7" s="26" t="s">
        <v>173</v>
      </c>
      <c r="M7" s="26" t="s">
        <v>59</v>
      </c>
      <c r="N7" s="27"/>
      <c r="O7" s="27"/>
      <c r="P7" s="26" t="s">
        <v>78</v>
      </c>
      <c r="Q7" s="50" t="s">
        <v>102</v>
      </c>
      <c r="R7" s="27"/>
      <c r="S7" s="27"/>
      <c r="T7" s="66">
        <v>740</v>
      </c>
      <c r="U7" s="26" t="str">
        <f>"789,8227"</f>
        <v>789,8227</v>
      </c>
      <c r="V7" s="26" t="s">
        <v>72</v>
      </c>
    </row>
    <row r="9" spans="2:21" ht="15.75">
      <c r="B9" s="156" t="s">
        <v>206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</row>
    <row r="10" spans="1:22" ht="12.75">
      <c r="A10" s="49">
        <v>1</v>
      </c>
      <c r="B10" s="26" t="s">
        <v>433</v>
      </c>
      <c r="C10" s="26" t="s">
        <v>434</v>
      </c>
      <c r="D10" s="26" t="s">
        <v>435</v>
      </c>
      <c r="E10" s="26" t="str">
        <f>"0,9234"</f>
        <v>0,9234</v>
      </c>
      <c r="F10" s="26" t="s">
        <v>12</v>
      </c>
      <c r="G10" s="26" t="s">
        <v>58</v>
      </c>
      <c r="H10" s="26" t="s">
        <v>218</v>
      </c>
      <c r="I10" s="26" t="s">
        <v>228</v>
      </c>
      <c r="J10" s="26" t="s">
        <v>221</v>
      </c>
      <c r="K10" s="27"/>
      <c r="L10" s="26" t="s">
        <v>112</v>
      </c>
      <c r="M10" s="26" t="s">
        <v>194</v>
      </c>
      <c r="N10" s="26" t="s">
        <v>98</v>
      </c>
      <c r="O10" s="27"/>
      <c r="P10" s="26" t="s">
        <v>70</v>
      </c>
      <c r="Q10" s="26" t="s">
        <v>86</v>
      </c>
      <c r="R10" s="26" t="s">
        <v>220</v>
      </c>
      <c r="S10" s="27"/>
      <c r="T10" s="66">
        <v>795</v>
      </c>
      <c r="U10" s="26" t="str">
        <f>"734,1030"</f>
        <v>734,1030</v>
      </c>
      <c r="V10" s="26" t="s">
        <v>72</v>
      </c>
    </row>
    <row r="12" spans="2:21" ht="15.75">
      <c r="B12" s="156" t="s">
        <v>82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</row>
    <row r="13" spans="1:22" ht="12.75">
      <c r="A13" s="49">
        <v>1</v>
      </c>
      <c r="B13" s="26" t="s">
        <v>436</v>
      </c>
      <c r="C13" s="26" t="s">
        <v>437</v>
      </c>
      <c r="D13" s="26" t="s">
        <v>438</v>
      </c>
      <c r="E13" s="26" t="str">
        <f>"0,8902"</f>
        <v>0,8902</v>
      </c>
      <c r="F13" s="26" t="s">
        <v>12</v>
      </c>
      <c r="G13" s="26" t="s">
        <v>439</v>
      </c>
      <c r="H13" s="50" t="s">
        <v>102</v>
      </c>
      <c r="I13" s="50" t="s">
        <v>102</v>
      </c>
      <c r="J13" s="26" t="s">
        <v>108</v>
      </c>
      <c r="K13" s="27"/>
      <c r="L13" s="26" t="s">
        <v>112</v>
      </c>
      <c r="M13" s="26" t="s">
        <v>231</v>
      </c>
      <c r="N13" s="50" t="s">
        <v>317</v>
      </c>
      <c r="O13" s="27"/>
      <c r="P13" s="26" t="s">
        <v>440</v>
      </c>
      <c r="Q13" s="50" t="s">
        <v>220</v>
      </c>
      <c r="R13" s="26" t="s">
        <v>220</v>
      </c>
      <c r="S13" s="27"/>
      <c r="T13" s="66">
        <v>770</v>
      </c>
      <c r="U13" s="26" t="str">
        <f>"685,4540"</f>
        <v>685,4540</v>
      </c>
      <c r="V13" s="26" t="s">
        <v>998</v>
      </c>
    </row>
    <row r="15" spans="2:21" ht="15.75">
      <c r="B15" s="156" t="s">
        <v>222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</row>
    <row r="16" spans="1:22" ht="12.75">
      <c r="A16" s="49">
        <v>1</v>
      </c>
      <c r="B16" s="28" t="s">
        <v>997</v>
      </c>
      <c r="C16" s="28" t="s">
        <v>442</v>
      </c>
      <c r="D16" s="28" t="s">
        <v>443</v>
      </c>
      <c r="E16" s="28" t="str">
        <f>"0,8784"</f>
        <v>0,8784</v>
      </c>
      <c r="F16" s="28" t="s">
        <v>12</v>
      </c>
      <c r="G16" s="28" t="s">
        <v>444</v>
      </c>
      <c r="H16" s="53" t="s">
        <v>90</v>
      </c>
      <c r="I16" s="53" t="s">
        <v>445</v>
      </c>
      <c r="J16" s="28" t="s">
        <v>445</v>
      </c>
      <c r="K16" s="29"/>
      <c r="L16" s="28" t="s">
        <v>79</v>
      </c>
      <c r="M16" s="28" t="s">
        <v>86</v>
      </c>
      <c r="N16" s="28" t="s">
        <v>220</v>
      </c>
      <c r="O16" s="29"/>
      <c r="P16" s="28" t="s">
        <v>88</v>
      </c>
      <c r="Q16" s="28" t="s">
        <v>89</v>
      </c>
      <c r="R16" s="53" t="s">
        <v>339</v>
      </c>
      <c r="S16" s="29"/>
      <c r="T16" s="65">
        <v>940</v>
      </c>
      <c r="U16" s="28" t="str">
        <f>"825,6960"</f>
        <v>825,6960</v>
      </c>
      <c r="V16" s="28" t="s">
        <v>72</v>
      </c>
    </row>
    <row r="17" spans="2:22" ht="12.75">
      <c r="B17" s="26" t="s">
        <v>446</v>
      </c>
      <c r="C17" s="26" t="s">
        <v>447</v>
      </c>
      <c r="D17" s="26" t="s">
        <v>448</v>
      </c>
      <c r="E17" s="26" t="str">
        <f>"0,8624"</f>
        <v>0,8624</v>
      </c>
      <c r="F17" s="26" t="s">
        <v>449</v>
      </c>
      <c r="G17" s="26" t="s">
        <v>450</v>
      </c>
      <c r="H17" s="50" t="s">
        <v>451</v>
      </c>
      <c r="I17" s="50" t="s">
        <v>451</v>
      </c>
      <c r="J17" s="50" t="s">
        <v>451</v>
      </c>
      <c r="K17" s="27"/>
      <c r="L17" s="50" t="s">
        <v>60</v>
      </c>
      <c r="M17" s="27"/>
      <c r="N17" s="27"/>
      <c r="O17" s="27"/>
      <c r="P17" s="50" t="s">
        <v>60</v>
      </c>
      <c r="Q17" s="27"/>
      <c r="R17" s="27"/>
      <c r="S17" s="27"/>
      <c r="T17" s="68">
        <v>0</v>
      </c>
      <c r="U17" s="26" t="str">
        <f>"0,0000"</f>
        <v>0,0000</v>
      </c>
      <c r="V17" s="26" t="s">
        <v>452</v>
      </c>
    </row>
    <row r="19" spans="2:21" ht="15.75">
      <c r="B19" s="156" t="s">
        <v>348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</row>
    <row r="20" spans="1:22" ht="12.75">
      <c r="A20" s="49">
        <v>1</v>
      </c>
      <c r="B20" s="26" t="s">
        <v>453</v>
      </c>
      <c r="C20" s="26" t="s">
        <v>454</v>
      </c>
      <c r="D20" s="26" t="s">
        <v>455</v>
      </c>
      <c r="E20" s="26" t="str">
        <f>"0,8560"</f>
        <v>0,8560</v>
      </c>
      <c r="F20" s="26" t="s">
        <v>12</v>
      </c>
      <c r="G20" s="26" t="s">
        <v>456</v>
      </c>
      <c r="H20" s="26" t="s">
        <v>451</v>
      </c>
      <c r="I20" s="50" t="s">
        <v>457</v>
      </c>
      <c r="J20" s="26" t="s">
        <v>458</v>
      </c>
      <c r="K20" s="27"/>
      <c r="L20" s="26" t="s">
        <v>218</v>
      </c>
      <c r="M20" s="26" t="s">
        <v>102</v>
      </c>
      <c r="N20" s="50" t="s">
        <v>220</v>
      </c>
      <c r="O20" s="27"/>
      <c r="P20" s="26" t="s">
        <v>344</v>
      </c>
      <c r="Q20" s="26" t="s">
        <v>459</v>
      </c>
      <c r="R20" s="26" t="s">
        <v>458</v>
      </c>
      <c r="S20" s="27"/>
      <c r="T20" s="66">
        <v>1035</v>
      </c>
      <c r="U20" s="26" t="str">
        <f>"885,9600"</f>
        <v>885,9600</v>
      </c>
      <c r="V20" s="26" t="s">
        <v>460</v>
      </c>
    </row>
    <row r="23" spans="2:3" ht="18">
      <c r="B23" s="34" t="s">
        <v>117</v>
      </c>
      <c r="C23" s="34"/>
    </row>
    <row r="24" spans="2:3" ht="15.75">
      <c r="B24" s="85"/>
      <c r="C24" s="35"/>
    </row>
    <row r="25" spans="2:3" ht="15.75">
      <c r="B25" s="85" t="s">
        <v>129</v>
      </c>
      <c r="C25" s="35"/>
    </row>
    <row r="26" spans="2:3" ht="13.5">
      <c r="B26" s="37" t="s">
        <v>126</v>
      </c>
      <c r="C26" s="38"/>
    </row>
    <row r="27" spans="2:6" ht="13.5">
      <c r="B27" s="39" t="s">
        <v>120</v>
      </c>
      <c r="C27" s="39" t="s">
        <v>121</v>
      </c>
      <c r="D27" s="39" t="s">
        <v>122</v>
      </c>
      <c r="E27" s="39" t="s">
        <v>123</v>
      </c>
      <c r="F27" s="39" t="s">
        <v>935</v>
      </c>
    </row>
    <row r="28" spans="1:6" ht="12.75">
      <c r="A28" s="49">
        <v>1</v>
      </c>
      <c r="B28" s="135" t="s">
        <v>453</v>
      </c>
      <c r="C28" s="83" t="s">
        <v>127</v>
      </c>
      <c r="D28" s="83" t="s">
        <v>383</v>
      </c>
      <c r="E28" s="83" t="s">
        <v>461</v>
      </c>
      <c r="F28" s="48" t="s">
        <v>462</v>
      </c>
    </row>
    <row r="29" spans="1:6" ht="12.75">
      <c r="A29" s="49">
        <v>2</v>
      </c>
      <c r="B29" s="135" t="s">
        <v>441</v>
      </c>
      <c r="C29" s="83" t="s">
        <v>127</v>
      </c>
      <c r="D29" s="83" t="s">
        <v>233</v>
      </c>
      <c r="E29" s="83" t="s">
        <v>463</v>
      </c>
      <c r="F29" s="48" t="s">
        <v>464</v>
      </c>
    </row>
    <row r="30" spans="1:6" ht="12.75">
      <c r="A30" s="49">
        <v>3</v>
      </c>
      <c r="B30" s="135" t="s">
        <v>428</v>
      </c>
      <c r="C30" s="83" t="s">
        <v>127</v>
      </c>
      <c r="D30" s="83" t="s">
        <v>397</v>
      </c>
      <c r="E30" s="83" t="s">
        <v>236</v>
      </c>
      <c r="F30" s="48" t="s">
        <v>465</v>
      </c>
    </row>
    <row r="31" spans="2:6" ht="12.75">
      <c r="B31" s="135" t="s">
        <v>433</v>
      </c>
      <c r="C31" s="83" t="s">
        <v>127</v>
      </c>
      <c r="D31" s="83" t="s">
        <v>240</v>
      </c>
      <c r="E31" s="83" t="s">
        <v>466</v>
      </c>
      <c r="F31" s="48" t="s">
        <v>467</v>
      </c>
    </row>
    <row r="32" spans="2:6" ht="12.75">
      <c r="B32" s="83"/>
      <c r="C32" s="83"/>
      <c r="D32" s="83"/>
      <c r="E32" s="83"/>
      <c r="F32" s="83"/>
    </row>
  </sheetData>
  <sheetProtection/>
  <mergeCells count="18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B15:U15"/>
    <mergeCell ref="B19:U19"/>
    <mergeCell ref="T3:T4"/>
    <mergeCell ref="U3:U4"/>
    <mergeCell ref="V3:V4"/>
    <mergeCell ref="B5:U5"/>
    <mergeCell ref="B9:U9"/>
    <mergeCell ref="B12:U12"/>
  </mergeCells>
  <printOptions/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4">
      <selection activeCell="W2" sqref="W2"/>
    </sheetView>
  </sheetViews>
  <sheetFormatPr defaultColWidth="8.75390625" defaultRowHeight="12.75"/>
  <cols>
    <col min="1" max="1" width="5.75390625" style="49" customWidth="1"/>
    <col min="2" max="2" width="26.25390625" style="25" customWidth="1"/>
    <col min="3" max="3" width="27.75390625" style="25" customWidth="1"/>
    <col min="4" max="4" width="11.375" style="25" customWidth="1"/>
    <col min="5" max="5" width="9.25390625" style="25" customWidth="1"/>
    <col min="6" max="6" width="17.75390625" style="25" customWidth="1"/>
    <col min="7" max="7" width="32.00390625" style="25" customWidth="1"/>
    <col min="8" max="10" width="5.625" style="25" bestFit="1" customWidth="1"/>
    <col min="11" max="11" width="4.625" style="25" bestFit="1" customWidth="1"/>
    <col min="12" max="14" width="5.625" style="25" bestFit="1" customWidth="1"/>
    <col min="15" max="15" width="4.625" style="25" bestFit="1" customWidth="1"/>
    <col min="16" max="18" width="5.625" style="25" bestFit="1" customWidth="1"/>
    <col min="19" max="19" width="4.625" style="25" bestFit="1" customWidth="1"/>
    <col min="20" max="20" width="7.875" style="40" bestFit="1" customWidth="1"/>
    <col min="21" max="21" width="8.625" style="25" bestFit="1" customWidth="1"/>
    <col min="22" max="22" width="17.875" style="25" customWidth="1"/>
  </cols>
  <sheetData>
    <row r="1" spans="1:22" s="1" customFormat="1" ht="15" customHeight="1">
      <c r="A1" s="43"/>
      <c r="B1" s="157" t="s">
        <v>982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935</v>
      </c>
      <c r="V3" s="153" t="s">
        <v>5</v>
      </c>
    </row>
    <row r="4" spans="2:22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3">
        <v>1</v>
      </c>
      <c r="Q4" s="3">
        <v>2</v>
      </c>
      <c r="R4" s="3">
        <v>3</v>
      </c>
      <c r="S4" s="3" t="s">
        <v>7</v>
      </c>
      <c r="T4" s="152"/>
      <c r="U4" s="152"/>
      <c r="V4" s="154"/>
    </row>
    <row r="5" spans="2:21" ht="15.75">
      <c r="B5" s="155" t="s">
        <v>142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49">
        <v>1</v>
      </c>
      <c r="B6" s="26" t="s">
        <v>983</v>
      </c>
      <c r="C6" s="26" t="s">
        <v>242</v>
      </c>
      <c r="D6" s="26" t="s">
        <v>243</v>
      </c>
      <c r="E6" s="26" t="str">
        <f>"2,3150"</f>
        <v>2,3150</v>
      </c>
      <c r="F6" s="26" t="s">
        <v>970</v>
      </c>
      <c r="G6" s="26" t="s">
        <v>244</v>
      </c>
      <c r="H6" s="50" t="s">
        <v>17</v>
      </c>
      <c r="I6" s="26" t="s">
        <v>252</v>
      </c>
      <c r="J6" s="50" t="s">
        <v>29</v>
      </c>
      <c r="K6" s="27"/>
      <c r="L6" s="26" t="s">
        <v>398</v>
      </c>
      <c r="M6" s="50" t="s">
        <v>147</v>
      </c>
      <c r="N6" s="26" t="s">
        <v>399</v>
      </c>
      <c r="O6" s="27"/>
      <c r="P6" s="26" t="s">
        <v>245</v>
      </c>
      <c r="Q6" s="26" t="s">
        <v>160</v>
      </c>
      <c r="R6" s="50" t="s">
        <v>27</v>
      </c>
      <c r="S6" s="27"/>
      <c r="T6" s="55">
        <v>182.5</v>
      </c>
      <c r="U6" s="26" t="str">
        <f>"422,4875"</f>
        <v>422,4875</v>
      </c>
      <c r="V6" s="26" t="s">
        <v>1489</v>
      </c>
    </row>
    <row r="8" spans="2:21" ht="15.75">
      <c r="B8" s="156" t="s">
        <v>400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1:22" ht="12.75">
      <c r="A9" s="49">
        <v>1</v>
      </c>
      <c r="B9" s="26" t="s">
        <v>984</v>
      </c>
      <c r="C9" s="26" t="s">
        <v>401</v>
      </c>
      <c r="D9" s="26" t="s">
        <v>402</v>
      </c>
      <c r="E9" s="26" t="str">
        <f>"2,1216"</f>
        <v>2,1216</v>
      </c>
      <c r="F9" s="26" t="s">
        <v>12</v>
      </c>
      <c r="G9" s="26" t="s">
        <v>403</v>
      </c>
      <c r="H9" s="26" t="s">
        <v>153</v>
      </c>
      <c r="I9" s="26" t="s">
        <v>404</v>
      </c>
      <c r="J9" s="26" t="s">
        <v>31</v>
      </c>
      <c r="K9" s="27"/>
      <c r="L9" s="26" t="s">
        <v>17</v>
      </c>
      <c r="M9" s="50" t="s">
        <v>252</v>
      </c>
      <c r="N9" s="50" t="s">
        <v>252</v>
      </c>
      <c r="O9" s="27"/>
      <c r="P9" s="26" t="s">
        <v>15</v>
      </c>
      <c r="Q9" s="50" t="s">
        <v>404</v>
      </c>
      <c r="R9" s="50" t="s">
        <v>404</v>
      </c>
      <c r="S9" s="27"/>
      <c r="T9" s="66">
        <v>275</v>
      </c>
      <c r="U9" s="26" t="str">
        <f>"583,4400"</f>
        <v>583,4400</v>
      </c>
      <c r="V9" s="26" t="s">
        <v>405</v>
      </c>
    </row>
    <row r="11" spans="2:21" ht="15.75">
      <c r="B11" s="156" t="s">
        <v>35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2" ht="12.75">
      <c r="A12" s="49">
        <v>1</v>
      </c>
      <c r="B12" s="26" t="s">
        <v>985</v>
      </c>
      <c r="C12" s="26" t="s">
        <v>406</v>
      </c>
      <c r="D12" s="26" t="s">
        <v>407</v>
      </c>
      <c r="E12" s="26" t="str">
        <f>"1,1550"</f>
        <v>1,1550</v>
      </c>
      <c r="F12" s="26" t="s">
        <v>12</v>
      </c>
      <c r="G12" s="26" t="s">
        <v>408</v>
      </c>
      <c r="H12" s="26" t="s">
        <v>77</v>
      </c>
      <c r="I12" s="26" t="s">
        <v>67</v>
      </c>
      <c r="J12" s="50" t="s">
        <v>68</v>
      </c>
      <c r="K12" s="27"/>
      <c r="L12" s="26" t="s">
        <v>33</v>
      </c>
      <c r="M12" s="26" t="s">
        <v>42</v>
      </c>
      <c r="N12" s="26" t="s">
        <v>19</v>
      </c>
      <c r="O12" s="27"/>
      <c r="P12" s="50" t="s">
        <v>59</v>
      </c>
      <c r="Q12" s="50" t="s">
        <v>59</v>
      </c>
      <c r="R12" s="26" t="s">
        <v>59</v>
      </c>
      <c r="S12" s="27"/>
      <c r="T12" s="66">
        <v>525</v>
      </c>
      <c r="U12" s="26" t="str">
        <f>"606,3750"</f>
        <v>606,3750</v>
      </c>
      <c r="V12" s="26" t="s">
        <v>989</v>
      </c>
    </row>
    <row r="14" spans="2:21" ht="15.75">
      <c r="B14" s="156" t="s">
        <v>54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2:22" ht="12.75">
      <c r="B15" s="28" t="s">
        <v>409</v>
      </c>
      <c r="C15" s="28" t="s">
        <v>410</v>
      </c>
      <c r="D15" s="28" t="s">
        <v>411</v>
      </c>
      <c r="E15" s="28" t="str">
        <f>"1,0756"</f>
        <v>1,0756</v>
      </c>
      <c r="F15" s="28" t="s">
        <v>12</v>
      </c>
      <c r="G15" s="28" t="s">
        <v>412</v>
      </c>
      <c r="H15" s="53" t="s">
        <v>99</v>
      </c>
      <c r="I15" s="53" t="s">
        <v>99</v>
      </c>
      <c r="J15" s="53" t="s">
        <v>99</v>
      </c>
      <c r="K15" s="29"/>
      <c r="L15" s="53" t="s">
        <v>149</v>
      </c>
      <c r="M15" s="29"/>
      <c r="N15" s="29"/>
      <c r="O15" s="29"/>
      <c r="P15" s="53" t="s">
        <v>59</v>
      </c>
      <c r="Q15" s="29"/>
      <c r="R15" s="29"/>
      <c r="S15" s="29"/>
      <c r="T15" s="72">
        <v>0</v>
      </c>
      <c r="U15" s="28" t="str">
        <f>"0,0000"</f>
        <v>0,0000</v>
      </c>
      <c r="V15" s="28" t="s">
        <v>991</v>
      </c>
    </row>
    <row r="16" spans="2:22" ht="12.75">
      <c r="B16" s="26" t="s">
        <v>190</v>
      </c>
      <c r="C16" s="26" t="s">
        <v>413</v>
      </c>
      <c r="D16" s="26" t="s">
        <v>192</v>
      </c>
      <c r="E16" s="26" t="str">
        <f>"1,0372"</f>
        <v>1,0372</v>
      </c>
      <c r="F16" s="26" t="s">
        <v>12</v>
      </c>
      <c r="G16" s="26" t="s">
        <v>988</v>
      </c>
      <c r="H16" s="50" t="s">
        <v>194</v>
      </c>
      <c r="I16" s="50" t="s">
        <v>194</v>
      </c>
      <c r="J16" s="50" t="s">
        <v>98</v>
      </c>
      <c r="K16" s="27"/>
      <c r="L16" s="50" t="s">
        <v>39</v>
      </c>
      <c r="M16" s="27"/>
      <c r="N16" s="27"/>
      <c r="O16" s="27"/>
      <c r="P16" s="50" t="s">
        <v>59</v>
      </c>
      <c r="Q16" s="27"/>
      <c r="R16" s="27"/>
      <c r="S16" s="27"/>
      <c r="T16" s="68">
        <v>0</v>
      </c>
      <c r="U16" s="26" t="str">
        <f>"0,0000"</f>
        <v>0,0000</v>
      </c>
      <c r="V16" s="26" t="s">
        <v>72</v>
      </c>
    </row>
    <row r="18" spans="2:21" ht="15.75">
      <c r="B18" s="156" t="s">
        <v>206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</row>
    <row r="19" spans="1:22" ht="12.75">
      <c r="A19" s="49">
        <v>1</v>
      </c>
      <c r="B19" s="26" t="s">
        <v>993</v>
      </c>
      <c r="C19" s="26" t="s">
        <v>415</v>
      </c>
      <c r="D19" s="26" t="s">
        <v>306</v>
      </c>
      <c r="E19" s="26" t="str">
        <f>"0,9328"</f>
        <v>0,9328</v>
      </c>
      <c r="F19" s="26" t="s">
        <v>12</v>
      </c>
      <c r="G19" s="26" t="s">
        <v>416</v>
      </c>
      <c r="H19" s="50" t="s">
        <v>59</v>
      </c>
      <c r="I19" s="26" t="s">
        <v>59</v>
      </c>
      <c r="J19" s="50" t="s">
        <v>194</v>
      </c>
      <c r="K19" s="27"/>
      <c r="L19" s="26" t="s">
        <v>42</v>
      </c>
      <c r="M19" s="50" t="s">
        <v>19</v>
      </c>
      <c r="N19" s="26" t="s">
        <v>19</v>
      </c>
      <c r="O19" s="27"/>
      <c r="P19" s="26" t="s">
        <v>200</v>
      </c>
      <c r="Q19" s="26" t="s">
        <v>79</v>
      </c>
      <c r="R19" s="50" t="s">
        <v>102</v>
      </c>
      <c r="S19" s="27"/>
      <c r="T19" s="66">
        <v>605</v>
      </c>
      <c r="U19" s="26" t="str">
        <f>"564,3440"</f>
        <v>564,3440</v>
      </c>
      <c r="V19" s="26" t="s">
        <v>994</v>
      </c>
    </row>
    <row r="21" spans="2:21" ht="15.75">
      <c r="B21" s="156" t="s">
        <v>82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2" ht="12.75">
      <c r="A22" s="49">
        <v>1</v>
      </c>
      <c r="B22" s="26" t="s">
        <v>986</v>
      </c>
      <c r="C22" s="26" t="s">
        <v>418</v>
      </c>
      <c r="D22" s="26" t="s">
        <v>419</v>
      </c>
      <c r="E22" s="26" t="str">
        <f>"0,8918"</f>
        <v>0,8918</v>
      </c>
      <c r="F22" s="26" t="s">
        <v>12</v>
      </c>
      <c r="G22" s="26" t="s">
        <v>988</v>
      </c>
      <c r="H22" s="50" t="s">
        <v>98</v>
      </c>
      <c r="I22" s="26" t="s">
        <v>292</v>
      </c>
      <c r="J22" s="50" t="s">
        <v>216</v>
      </c>
      <c r="K22" s="27"/>
      <c r="L22" s="26" t="s">
        <v>165</v>
      </c>
      <c r="M22" s="26" t="s">
        <v>33</v>
      </c>
      <c r="N22" s="50" t="s">
        <v>19</v>
      </c>
      <c r="O22" s="27"/>
      <c r="P22" s="26" t="s">
        <v>199</v>
      </c>
      <c r="Q22" s="50" t="s">
        <v>98</v>
      </c>
      <c r="R22" s="26" t="s">
        <v>98</v>
      </c>
      <c r="S22" s="27"/>
      <c r="T22" s="66">
        <v>590</v>
      </c>
      <c r="U22" s="26" t="str">
        <f>"526,1620"</f>
        <v>526,1620</v>
      </c>
      <c r="V22" s="26" t="s">
        <v>72</v>
      </c>
    </row>
    <row r="24" spans="2:21" ht="15.75">
      <c r="B24" s="156" t="s">
        <v>222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2" ht="12.75">
      <c r="A25" s="49">
        <v>1</v>
      </c>
      <c r="B25" s="28" t="s">
        <v>987</v>
      </c>
      <c r="C25" s="28" t="s">
        <v>420</v>
      </c>
      <c r="D25" s="28" t="s">
        <v>421</v>
      </c>
      <c r="E25" s="28" t="str">
        <f>"0,8614"</f>
        <v>0,8614</v>
      </c>
      <c r="F25" s="28" t="s">
        <v>12</v>
      </c>
      <c r="G25" s="28" t="s">
        <v>988</v>
      </c>
      <c r="H25" s="28" t="s">
        <v>79</v>
      </c>
      <c r="I25" s="28" t="s">
        <v>86</v>
      </c>
      <c r="J25" s="28" t="s">
        <v>220</v>
      </c>
      <c r="K25" s="29"/>
      <c r="L25" s="28" t="s">
        <v>77</v>
      </c>
      <c r="M25" s="28" t="s">
        <v>67</v>
      </c>
      <c r="N25" s="53" t="s">
        <v>68</v>
      </c>
      <c r="O25" s="29"/>
      <c r="P25" s="28" t="s">
        <v>79</v>
      </c>
      <c r="Q25" s="53" t="s">
        <v>86</v>
      </c>
      <c r="R25" s="53" t="s">
        <v>86</v>
      </c>
      <c r="S25" s="29"/>
      <c r="T25" s="65">
        <v>720</v>
      </c>
      <c r="U25" s="28" t="str">
        <f>"620,2080"</f>
        <v>620,2080</v>
      </c>
      <c r="V25" s="28" t="s">
        <v>992</v>
      </c>
    </row>
    <row r="26" spans="1:22" ht="12.75">
      <c r="A26" s="49">
        <v>1</v>
      </c>
      <c r="B26" s="26" t="s">
        <v>974</v>
      </c>
      <c r="C26" s="26" t="s">
        <v>336</v>
      </c>
      <c r="D26" s="26" t="s">
        <v>337</v>
      </c>
      <c r="E26" s="26" t="str">
        <f>"0,8640"</f>
        <v>0,8640</v>
      </c>
      <c r="F26" s="26" t="s">
        <v>12</v>
      </c>
      <c r="G26" s="26" t="s">
        <v>338</v>
      </c>
      <c r="H26" s="26" t="s">
        <v>353</v>
      </c>
      <c r="I26" s="26" t="s">
        <v>89</v>
      </c>
      <c r="J26" s="26" t="s">
        <v>339</v>
      </c>
      <c r="K26" s="27"/>
      <c r="L26" s="26" t="s">
        <v>59</v>
      </c>
      <c r="M26" s="50" t="s">
        <v>194</v>
      </c>
      <c r="N26" s="26" t="s">
        <v>194</v>
      </c>
      <c r="O26" s="27"/>
      <c r="P26" s="26" t="s">
        <v>88</v>
      </c>
      <c r="Q26" s="26" t="s">
        <v>422</v>
      </c>
      <c r="R26" s="26" t="s">
        <v>90</v>
      </c>
      <c r="S26" s="27"/>
      <c r="T26" s="66">
        <v>875</v>
      </c>
      <c r="U26" s="26" t="str">
        <f>"756,0000"</f>
        <v>756,0000</v>
      </c>
      <c r="V26" s="26" t="s">
        <v>72</v>
      </c>
    </row>
    <row r="29" spans="2:3" ht="18">
      <c r="B29" s="34" t="s">
        <v>117</v>
      </c>
      <c r="C29" s="34"/>
    </row>
    <row r="31" spans="2:3" ht="15.75">
      <c r="B31" s="85" t="s">
        <v>129</v>
      </c>
      <c r="C31" s="35"/>
    </row>
    <row r="32" spans="2:3" ht="13.5">
      <c r="B32" s="37" t="s">
        <v>119</v>
      </c>
      <c r="C32" s="38"/>
    </row>
    <row r="33" spans="2:6" ht="13.5">
      <c r="B33" s="39" t="s">
        <v>120</v>
      </c>
      <c r="C33" s="39" t="s">
        <v>121</v>
      </c>
      <c r="D33" s="39" t="s">
        <v>122</v>
      </c>
      <c r="E33" s="39" t="s">
        <v>123</v>
      </c>
      <c r="F33" s="39" t="s">
        <v>935</v>
      </c>
    </row>
    <row r="34" spans="1:6" ht="12.75">
      <c r="A34" s="49">
        <v>1</v>
      </c>
      <c r="B34" s="135" t="s">
        <v>335</v>
      </c>
      <c r="C34" s="83" t="s">
        <v>124</v>
      </c>
      <c r="D34" s="83" t="s">
        <v>233</v>
      </c>
      <c r="E34" s="83" t="s">
        <v>363</v>
      </c>
      <c r="F34" s="48" t="s">
        <v>364</v>
      </c>
    </row>
    <row r="35" spans="1:6" ht="12.75">
      <c r="A35" s="49">
        <v>2</v>
      </c>
      <c r="B35" s="135" t="s">
        <v>414</v>
      </c>
      <c r="C35" s="83" t="s">
        <v>124</v>
      </c>
      <c r="D35" s="83" t="s">
        <v>240</v>
      </c>
      <c r="E35" s="83" t="s">
        <v>425</v>
      </c>
      <c r="F35" s="48" t="s">
        <v>426</v>
      </c>
    </row>
    <row r="36" spans="1:6" ht="12.75">
      <c r="A36" s="49">
        <v>3</v>
      </c>
      <c r="B36" s="135" t="s">
        <v>417</v>
      </c>
      <c r="C36" s="83" t="s">
        <v>124</v>
      </c>
      <c r="D36" s="83" t="s">
        <v>130</v>
      </c>
      <c r="E36" s="83" t="s">
        <v>138</v>
      </c>
      <c r="F36" s="48" t="s">
        <v>427</v>
      </c>
    </row>
    <row r="37" spans="2:6" ht="12.75">
      <c r="B37" s="83"/>
      <c r="C37" s="83"/>
      <c r="D37" s="83"/>
      <c r="E37" s="83"/>
      <c r="F37" s="48"/>
    </row>
  </sheetData>
  <sheetProtection/>
  <mergeCells count="20"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F3:F4"/>
    <mergeCell ref="B14:U14"/>
    <mergeCell ref="B18:U18"/>
    <mergeCell ref="B21:U21"/>
    <mergeCell ref="B24:U24"/>
    <mergeCell ref="T3:T4"/>
    <mergeCell ref="U3:U4"/>
    <mergeCell ref="G3:G4"/>
    <mergeCell ref="H3:K3"/>
    <mergeCell ref="L3:O3"/>
    <mergeCell ref="P3:S3"/>
  </mergeCells>
  <printOptions/>
  <pageMargins left="0.7" right="0.7" top="0.75" bottom="0.75" header="0.3" footer="0.3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87"/>
  <sheetViews>
    <sheetView workbookViewId="0" topLeftCell="A31">
      <selection activeCell="G6" sqref="G6"/>
    </sheetView>
  </sheetViews>
  <sheetFormatPr defaultColWidth="8.75390625" defaultRowHeight="12.75"/>
  <cols>
    <col min="1" max="1" width="6.00390625" style="49" customWidth="1"/>
    <col min="2" max="2" width="29.75390625" style="25" customWidth="1"/>
    <col min="3" max="3" width="28.75390625" style="25" customWidth="1"/>
    <col min="4" max="4" width="11.375" style="25" customWidth="1"/>
    <col min="5" max="5" width="8.875" style="25" customWidth="1"/>
    <col min="6" max="6" width="17.625" style="25" customWidth="1"/>
    <col min="7" max="7" width="36.125" style="25" customWidth="1"/>
    <col min="8" max="10" width="5.625" style="25" bestFit="1" customWidth="1"/>
    <col min="11" max="11" width="4.625" style="25" bestFit="1" customWidth="1"/>
    <col min="12" max="14" width="5.625" style="25" bestFit="1" customWidth="1"/>
    <col min="15" max="15" width="4.625" style="25" bestFit="1" customWidth="1"/>
    <col min="16" max="18" width="5.625" style="25" bestFit="1" customWidth="1"/>
    <col min="19" max="19" width="4.625" style="25" bestFit="1" customWidth="1"/>
    <col min="20" max="20" width="8.125" style="48" customWidth="1"/>
    <col min="21" max="21" width="9.125" style="25" customWidth="1"/>
    <col min="22" max="22" width="19.375" style="25" customWidth="1"/>
  </cols>
  <sheetData>
    <row r="1" spans="1:22" s="1" customFormat="1" ht="15" customHeight="1">
      <c r="A1" s="43"/>
      <c r="B1" s="157" t="s">
        <v>969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935</v>
      </c>
      <c r="V3" s="153" t="s">
        <v>5</v>
      </c>
    </row>
    <row r="4" spans="2:22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3">
        <v>1</v>
      </c>
      <c r="Q4" s="3">
        <v>2</v>
      </c>
      <c r="R4" s="3">
        <v>3</v>
      </c>
      <c r="S4" s="3" t="s">
        <v>7</v>
      </c>
      <c r="T4" s="152"/>
      <c r="U4" s="152"/>
      <c r="V4" s="154"/>
    </row>
    <row r="5" spans="2:21" ht="15.75">
      <c r="B5" s="175" t="s">
        <v>142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</row>
    <row r="6" spans="2:22" ht="12.75">
      <c r="B6" s="26" t="s">
        <v>241</v>
      </c>
      <c r="C6" s="26" t="s">
        <v>242</v>
      </c>
      <c r="D6" s="26" t="s">
        <v>243</v>
      </c>
      <c r="E6" s="26" t="str">
        <f>"2,3150"</f>
        <v>2,3150</v>
      </c>
      <c r="F6" s="26" t="s">
        <v>970</v>
      </c>
      <c r="G6" s="26" t="s">
        <v>244</v>
      </c>
      <c r="H6" s="50" t="s">
        <v>17</v>
      </c>
      <c r="I6" s="50"/>
      <c r="J6" s="50"/>
      <c r="K6" s="50"/>
      <c r="L6" s="50" t="s">
        <v>60</v>
      </c>
      <c r="M6" s="50"/>
      <c r="N6" s="50"/>
      <c r="O6" s="50"/>
      <c r="P6" s="50" t="s">
        <v>245</v>
      </c>
      <c r="Q6" s="50"/>
      <c r="R6" s="50"/>
      <c r="S6" s="50"/>
      <c r="T6" s="68">
        <v>0</v>
      </c>
      <c r="U6" s="26" t="str">
        <f>"0,0000"</f>
        <v>0,0000</v>
      </c>
      <c r="V6" s="26" t="s">
        <v>667</v>
      </c>
    </row>
    <row r="8" spans="2:21" ht="15.75">
      <c r="B8" s="174" t="s">
        <v>246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</row>
    <row r="9" spans="1:22" ht="12.75">
      <c r="A9" s="49">
        <v>1</v>
      </c>
      <c r="B9" s="26" t="s">
        <v>247</v>
      </c>
      <c r="C9" s="26" t="s">
        <v>248</v>
      </c>
      <c r="D9" s="26" t="s">
        <v>249</v>
      </c>
      <c r="E9" s="26" t="str">
        <f>"1,9122"</f>
        <v>1,9122</v>
      </c>
      <c r="F9" s="26" t="s">
        <v>947</v>
      </c>
      <c r="G9" s="26" t="s">
        <v>944</v>
      </c>
      <c r="H9" s="77" t="s">
        <v>41</v>
      </c>
      <c r="I9" s="77" t="s">
        <v>14</v>
      </c>
      <c r="J9" s="50" t="s">
        <v>153</v>
      </c>
      <c r="K9" s="27"/>
      <c r="L9" s="77" t="s">
        <v>148</v>
      </c>
      <c r="M9" s="50" t="s">
        <v>16</v>
      </c>
      <c r="N9" s="77" t="s">
        <v>16</v>
      </c>
      <c r="O9" s="27"/>
      <c r="P9" s="77" t="s">
        <v>149</v>
      </c>
      <c r="Q9" s="50" t="s">
        <v>189</v>
      </c>
      <c r="R9" s="50" t="s">
        <v>189</v>
      </c>
      <c r="S9" s="27"/>
      <c r="T9" s="66">
        <v>257.5</v>
      </c>
      <c r="U9" s="26" t="str">
        <f>"492,3915"</f>
        <v>492,3915</v>
      </c>
      <c r="V9" s="26" t="s">
        <v>23</v>
      </c>
    </row>
    <row r="11" spans="2:21" ht="15.75">
      <c r="B11" s="174" t="s">
        <v>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</row>
    <row r="12" spans="1:22" ht="12.75">
      <c r="A12" s="49">
        <v>1</v>
      </c>
      <c r="B12" s="26" t="s">
        <v>250</v>
      </c>
      <c r="C12" s="26" t="s">
        <v>167</v>
      </c>
      <c r="D12" s="26" t="s">
        <v>25</v>
      </c>
      <c r="E12" s="26" t="str">
        <f>"1,7830"</f>
        <v>1,7830</v>
      </c>
      <c r="F12" s="26" t="s">
        <v>139</v>
      </c>
      <c r="G12" s="26" t="s">
        <v>973</v>
      </c>
      <c r="H12" s="77" t="s">
        <v>251</v>
      </c>
      <c r="I12" s="77" t="s">
        <v>42</v>
      </c>
      <c r="J12" s="77" t="s">
        <v>166</v>
      </c>
      <c r="K12" s="27"/>
      <c r="L12" s="77" t="s">
        <v>252</v>
      </c>
      <c r="M12" s="77" t="s">
        <v>29</v>
      </c>
      <c r="N12" s="50" t="s">
        <v>30</v>
      </c>
      <c r="O12" s="27"/>
      <c r="P12" s="77" t="s">
        <v>253</v>
      </c>
      <c r="Q12" s="50" t="s">
        <v>254</v>
      </c>
      <c r="R12" s="77" t="s">
        <v>254</v>
      </c>
      <c r="S12" s="27"/>
      <c r="T12" s="64">
        <v>397.5</v>
      </c>
      <c r="U12" s="26" t="str">
        <f>"708,7425"</f>
        <v>708,7425</v>
      </c>
      <c r="V12" s="26" t="s">
        <v>255</v>
      </c>
    </row>
    <row r="14" spans="2:21" ht="15.75">
      <c r="B14" s="174" t="s">
        <v>156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</row>
    <row r="15" spans="1:22" ht="12.75">
      <c r="A15" s="49">
        <v>1</v>
      </c>
      <c r="B15" s="26" t="s">
        <v>256</v>
      </c>
      <c r="C15" s="26" t="s">
        <v>257</v>
      </c>
      <c r="D15" s="26" t="s">
        <v>158</v>
      </c>
      <c r="E15" s="26" t="str">
        <f>"1,6736"</f>
        <v>1,6736</v>
      </c>
      <c r="F15" s="26" t="s">
        <v>139</v>
      </c>
      <c r="G15" s="26" t="s">
        <v>973</v>
      </c>
      <c r="H15" s="77" t="s">
        <v>31</v>
      </c>
      <c r="I15" s="50" t="s">
        <v>32</v>
      </c>
      <c r="J15" s="77" t="s">
        <v>32</v>
      </c>
      <c r="K15" s="27"/>
      <c r="L15" s="77" t="s">
        <v>159</v>
      </c>
      <c r="M15" s="50" t="s">
        <v>258</v>
      </c>
      <c r="N15" s="50" t="s">
        <v>258</v>
      </c>
      <c r="O15" s="27"/>
      <c r="P15" s="77" t="s">
        <v>19</v>
      </c>
      <c r="Q15" s="77" t="s">
        <v>43</v>
      </c>
      <c r="R15" s="50" t="s">
        <v>259</v>
      </c>
      <c r="S15" s="27"/>
      <c r="T15" s="64">
        <v>352.5</v>
      </c>
      <c r="U15" s="26" t="str">
        <f>"589,9440"</f>
        <v>589,9440</v>
      </c>
      <c r="V15" s="26" t="s">
        <v>255</v>
      </c>
    </row>
    <row r="17" spans="2:21" ht="15.75">
      <c r="B17" s="174" t="s">
        <v>35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</row>
    <row r="18" spans="1:22" ht="12.75">
      <c r="A18" s="49">
        <v>1</v>
      </c>
      <c r="B18" s="28" t="s">
        <v>140</v>
      </c>
      <c r="C18" s="28" t="s">
        <v>260</v>
      </c>
      <c r="D18" s="28" t="s">
        <v>261</v>
      </c>
      <c r="E18" s="28" t="str">
        <f>"1,5466"</f>
        <v>1,5466</v>
      </c>
      <c r="F18" s="28" t="s">
        <v>139</v>
      </c>
      <c r="G18" s="28" t="s">
        <v>972</v>
      </c>
      <c r="H18" s="78" t="s">
        <v>154</v>
      </c>
      <c r="I18" s="53" t="s">
        <v>262</v>
      </c>
      <c r="J18" s="78" t="s">
        <v>262</v>
      </c>
      <c r="K18" s="29"/>
      <c r="L18" s="78" t="s">
        <v>160</v>
      </c>
      <c r="M18" s="78" t="s">
        <v>161</v>
      </c>
      <c r="N18" s="53" t="s">
        <v>40</v>
      </c>
      <c r="O18" s="29"/>
      <c r="P18" s="78" t="s">
        <v>44</v>
      </c>
      <c r="Q18" s="78" t="s">
        <v>263</v>
      </c>
      <c r="R18" s="78" t="s">
        <v>264</v>
      </c>
      <c r="S18" s="29"/>
      <c r="T18" s="65">
        <v>385</v>
      </c>
      <c r="U18" s="28" t="str">
        <f>"595,4410"</f>
        <v>595,4410</v>
      </c>
      <c r="V18" s="28" t="s">
        <v>255</v>
      </c>
    </row>
    <row r="19" spans="2:22" ht="12.75">
      <c r="B19" s="26" t="s">
        <v>265</v>
      </c>
      <c r="C19" s="26" t="s">
        <v>266</v>
      </c>
      <c r="D19" s="26" t="s">
        <v>48</v>
      </c>
      <c r="E19" s="26" t="str">
        <f>"1,5550"</f>
        <v>1,5550</v>
      </c>
      <c r="F19" s="26" t="s">
        <v>139</v>
      </c>
      <c r="G19" s="26" t="s">
        <v>973</v>
      </c>
      <c r="H19" s="50" t="s">
        <v>203</v>
      </c>
      <c r="I19" s="50" t="s">
        <v>203</v>
      </c>
      <c r="J19" s="50" t="s">
        <v>203</v>
      </c>
      <c r="K19" s="27"/>
      <c r="L19" s="50" t="s">
        <v>60</v>
      </c>
      <c r="M19" s="27"/>
      <c r="N19" s="27"/>
      <c r="O19" s="27"/>
      <c r="P19" s="26"/>
      <c r="Q19" s="27"/>
      <c r="R19" s="27"/>
      <c r="S19" s="27"/>
      <c r="T19" s="68">
        <v>0</v>
      </c>
      <c r="U19" s="26" t="str">
        <f>"0,0000"</f>
        <v>0,0000</v>
      </c>
      <c r="V19" s="26" t="s">
        <v>255</v>
      </c>
    </row>
    <row r="21" spans="2:21" ht="15.75">
      <c r="B21" s="174" t="s">
        <v>156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</row>
    <row r="22" spans="1:22" ht="12.75">
      <c r="A22" s="49">
        <v>1</v>
      </c>
      <c r="B22" s="28" t="s">
        <v>267</v>
      </c>
      <c r="C22" s="28" t="s">
        <v>268</v>
      </c>
      <c r="D22" s="28" t="s">
        <v>269</v>
      </c>
      <c r="E22" s="28" t="str">
        <f>"1,2766"</f>
        <v>1,2766</v>
      </c>
      <c r="F22" s="28" t="s">
        <v>946</v>
      </c>
      <c r="G22" s="26" t="s">
        <v>944</v>
      </c>
      <c r="H22" s="78" t="s">
        <v>112</v>
      </c>
      <c r="I22" s="78" t="s">
        <v>270</v>
      </c>
      <c r="J22" s="78" t="s">
        <v>212</v>
      </c>
      <c r="K22" s="29"/>
      <c r="L22" s="78" t="s">
        <v>153</v>
      </c>
      <c r="M22" s="78" t="s">
        <v>149</v>
      </c>
      <c r="N22" s="78" t="s">
        <v>154</v>
      </c>
      <c r="O22" s="29"/>
      <c r="P22" s="78" t="s">
        <v>111</v>
      </c>
      <c r="Q22" s="53" t="s">
        <v>59</v>
      </c>
      <c r="R22" s="53" t="s">
        <v>59</v>
      </c>
      <c r="S22" s="29"/>
      <c r="T22" s="65">
        <v>515</v>
      </c>
      <c r="U22" s="28" t="str">
        <f>"657,4490"</f>
        <v>657,4490</v>
      </c>
      <c r="V22" s="28" t="s">
        <v>72</v>
      </c>
    </row>
    <row r="23" spans="2:22" ht="12.75">
      <c r="B23" s="26" t="s">
        <v>271</v>
      </c>
      <c r="C23" s="26" t="s">
        <v>272</v>
      </c>
      <c r="D23" s="26" t="s">
        <v>273</v>
      </c>
      <c r="E23" s="26" t="str">
        <f>"1,2410"</f>
        <v>1,2410</v>
      </c>
      <c r="F23" s="26" t="s">
        <v>971</v>
      </c>
      <c r="G23" s="26" t="s">
        <v>274</v>
      </c>
      <c r="H23" s="50" t="s">
        <v>77</v>
      </c>
      <c r="I23" s="50" t="s">
        <v>77</v>
      </c>
      <c r="J23" s="50" t="s">
        <v>77</v>
      </c>
      <c r="K23" s="50"/>
      <c r="L23" s="50" t="s">
        <v>60</v>
      </c>
      <c r="M23" s="50"/>
      <c r="N23" s="50"/>
      <c r="O23" s="50"/>
      <c r="P23" s="50" t="s">
        <v>60</v>
      </c>
      <c r="Q23" s="50"/>
      <c r="R23" s="50"/>
      <c r="S23" s="50"/>
      <c r="T23" s="68">
        <v>0</v>
      </c>
      <c r="U23" s="26" t="str">
        <f>"0,0000"</f>
        <v>0,0000</v>
      </c>
      <c r="V23" s="26" t="s">
        <v>275</v>
      </c>
    </row>
    <row r="25" spans="2:21" ht="15.75">
      <c r="B25" s="174" t="s">
        <v>54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22" ht="12.75">
      <c r="A26" s="49">
        <v>1</v>
      </c>
      <c r="B26" s="26" t="s">
        <v>979</v>
      </c>
      <c r="C26" s="26" t="s">
        <v>276</v>
      </c>
      <c r="D26" s="26" t="s">
        <v>277</v>
      </c>
      <c r="E26" s="26" t="str">
        <f>"1,0340"</f>
        <v>1,0340</v>
      </c>
      <c r="F26" s="26" t="s">
        <v>12</v>
      </c>
      <c r="G26" s="26" t="s">
        <v>278</v>
      </c>
      <c r="H26" s="77" t="s">
        <v>77</v>
      </c>
      <c r="I26" s="50" t="s">
        <v>68</v>
      </c>
      <c r="J26" s="50" t="s">
        <v>199</v>
      </c>
      <c r="K26" s="27"/>
      <c r="L26" s="77" t="s">
        <v>33</v>
      </c>
      <c r="M26" s="77" t="s">
        <v>39</v>
      </c>
      <c r="N26" s="77" t="s">
        <v>259</v>
      </c>
      <c r="O26" s="27"/>
      <c r="P26" s="77" t="s">
        <v>67</v>
      </c>
      <c r="Q26" s="77" t="s">
        <v>194</v>
      </c>
      <c r="R26" s="50" t="s">
        <v>69</v>
      </c>
      <c r="S26" s="27"/>
      <c r="T26" s="64">
        <v>542.5</v>
      </c>
      <c r="U26" s="26" t="str">
        <f>"653,5009"</f>
        <v>653,5009</v>
      </c>
      <c r="V26" s="26" t="s">
        <v>981</v>
      </c>
    </row>
    <row r="28" spans="2:21" ht="15.75">
      <c r="B28" s="174" t="s">
        <v>62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</row>
    <row r="29" spans="1:22" ht="12.75">
      <c r="A29" s="49">
        <v>1</v>
      </c>
      <c r="B29" s="26" t="s">
        <v>279</v>
      </c>
      <c r="C29" s="26" t="s">
        <v>280</v>
      </c>
      <c r="D29" s="26" t="s">
        <v>281</v>
      </c>
      <c r="E29" s="26" t="str">
        <f>"0,9830"</f>
        <v>0,9830</v>
      </c>
      <c r="F29" s="26" t="s">
        <v>12</v>
      </c>
      <c r="G29" s="26" t="s">
        <v>944</v>
      </c>
      <c r="H29" s="50" t="s">
        <v>216</v>
      </c>
      <c r="I29" s="77" t="s">
        <v>216</v>
      </c>
      <c r="J29" s="77" t="s">
        <v>107</v>
      </c>
      <c r="K29" s="27"/>
      <c r="L29" s="77" t="s">
        <v>59</v>
      </c>
      <c r="M29" s="77" t="s">
        <v>212</v>
      </c>
      <c r="N29" s="77" t="s">
        <v>69</v>
      </c>
      <c r="O29" s="27"/>
      <c r="P29" s="77" t="s">
        <v>216</v>
      </c>
      <c r="Q29" s="77" t="s">
        <v>282</v>
      </c>
      <c r="R29" s="77" t="s">
        <v>102</v>
      </c>
      <c r="S29" s="27"/>
      <c r="T29" s="66">
        <v>772.5</v>
      </c>
      <c r="U29" s="26" t="str">
        <f>"759,3675"</f>
        <v>759,3675</v>
      </c>
      <c r="V29" s="26" t="s">
        <v>72</v>
      </c>
    </row>
    <row r="30" spans="1:22" ht="12.75">
      <c r="A30" s="49">
        <v>2</v>
      </c>
      <c r="B30" s="30" t="s">
        <v>141</v>
      </c>
      <c r="C30" s="30" t="s">
        <v>283</v>
      </c>
      <c r="D30" s="30" t="s">
        <v>284</v>
      </c>
      <c r="E30" s="30" t="str">
        <f>"0,9720"</f>
        <v>0,9720</v>
      </c>
      <c r="F30" s="30" t="s">
        <v>291</v>
      </c>
      <c r="G30" s="30" t="s">
        <v>285</v>
      </c>
      <c r="H30" s="80" t="s">
        <v>86</v>
      </c>
      <c r="I30" s="51" t="s">
        <v>228</v>
      </c>
      <c r="J30" s="31"/>
      <c r="K30" s="31"/>
      <c r="L30" s="80" t="s">
        <v>19</v>
      </c>
      <c r="M30" s="80" t="s">
        <v>43</v>
      </c>
      <c r="N30" s="80" t="s">
        <v>21</v>
      </c>
      <c r="O30" s="31"/>
      <c r="P30" s="80" t="s">
        <v>88</v>
      </c>
      <c r="Q30" s="51" t="s">
        <v>286</v>
      </c>
      <c r="R30" s="51" t="s">
        <v>287</v>
      </c>
      <c r="S30" s="31"/>
      <c r="T30" s="70">
        <v>727.5</v>
      </c>
      <c r="U30" s="30" t="str">
        <f>"707,1300"</f>
        <v>707,1300</v>
      </c>
      <c r="V30" s="30" t="s">
        <v>968</v>
      </c>
    </row>
    <row r="31" spans="1:22" ht="12.75">
      <c r="A31" s="49">
        <v>3</v>
      </c>
      <c r="B31" s="26" t="s">
        <v>288</v>
      </c>
      <c r="C31" s="26" t="s">
        <v>289</v>
      </c>
      <c r="D31" s="26" t="s">
        <v>290</v>
      </c>
      <c r="E31" s="26" t="str">
        <f>"1,0076"</f>
        <v>1,0076</v>
      </c>
      <c r="F31" s="26" t="s">
        <v>291</v>
      </c>
      <c r="G31" s="26" t="s">
        <v>58</v>
      </c>
      <c r="H31" s="77" t="s">
        <v>194</v>
      </c>
      <c r="I31" s="77" t="s">
        <v>99</v>
      </c>
      <c r="J31" s="50" t="s">
        <v>292</v>
      </c>
      <c r="K31" s="27"/>
      <c r="L31" s="77" t="s">
        <v>19</v>
      </c>
      <c r="M31" s="77" t="s">
        <v>43</v>
      </c>
      <c r="N31" s="77" t="s">
        <v>51</v>
      </c>
      <c r="O31" s="27"/>
      <c r="P31" s="77" t="s">
        <v>216</v>
      </c>
      <c r="Q31" s="77" t="s">
        <v>102</v>
      </c>
      <c r="R31" s="77" t="s">
        <v>108</v>
      </c>
      <c r="S31" s="27"/>
      <c r="T31" s="66">
        <v>677.5</v>
      </c>
      <c r="U31" s="26" t="str">
        <f>"682,6490"</f>
        <v>682,6490</v>
      </c>
      <c r="V31" s="26" t="s">
        <v>968</v>
      </c>
    </row>
    <row r="32" spans="1:22" ht="12.75">
      <c r="A32" s="49">
        <v>4</v>
      </c>
      <c r="B32" s="32" t="s">
        <v>978</v>
      </c>
      <c r="C32" s="32" t="s">
        <v>294</v>
      </c>
      <c r="D32" s="32" t="s">
        <v>295</v>
      </c>
      <c r="E32" s="32" t="str">
        <f>"0,9798"</f>
        <v>0,9798</v>
      </c>
      <c r="F32" s="32" t="s">
        <v>12</v>
      </c>
      <c r="G32" s="26" t="s">
        <v>944</v>
      </c>
      <c r="H32" s="79" t="s">
        <v>111</v>
      </c>
      <c r="I32" s="79" t="s">
        <v>59</v>
      </c>
      <c r="J32" s="52" t="s">
        <v>212</v>
      </c>
      <c r="K32" s="33"/>
      <c r="L32" s="79" t="s">
        <v>42</v>
      </c>
      <c r="M32" s="52" t="s">
        <v>19</v>
      </c>
      <c r="N32" s="79" t="s">
        <v>19</v>
      </c>
      <c r="O32" s="33"/>
      <c r="P32" s="79" t="s">
        <v>98</v>
      </c>
      <c r="Q32" s="52" t="s">
        <v>296</v>
      </c>
      <c r="R32" s="79" t="s">
        <v>297</v>
      </c>
      <c r="S32" s="33"/>
      <c r="T32" s="67">
        <v>592.5</v>
      </c>
      <c r="U32" s="32" t="str">
        <f>"580,5315"</f>
        <v>580,5315</v>
      </c>
      <c r="V32" s="32" t="s">
        <v>966</v>
      </c>
    </row>
    <row r="34" spans="2:21" ht="15.75">
      <c r="B34" s="174" t="s">
        <v>206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</row>
    <row r="35" spans="1:22" ht="12.75">
      <c r="A35" s="49">
        <v>1</v>
      </c>
      <c r="B35" s="28" t="s">
        <v>298</v>
      </c>
      <c r="C35" s="28" t="s">
        <v>299</v>
      </c>
      <c r="D35" s="28" t="s">
        <v>300</v>
      </c>
      <c r="E35" s="28" t="str">
        <f>"0,9214"</f>
        <v>0,9214</v>
      </c>
      <c r="F35" s="28" t="s">
        <v>12</v>
      </c>
      <c r="G35" s="26" t="s">
        <v>944</v>
      </c>
      <c r="H35" s="78" t="s">
        <v>194</v>
      </c>
      <c r="I35" s="78" t="s">
        <v>98</v>
      </c>
      <c r="J35" s="53" t="s">
        <v>69</v>
      </c>
      <c r="K35" s="29"/>
      <c r="L35" s="78" t="s">
        <v>31</v>
      </c>
      <c r="M35" s="78" t="s">
        <v>173</v>
      </c>
      <c r="N35" s="53" t="s">
        <v>33</v>
      </c>
      <c r="O35" s="29"/>
      <c r="P35" s="78" t="s">
        <v>194</v>
      </c>
      <c r="Q35" s="78" t="s">
        <v>98</v>
      </c>
      <c r="R35" s="78" t="s">
        <v>99</v>
      </c>
      <c r="S35" s="29"/>
      <c r="T35" s="65">
        <v>580</v>
      </c>
      <c r="U35" s="28" t="str">
        <f>"534,4120"</f>
        <v>534,4120</v>
      </c>
      <c r="V35" s="28" t="s">
        <v>72</v>
      </c>
    </row>
    <row r="36" spans="1:22" ht="12.75">
      <c r="A36" s="49">
        <v>2</v>
      </c>
      <c r="B36" s="26" t="s">
        <v>301</v>
      </c>
      <c r="C36" s="26" t="s">
        <v>302</v>
      </c>
      <c r="D36" s="26" t="s">
        <v>303</v>
      </c>
      <c r="E36" s="26" t="str">
        <f>"0,9262"</f>
        <v>0,9262</v>
      </c>
      <c r="F36" s="26" t="s">
        <v>12</v>
      </c>
      <c r="G36" s="26" t="s">
        <v>944</v>
      </c>
      <c r="H36" s="77" t="s">
        <v>212</v>
      </c>
      <c r="I36" s="50" t="s">
        <v>99</v>
      </c>
      <c r="J36" s="50" t="s">
        <v>99</v>
      </c>
      <c r="K36" s="27"/>
      <c r="L36" s="77" t="s">
        <v>31</v>
      </c>
      <c r="M36" s="77" t="s">
        <v>173</v>
      </c>
      <c r="N36" s="50" t="s">
        <v>42</v>
      </c>
      <c r="O36" s="27"/>
      <c r="P36" s="77" t="s">
        <v>68</v>
      </c>
      <c r="Q36" s="50" t="s">
        <v>59</v>
      </c>
      <c r="R36" s="50" t="s">
        <v>59</v>
      </c>
      <c r="S36" s="27"/>
      <c r="T36" s="66">
        <v>535</v>
      </c>
      <c r="U36" s="26" t="str">
        <f>"495,5170"</f>
        <v>495,5170</v>
      </c>
      <c r="V36" s="26" t="s">
        <v>72</v>
      </c>
    </row>
    <row r="37" spans="1:22" ht="12.75">
      <c r="A37" s="49">
        <v>1</v>
      </c>
      <c r="B37" s="30" t="s">
        <v>304</v>
      </c>
      <c r="C37" s="30" t="s">
        <v>305</v>
      </c>
      <c r="D37" s="30" t="s">
        <v>306</v>
      </c>
      <c r="E37" s="30" t="str">
        <f>"0,9328"</f>
        <v>0,9328</v>
      </c>
      <c r="F37" s="30" t="s">
        <v>12</v>
      </c>
      <c r="G37" s="30" t="s">
        <v>198</v>
      </c>
      <c r="H37" s="80" t="s">
        <v>78</v>
      </c>
      <c r="I37" s="80" t="s">
        <v>282</v>
      </c>
      <c r="J37" s="80" t="s">
        <v>102</v>
      </c>
      <c r="K37" s="31"/>
      <c r="L37" s="80" t="s">
        <v>43</v>
      </c>
      <c r="M37" s="80" t="s">
        <v>259</v>
      </c>
      <c r="N37" s="30" t="s">
        <v>77</v>
      </c>
      <c r="O37" s="31"/>
      <c r="P37" s="80" t="s">
        <v>78</v>
      </c>
      <c r="Q37" s="80" t="s">
        <v>79</v>
      </c>
      <c r="R37" s="80" t="s">
        <v>107</v>
      </c>
      <c r="S37" s="31"/>
      <c r="T37" s="70">
        <v>717.5</v>
      </c>
      <c r="U37" s="30" t="str">
        <f>"669,2840"</f>
        <v>669,2840</v>
      </c>
      <c r="V37" s="30" t="s">
        <v>307</v>
      </c>
    </row>
    <row r="38" spans="1:22" ht="12.75">
      <c r="A38" s="49">
        <v>2</v>
      </c>
      <c r="B38" s="26" t="s">
        <v>976</v>
      </c>
      <c r="C38" s="26" t="s">
        <v>309</v>
      </c>
      <c r="D38" s="26" t="s">
        <v>310</v>
      </c>
      <c r="E38" s="26" t="str">
        <f>"0,9150"</f>
        <v>0,9150</v>
      </c>
      <c r="F38" s="26" t="s">
        <v>139</v>
      </c>
      <c r="G38" s="26" t="s">
        <v>973</v>
      </c>
      <c r="H38" s="50" t="s">
        <v>70</v>
      </c>
      <c r="I38" s="50" t="s">
        <v>70</v>
      </c>
      <c r="J38" s="77" t="s">
        <v>70</v>
      </c>
      <c r="K38" s="27"/>
      <c r="L38" s="77" t="s">
        <v>51</v>
      </c>
      <c r="M38" s="77" t="s">
        <v>311</v>
      </c>
      <c r="N38" s="26" t="s">
        <v>110</v>
      </c>
      <c r="O38" s="27"/>
      <c r="P38" s="77" t="s">
        <v>78</v>
      </c>
      <c r="Q38" s="77" t="s">
        <v>79</v>
      </c>
      <c r="R38" s="50" t="s">
        <v>86</v>
      </c>
      <c r="S38" s="27"/>
      <c r="T38" s="66">
        <v>677.5</v>
      </c>
      <c r="U38" s="26" t="str">
        <f>"619,9125"</f>
        <v>619,9125</v>
      </c>
      <c r="V38" s="26" t="s">
        <v>255</v>
      </c>
    </row>
    <row r="39" spans="1:22" ht="12.75">
      <c r="A39" s="49">
        <v>1</v>
      </c>
      <c r="B39" s="32" t="s">
        <v>977</v>
      </c>
      <c r="C39" s="32" t="s">
        <v>312</v>
      </c>
      <c r="D39" s="32" t="s">
        <v>313</v>
      </c>
      <c r="E39" s="32" t="str">
        <f>"0,9658"</f>
        <v>0,9658</v>
      </c>
      <c r="F39" s="32" t="s">
        <v>291</v>
      </c>
      <c r="G39" s="32" t="s">
        <v>58</v>
      </c>
      <c r="H39" s="79" t="s">
        <v>68</v>
      </c>
      <c r="I39" s="79" t="s">
        <v>212</v>
      </c>
      <c r="J39" s="79" t="s">
        <v>99</v>
      </c>
      <c r="K39" s="33"/>
      <c r="L39" s="79" t="s">
        <v>19</v>
      </c>
      <c r="M39" s="79" t="s">
        <v>43</v>
      </c>
      <c r="N39" s="52" t="s">
        <v>51</v>
      </c>
      <c r="O39" s="33"/>
      <c r="P39" s="79" t="s">
        <v>194</v>
      </c>
      <c r="Q39" s="79" t="s">
        <v>99</v>
      </c>
      <c r="R39" s="52" t="s">
        <v>78</v>
      </c>
      <c r="S39" s="33"/>
      <c r="T39" s="67">
        <v>615</v>
      </c>
      <c r="U39" s="32" t="str">
        <f>"727,6096"</f>
        <v>727,6096</v>
      </c>
      <c r="V39" s="32" t="s">
        <v>968</v>
      </c>
    </row>
    <row r="41" spans="2:21" ht="15.75">
      <c r="B41" s="174" t="s">
        <v>82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</row>
    <row r="42" spans="1:22" ht="12.75">
      <c r="A42" s="49">
        <v>1</v>
      </c>
      <c r="B42" s="28" t="s">
        <v>314</v>
      </c>
      <c r="C42" s="28" t="s">
        <v>315</v>
      </c>
      <c r="D42" s="28" t="s">
        <v>316</v>
      </c>
      <c r="E42" s="28" t="str">
        <f>"0,8864"</f>
        <v>0,8864</v>
      </c>
      <c r="F42" s="28" t="s">
        <v>12</v>
      </c>
      <c r="G42" s="26" t="s">
        <v>944</v>
      </c>
      <c r="H42" s="78" t="s">
        <v>114</v>
      </c>
      <c r="I42" s="53" t="s">
        <v>97</v>
      </c>
      <c r="J42" s="53" t="s">
        <v>97</v>
      </c>
      <c r="K42" s="29"/>
      <c r="L42" s="78" t="s">
        <v>317</v>
      </c>
      <c r="M42" s="78" t="s">
        <v>98</v>
      </c>
      <c r="N42" s="53" t="s">
        <v>69</v>
      </c>
      <c r="O42" s="29"/>
      <c r="P42" s="78" t="s">
        <v>114</v>
      </c>
      <c r="Q42" s="78" t="s">
        <v>89</v>
      </c>
      <c r="R42" s="53" t="s">
        <v>318</v>
      </c>
      <c r="S42" s="29"/>
      <c r="T42" s="65">
        <v>850</v>
      </c>
      <c r="U42" s="28" t="str">
        <f>"753,4400"</f>
        <v>753,4400</v>
      </c>
      <c r="V42" s="28" t="s">
        <v>72</v>
      </c>
    </row>
    <row r="43" spans="1:22" ht="12.75">
      <c r="A43" s="49">
        <v>2</v>
      </c>
      <c r="B43" s="26" t="s">
        <v>975</v>
      </c>
      <c r="C43" s="26" t="s">
        <v>320</v>
      </c>
      <c r="D43" s="26" t="s">
        <v>321</v>
      </c>
      <c r="E43" s="26" t="str">
        <f>"0,8850"</f>
        <v>0,8850</v>
      </c>
      <c r="F43" s="26" t="s">
        <v>12</v>
      </c>
      <c r="G43" s="26" t="s">
        <v>322</v>
      </c>
      <c r="H43" s="77" t="s">
        <v>88</v>
      </c>
      <c r="I43" s="50" t="s">
        <v>114</v>
      </c>
      <c r="J43" s="77" t="s">
        <v>287</v>
      </c>
      <c r="K43" s="27"/>
      <c r="L43" s="77" t="s">
        <v>59</v>
      </c>
      <c r="M43" s="77" t="s">
        <v>194</v>
      </c>
      <c r="N43" s="77" t="s">
        <v>317</v>
      </c>
      <c r="O43" s="27"/>
      <c r="P43" s="77" t="s">
        <v>113</v>
      </c>
      <c r="Q43" s="50" t="s">
        <v>114</v>
      </c>
      <c r="R43" s="27"/>
      <c r="S43" s="27"/>
      <c r="T43" s="66">
        <v>827.5</v>
      </c>
      <c r="U43" s="26" t="str">
        <f>"732,3375"</f>
        <v>732,3375</v>
      </c>
      <c r="V43" s="26" t="s">
        <v>323</v>
      </c>
    </row>
    <row r="44" spans="1:22" ht="12.75">
      <c r="A44" s="49">
        <v>3</v>
      </c>
      <c r="B44" s="30" t="s">
        <v>324</v>
      </c>
      <c r="C44" s="30" t="s">
        <v>325</v>
      </c>
      <c r="D44" s="30" t="s">
        <v>326</v>
      </c>
      <c r="E44" s="30" t="str">
        <f>"0,8900"</f>
        <v>0,8900</v>
      </c>
      <c r="F44" s="30" t="s">
        <v>12</v>
      </c>
      <c r="G44" s="30" t="s">
        <v>278</v>
      </c>
      <c r="H44" s="80" t="s">
        <v>79</v>
      </c>
      <c r="I44" s="51" t="s">
        <v>102</v>
      </c>
      <c r="J44" s="51" t="s">
        <v>102</v>
      </c>
      <c r="K44" s="31"/>
      <c r="L44" s="80" t="s">
        <v>44</v>
      </c>
      <c r="M44" s="80" t="s">
        <v>77</v>
      </c>
      <c r="N44" s="80" t="s">
        <v>67</v>
      </c>
      <c r="O44" s="31"/>
      <c r="P44" s="80" t="s">
        <v>70</v>
      </c>
      <c r="Q44" s="80" t="s">
        <v>79</v>
      </c>
      <c r="R44" s="80" t="s">
        <v>220</v>
      </c>
      <c r="S44" s="31"/>
      <c r="T44" s="70">
        <v>720</v>
      </c>
      <c r="U44" s="30" t="str">
        <f>"640,8000"</f>
        <v>640,8000</v>
      </c>
      <c r="V44" s="30" t="s">
        <v>327</v>
      </c>
    </row>
    <row r="45" spans="1:22" ht="12.75">
      <c r="A45" s="49">
        <v>1</v>
      </c>
      <c r="B45" s="26" t="s">
        <v>328</v>
      </c>
      <c r="C45" s="26" t="s">
        <v>329</v>
      </c>
      <c r="D45" s="26" t="s">
        <v>330</v>
      </c>
      <c r="E45" s="26" t="str">
        <f>"0,8950"</f>
        <v>0,8950</v>
      </c>
      <c r="F45" s="26" t="s">
        <v>12</v>
      </c>
      <c r="G45" s="26" t="s">
        <v>944</v>
      </c>
      <c r="H45" s="77" t="s">
        <v>194</v>
      </c>
      <c r="I45" s="77" t="s">
        <v>69</v>
      </c>
      <c r="J45" s="50" t="s">
        <v>70</v>
      </c>
      <c r="K45" s="27"/>
      <c r="L45" s="77" t="s">
        <v>39</v>
      </c>
      <c r="M45" s="77" t="s">
        <v>43</v>
      </c>
      <c r="N45" s="77" t="s">
        <v>259</v>
      </c>
      <c r="O45" s="27"/>
      <c r="P45" s="77" t="s">
        <v>67</v>
      </c>
      <c r="Q45" s="77" t="s">
        <v>59</v>
      </c>
      <c r="R45" s="77" t="s">
        <v>98</v>
      </c>
      <c r="S45" s="27"/>
      <c r="T45" s="66">
        <v>607.5</v>
      </c>
      <c r="U45" s="26" t="str">
        <f>"543,7125"</f>
        <v>543,7125</v>
      </c>
      <c r="V45" s="26" t="s">
        <v>479</v>
      </c>
    </row>
    <row r="46" spans="1:22" ht="12.75">
      <c r="A46" s="49">
        <v>1</v>
      </c>
      <c r="B46" s="32" t="s">
        <v>331</v>
      </c>
      <c r="C46" s="32" t="s">
        <v>332</v>
      </c>
      <c r="D46" s="32" t="s">
        <v>333</v>
      </c>
      <c r="E46" s="32" t="str">
        <f>"0,9090"</f>
        <v>0,9090</v>
      </c>
      <c r="F46" s="32" t="s">
        <v>12</v>
      </c>
      <c r="G46" s="32" t="s">
        <v>193</v>
      </c>
      <c r="H46" s="79" t="s">
        <v>51</v>
      </c>
      <c r="I46" s="79" t="s">
        <v>67</v>
      </c>
      <c r="J46" s="79" t="s">
        <v>111</v>
      </c>
      <c r="K46" s="33"/>
      <c r="L46" s="79" t="s">
        <v>42</v>
      </c>
      <c r="M46" s="79" t="s">
        <v>39</v>
      </c>
      <c r="N46" s="52" t="s">
        <v>43</v>
      </c>
      <c r="O46" s="33"/>
      <c r="P46" s="79" t="s">
        <v>297</v>
      </c>
      <c r="Q46" s="79" t="s">
        <v>282</v>
      </c>
      <c r="R46" s="52" t="s">
        <v>220</v>
      </c>
      <c r="S46" s="33"/>
      <c r="T46" s="67">
        <v>602.5</v>
      </c>
      <c r="U46" s="32" t="str">
        <f>"577,7945"</f>
        <v>577,7945</v>
      </c>
      <c r="V46" s="32" t="s">
        <v>334</v>
      </c>
    </row>
    <row r="48" spans="2:21" ht="15.75">
      <c r="B48" s="174" t="s">
        <v>222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</row>
    <row r="49" spans="1:22" ht="12.75">
      <c r="A49" s="49">
        <v>1</v>
      </c>
      <c r="B49" s="28" t="s">
        <v>974</v>
      </c>
      <c r="C49" s="28" t="s">
        <v>336</v>
      </c>
      <c r="D49" s="28" t="s">
        <v>337</v>
      </c>
      <c r="E49" s="28" t="str">
        <f>"0,8640"</f>
        <v>0,8640</v>
      </c>
      <c r="F49" s="28" t="s">
        <v>12</v>
      </c>
      <c r="G49" s="28" t="s">
        <v>338</v>
      </c>
      <c r="H49" s="78" t="s">
        <v>339</v>
      </c>
      <c r="I49" s="29"/>
      <c r="J49" s="29"/>
      <c r="K49" s="29"/>
      <c r="L49" s="78" t="s">
        <v>194</v>
      </c>
      <c r="M49" s="29"/>
      <c r="N49" s="29"/>
      <c r="O49" s="29"/>
      <c r="P49" s="78" t="s">
        <v>90</v>
      </c>
      <c r="Q49" s="29"/>
      <c r="R49" s="29"/>
      <c r="S49" s="29"/>
      <c r="T49" s="65">
        <v>875</v>
      </c>
      <c r="U49" s="28" t="str">
        <f>"756,0000"</f>
        <v>756,0000</v>
      </c>
      <c r="V49" s="28" t="s">
        <v>72</v>
      </c>
    </row>
    <row r="50" spans="1:22" ht="12.75">
      <c r="A50" s="49">
        <v>2</v>
      </c>
      <c r="B50" s="26" t="s">
        <v>340</v>
      </c>
      <c r="C50" s="26" t="s">
        <v>341</v>
      </c>
      <c r="D50" s="26" t="s">
        <v>342</v>
      </c>
      <c r="E50" s="26" t="str">
        <f>"0,8580"</f>
        <v>0,8580</v>
      </c>
      <c r="F50" s="26" t="s">
        <v>12</v>
      </c>
      <c r="G50" s="26" t="s">
        <v>944</v>
      </c>
      <c r="H50" s="77" t="s">
        <v>90</v>
      </c>
      <c r="I50" s="50" t="s">
        <v>343</v>
      </c>
      <c r="J50" s="50" t="s">
        <v>344</v>
      </c>
      <c r="K50" s="27"/>
      <c r="L50" s="77" t="s">
        <v>69</v>
      </c>
      <c r="M50" s="50" t="s">
        <v>292</v>
      </c>
      <c r="N50" s="50" t="s">
        <v>292</v>
      </c>
      <c r="O50" s="27"/>
      <c r="P50" s="77" t="s">
        <v>88</v>
      </c>
      <c r="Q50" s="50" t="s">
        <v>286</v>
      </c>
      <c r="R50" s="50" t="s">
        <v>286</v>
      </c>
      <c r="S50" s="27"/>
      <c r="T50" s="66">
        <v>855</v>
      </c>
      <c r="U50" s="26" t="str">
        <f>"733,5900"</f>
        <v>733,5900</v>
      </c>
      <c r="V50" s="26" t="s">
        <v>72</v>
      </c>
    </row>
    <row r="51" spans="2:22" ht="12.75">
      <c r="B51" s="32" t="s">
        <v>345</v>
      </c>
      <c r="C51" s="32" t="s">
        <v>346</v>
      </c>
      <c r="D51" s="32" t="s">
        <v>347</v>
      </c>
      <c r="E51" s="32" t="str">
        <f>"0,8682"</f>
        <v>0,8682</v>
      </c>
      <c r="F51" s="32" t="s">
        <v>12</v>
      </c>
      <c r="G51" s="26" t="s">
        <v>944</v>
      </c>
      <c r="H51" s="79" t="s">
        <v>194</v>
      </c>
      <c r="I51" s="52" t="s">
        <v>69</v>
      </c>
      <c r="J51" s="79" t="s">
        <v>69</v>
      </c>
      <c r="K51" s="33"/>
      <c r="L51" s="52" t="s">
        <v>67</v>
      </c>
      <c r="M51" s="52" t="s">
        <v>67</v>
      </c>
      <c r="N51" s="52" t="s">
        <v>67</v>
      </c>
      <c r="O51" s="33"/>
      <c r="P51" s="52" t="s">
        <v>60</v>
      </c>
      <c r="Q51" s="33"/>
      <c r="R51" s="33"/>
      <c r="S51" s="33"/>
      <c r="T51" s="69">
        <v>0</v>
      </c>
      <c r="U51" s="32" t="str">
        <f>"0,0000"</f>
        <v>0,0000</v>
      </c>
      <c r="V51" s="32" t="s">
        <v>479</v>
      </c>
    </row>
    <row r="53" spans="2:21" ht="15.75">
      <c r="B53" s="174" t="s">
        <v>348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</row>
    <row r="54" spans="1:22" ht="12.75">
      <c r="A54" s="49">
        <v>1</v>
      </c>
      <c r="B54" s="26" t="s">
        <v>349</v>
      </c>
      <c r="C54" s="26" t="s">
        <v>350</v>
      </c>
      <c r="D54" s="26" t="s">
        <v>351</v>
      </c>
      <c r="E54" s="26" t="str">
        <f>"0,8420"</f>
        <v>0,8420</v>
      </c>
      <c r="F54" s="26" t="s">
        <v>12</v>
      </c>
      <c r="G54" s="26" t="s">
        <v>352</v>
      </c>
      <c r="H54" s="77" t="s">
        <v>87</v>
      </c>
      <c r="I54" s="77" t="s">
        <v>353</v>
      </c>
      <c r="J54" s="77" t="s">
        <v>89</v>
      </c>
      <c r="K54" s="27"/>
      <c r="L54" s="77" t="s">
        <v>77</v>
      </c>
      <c r="M54" s="77" t="s">
        <v>110</v>
      </c>
      <c r="N54" s="50" t="s">
        <v>67</v>
      </c>
      <c r="O54" s="27"/>
      <c r="P54" s="77" t="s">
        <v>220</v>
      </c>
      <c r="Q54" s="77" t="s">
        <v>113</v>
      </c>
      <c r="R54" s="50" t="s">
        <v>287</v>
      </c>
      <c r="S54" s="27"/>
      <c r="T54" s="66">
        <v>800</v>
      </c>
      <c r="U54" s="26" t="str">
        <f>"673,6000"</f>
        <v>673,6000</v>
      </c>
      <c r="V54" s="26" t="s">
        <v>980</v>
      </c>
    </row>
    <row r="56" spans="2:3" ht="18">
      <c r="B56" s="34" t="s">
        <v>117</v>
      </c>
      <c r="C56" s="34"/>
    </row>
    <row r="57" spans="2:3" ht="15.75">
      <c r="B57" s="85"/>
      <c r="C57" s="35"/>
    </row>
    <row r="58" spans="2:3" ht="15.75">
      <c r="B58" s="85" t="s">
        <v>118</v>
      </c>
      <c r="C58" s="35"/>
    </row>
    <row r="59" spans="2:3" ht="13.5">
      <c r="B59" s="37" t="s">
        <v>126</v>
      </c>
      <c r="C59" s="38"/>
    </row>
    <row r="60" spans="2:6" ht="13.5">
      <c r="B60" s="39" t="s">
        <v>120</v>
      </c>
      <c r="C60" s="39" t="s">
        <v>121</v>
      </c>
      <c r="D60" s="39" t="s">
        <v>122</v>
      </c>
      <c r="E60" s="39" t="s">
        <v>123</v>
      </c>
      <c r="F60" s="39" t="s">
        <v>935</v>
      </c>
    </row>
    <row r="61" spans="1:6" ht="12.75">
      <c r="A61" s="49">
        <v>1</v>
      </c>
      <c r="B61" s="135" t="s">
        <v>250</v>
      </c>
      <c r="C61" s="83" t="s">
        <v>127</v>
      </c>
      <c r="D61" s="83" t="s">
        <v>128</v>
      </c>
      <c r="E61" s="83" t="s">
        <v>354</v>
      </c>
      <c r="F61" s="48" t="s">
        <v>355</v>
      </c>
    </row>
    <row r="62" spans="1:6" ht="12.75">
      <c r="A62" s="49">
        <v>2</v>
      </c>
      <c r="B62" s="135" t="s">
        <v>140</v>
      </c>
      <c r="C62" s="83" t="s">
        <v>127</v>
      </c>
      <c r="D62" s="83" t="s">
        <v>125</v>
      </c>
      <c r="E62" s="83" t="s">
        <v>356</v>
      </c>
      <c r="F62" s="48" t="s">
        <v>357</v>
      </c>
    </row>
    <row r="63" spans="1:6" ht="12.75">
      <c r="A63" s="49">
        <v>3</v>
      </c>
      <c r="B63" s="135" t="s">
        <v>256</v>
      </c>
      <c r="C63" s="83" t="s">
        <v>127</v>
      </c>
      <c r="D63" s="83" t="s">
        <v>226</v>
      </c>
      <c r="E63" s="83" t="s">
        <v>358</v>
      </c>
      <c r="F63" s="48" t="s">
        <v>359</v>
      </c>
    </row>
    <row r="64" spans="2:6" ht="12.75">
      <c r="B64" s="135" t="s">
        <v>247</v>
      </c>
      <c r="C64" s="83" t="s">
        <v>127</v>
      </c>
      <c r="D64" s="83" t="s">
        <v>360</v>
      </c>
      <c r="E64" s="83" t="s">
        <v>361</v>
      </c>
      <c r="F64" s="48" t="s">
        <v>362</v>
      </c>
    </row>
    <row r="66" spans="2:3" ht="15.75">
      <c r="B66" s="85" t="s">
        <v>129</v>
      </c>
      <c r="C66" s="35"/>
    </row>
    <row r="67" spans="2:3" ht="13.5">
      <c r="B67" s="37" t="s">
        <v>119</v>
      </c>
      <c r="C67" s="38"/>
    </row>
    <row r="68" spans="2:6" ht="13.5">
      <c r="B68" s="39" t="s">
        <v>120</v>
      </c>
      <c r="C68" s="39" t="s">
        <v>121</v>
      </c>
      <c r="D68" s="39" t="s">
        <v>122</v>
      </c>
      <c r="E68" s="39" t="s">
        <v>123</v>
      </c>
      <c r="F68" s="39" t="s">
        <v>935</v>
      </c>
    </row>
    <row r="69" spans="1:6" ht="12.75">
      <c r="A69" s="49">
        <v>1</v>
      </c>
      <c r="B69" s="135" t="s">
        <v>335</v>
      </c>
      <c r="C69" s="83" t="s">
        <v>124</v>
      </c>
      <c r="D69" s="83" t="s">
        <v>233</v>
      </c>
      <c r="E69" s="83" t="s">
        <v>363</v>
      </c>
      <c r="F69" s="48" t="s">
        <v>364</v>
      </c>
    </row>
    <row r="70" spans="1:6" ht="12.75">
      <c r="A70" s="49">
        <v>2</v>
      </c>
      <c r="B70" s="135" t="s">
        <v>314</v>
      </c>
      <c r="C70" s="83" t="s">
        <v>124</v>
      </c>
      <c r="D70" s="83" t="s">
        <v>130</v>
      </c>
      <c r="E70" s="83" t="s">
        <v>365</v>
      </c>
      <c r="F70" s="48" t="s">
        <v>366</v>
      </c>
    </row>
    <row r="71" spans="1:6" ht="12.75">
      <c r="A71" s="49">
        <v>3</v>
      </c>
      <c r="B71" s="135" t="s">
        <v>340</v>
      </c>
      <c r="C71" s="83" t="s">
        <v>124</v>
      </c>
      <c r="D71" s="83" t="s">
        <v>233</v>
      </c>
      <c r="E71" s="83" t="s">
        <v>367</v>
      </c>
      <c r="F71" s="48" t="s">
        <v>368</v>
      </c>
    </row>
    <row r="72" spans="2:6" ht="12.75">
      <c r="B72" s="135" t="s">
        <v>319</v>
      </c>
      <c r="C72" s="83" t="s">
        <v>124</v>
      </c>
      <c r="D72" s="83" t="s">
        <v>130</v>
      </c>
      <c r="E72" s="83" t="s">
        <v>369</v>
      </c>
      <c r="F72" s="48" t="s">
        <v>370</v>
      </c>
    </row>
    <row r="73" spans="2:6" ht="12.75">
      <c r="B73" s="135" t="s">
        <v>324</v>
      </c>
      <c r="C73" s="83" t="s">
        <v>124</v>
      </c>
      <c r="D73" s="83" t="s">
        <v>130</v>
      </c>
      <c r="E73" s="83" t="s">
        <v>371</v>
      </c>
      <c r="F73" s="48" t="s">
        <v>372</v>
      </c>
    </row>
    <row r="74" spans="2:6" ht="12.75">
      <c r="B74" s="135" t="s">
        <v>298</v>
      </c>
      <c r="C74" s="83" t="s">
        <v>124</v>
      </c>
      <c r="D74" s="83" t="s">
        <v>240</v>
      </c>
      <c r="E74" s="83" t="s">
        <v>373</v>
      </c>
      <c r="F74" s="48" t="s">
        <v>374</v>
      </c>
    </row>
    <row r="75" spans="2:6" ht="12.75">
      <c r="B75" s="135" t="s">
        <v>301</v>
      </c>
      <c r="C75" s="83" t="s">
        <v>124</v>
      </c>
      <c r="D75" s="83" t="s">
        <v>240</v>
      </c>
      <c r="E75" s="83" t="s">
        <v>375</v>
      </c>
      <c r="F75" s="48" t="s">
        <v>376</v>
      </c>
    </row>
    <row r="77" spans="2:3" ht="13.5">
      <c r="B77" s="37" t="s">
        <v>126</v>
      </c>
      <c r="C77" s="38"/>
    </row>
    <row r="78" spans="2:6" ht="13.5">
      <c r="B78" s="39" t="s">
        <v>120</v>
      </c>
      <c r="C78" s="39" t="s">
        <v>121</v>
      </c>
      <c r="D78" s="39" t="s">
        <v>122</v>
      </c>
      <c r="E78" s="39" t="s">
        <v>123</v>
      </c>
      <c r="F78" s="39" t="s">
        <v>935</v>
      </c>
    </row>
    <row r="79" spans="1:6" ht="12.75">
      <c r="A79" s="49">
        <v>1</v>
      </c>
      <c r="B79" s="135" t="s">
        <v>279</v>
      </c>
      <c r="C79" s="83" t="s">
        <v>127</v>
      </c>
      <c r="D79" s="83" t="s">
        <v>133</v>
      </c>
      <c r="E79" s="83" t="s">
        <v>377</v>
      </c>
      <c r="F79" s="48" t="s">
        <v>378</v>
      </c>
    </row>
    <row r="80" spans="1:6" ht="12.75">
      <c r="A80" s="49">
        <v>2</v>
      </c>
      <c r="B80" s="135" t="s">
        <v>141</v>
      </c>
      <c r="C80" s="83" t="s">
        <v>127</v>
      </c>
      <c r="D80" s="83" t="s">
        <v>133</v>
      </c>
      <c r="E80" s="83" t="s">
        <v>379</v>
      </c>
      <c r="F80" s="48" t="s">
        <v>380</v>
      </c>
    </row>
    <row r="81" spans="1:6" ht="12.75">
      <c r="A81" s="49">
        <v>3</v>
      </c>
      <c r="B81" s="135" t="s">
        <v>288</v>
      </c>
      <c r="C81" s="83" t="s">
        <v>127</v>
      </c>
      <c r="D81" s="83" t="s">
        <v>133</v>
      </c>
      <c r="E81" s="83" t="s">
        <v>381</v>
      </c>
      <c r="F81" s="48" t="s">
        <v>382</v>
      </c>
    </row>
    <row r="82" spans="2:6" ht="12.75">
      <c r="B82" s="135" t="s">
        <v>349</v>
      </c>
      <c r="C82" s="83" t="s">
        <v>127</v>
      </c>
      <c r="D82" s="83" t="s">
        <v>383</v>
      </c>
      <c r="E82" s="83" t="s">
        <v>384</v>
      </c>
      <c r="F82" s="48" t="s">
        <v>385</v>
      </c>
    </row>
    <row r="83" spans="2:6" ht="12.75">
      <c r="B83" s="135" t="s">
        <v>304</v>
      </c>
      <c r="C83" s="83" t="s">
        <v>127</v>
      </c>
      <c r="D83" s="83" t="s">
        <v>240</v>
      </c>
      <c r="E83" s="83" t="s">
        <v>386</v>
      </c>
      <c r="F83" s="48" t="s">
        <v>387</v>
      </c>
    </row>
    <row r="84" spans="2:6" ht="12.75">
      <c r="B84" s="135" t="s">
        <v>267</v>
      </c>
      <c r="C84" s="83" t="s">
        <v>127</v>
      </c>
      <c r="D84" s="83" t="s">
        <v>226</v>
      </c>
      <c r="E84" s="83" t="s">
        <v>388</v>
      </c>
      <c r="F84" s="48" t="s">
        <v>389</v>
      </c>
    </row>
    <row r="85" spans="2:6" ht="12.75">
      <c r="B85" s="135" t="s">
        <v>308</v>
      </c>
      <c r="C85" s="83" t="s">
        <v>127</v>
      </c>
      <c r="D85" s="83" t="s">
        <v>240</v>
      </c>
      <c r="E85" s="83" t="s">
        <v>381</v>
      </c>
      <c r="F85" s="48" t="s">
        <v>390</v>
      </c>
    </row>
    <row r="86" spans="2:6" ht="12.75">
      <c r="B86" s="135" t="s">
        <v>293</v>
      </c>
      <c r="C86" s="83" t="s">
        <v>127</v>
      </c>
      <c r="D86" s="83" t="s">
        <v>133</v>
      </c>
      <c r="E86" s="83" t="s">
        <v>391</v>
      </c>
      <c r="F86" s="48" t="s">
        <v>392</v>
      </c>
    </row>
    <row r="87" spans="2:6" ht="12.75">
      <c r="B87" s="135" t="s">
        <v>328</v>
      </c>
      <c r="C87" s="83" t="s">
        <v>127</v>
      </c>
      <c r="D87" s="83" t="s">
        <v>130</v>
      </c>
      <c r="E87" s="83" t="s">
        <v>393</v>
      </c>
      <c r="F87" s="48" t="s">
        <v>394</v>
      </c>
    </row>
  </sheetData>
  <sheetProtection/>
  <mergeCells count="25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B8:U8"/>
    <mergeCell ref="B11:U11"/>
    <mergeCell ref="B41:U41"/>
    <mergeCell ref="B48:U48"/>
    <mergeCell ref="B53:U53"/>
    <mergeCell ref="B14:U14"/>
    <mergeCell ref="B17:U17"/>
    <mergeCell ref="B21:U21"/>
    <mergeCell ref="B25:U25"/>
    <mergeCell ref="B28:U28"/>
    <mergeCell ref="B34:U34"/>
  </mergeCells>
  <printOptions/>
  <pageMargins left="0.7" right="0.7" top="0.75" bottom="0.75" header="0.3" footer="0.3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A25">
      <selection activeCell="R53" sqref="R53"/>
    </sheetView>
  </sheetViews>
  <sheetFormatPr defaultColWidth="8.75390625" defaultRowHeight="12.75"/>
  <cols>
    <col min="1" max="1" width="5.875" style="49" customWidth="1"/>
    <col min="2" max="2" width="26.375" style="25" customWidth="1"/>
    <col min="3" max="3" width="27.25390625" style="25" customWidth="1"/>
    <col min="4" max="4" width="10.875" style="25" customWidth="1"/>
    <col min="5" max="5" width="9.25390625" style="25" customWidth="1"/>
    <col min="6" max="6" width="11.00390625" style="25" customWidth="1"/>
    <col min="7" max="7" width="28.875" style="25" customWidth="1"/>
    <col min="8" max="10" width="5.625" style="25" bestFit="1" customWidth="1"/>
    <col min="11" max="11" width="4.625" style="25" bestFit="1" customWidth="1"/>
    <col min="12" max="14" width="5.625" style="25" bestFit="1" customWidth="1"/>
    <col min="15" max="15" width="4.625" style="25" bestFit="1" customWidth="1"/>
    <col min="16" max="18" width="5.625" style="25" bestFit="1" customWidth="1"/>
    <col min="19" max="19" width="4.625" style="25" bestFit="1" customWidth="1"/>
    <col min="20" max="20" width="7.875" style="48" bestFit="1" customWidth="1"/>
    <col min="21" max="21" width="9.625" style="25" customWidth="1"/>
    <col min="22" max="22" width="18.875" style="25" customWidth="1"/>
  </cols>
  <sheetData>
    <row r="1" spans="1:22" s="1" customFormat="1" ht="15" customHeight="1">
      <c r="A1" s="43"/>
      <c r="B1" s="157" t="s">
        <v>950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1:22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935</v>
      </c>
      <c r="V3" s="153" t="s">
        <v>5</v>
      </c>
    </row>
    <row r="4" spans="2:22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3">
        <v>1</v>
      </c>
      <c r="Q4" s="3">
        <v>2</v>
      </c>
      <c r="R4" s="3">
        <v>3</v>
      </c>
      <c r="S4" s="3" t="s">
        <v>7</v>
      </c>
      <c r="T4" s="152"/>
      <c r="U4" s="152"/>
      <c r="V4" s="154"/>
    </row>
    <row r="5" spans="2:21" ht="15.75">
      <c r="B5" s="155" t="s">
        <v>142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</row>
    <row r="6" spans="1:22" ht="12.75">
      <c r="A6" s="49">
        <v>1</v>
      </c>
      <c r="B6" s="26" t="s">
        <v>143</v>
      </c>
      <c r="C6" s="26" t="s">
        <v>144</v>
      </c>
      <c r="D6" s="26" t="s">
        <v>145</v>
      </c>
      <c r="E6" s="26" t="str">
        <f>"2,3214"</f>
        <v>2,3214</v>
      </c>
      <c r="F6" s="26" t="s">
        <v>12</v>
      </c>
      <c r="G6" s="16" t="s">
        <v>944</v>
      </c>
      <c r="H6" s="77" t="s">
        <v>28</v>
      </c>
      <c r="I6" s="77" t="s">
        <v>30</v>
      </c>
      <c r="J6" s="50" t="s">
        <v>146</v>
      </c>
      <c r="K6" s="27"/>
      <c r="L6" s="77" t="s">
        <v>147</v>
      </c>
      <c r="M6" s="50" t="s">
        <v>148</v>
      </c>
      <c r="N6" s="50" t="s">
        <v>148</v>
      </c>
      <c r="O6" s="27"/>
      <c r="P6" s="50" t="s">
        <v>15</v>
      </c>
      <c r="Q6" s="77" t="s">
        <v>15</v>
      </c>
      <c r="R6" s="50" t="s">
        <v>149</v>
      </c>
      <c r="S6" s="27"/>
      <c r="T6" s="64">
        <v>207.5</v>
      </c>
      <c r="U6" s="26" t="str">
        <f>"536,1215"</f>
        <v>536,1215</v>
      </c>
      <c r="V6" s="26" t="s">
        <v>952</v>
      </c>
    </row>
    <row r="8" spans="2:21" ht="15.75">
      <c r="B8" s="156" t="s">
        <v>8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</row>
    <row r="9" spans="1:22" ht="12.75">
      <c r="A9" s="49">
        <v>1</v>
      </c>
      <c r="B9" s="26" t="s">
        <v>956</v>
      </c>
      <c r="C9" s="26" t="s">
        <v>150</v>
      </c>
      <c r="D9" s="26" t="s">
        <v>151</v>
      </c>
      <c r="E9" s="26" t="str">
        <f>"1,7878"</f>
        <v>1,7878</v>
      </c>
      <c r="F9" s="26" t="s">
        <v>12</v>
      </c>
      <c r="G9" s="16" t="s">
        <v>944</v>
      </c>
      <c r="H9" s="77" t="s">
        <v>152</v>
      </c>
      <c r="I9" s="77" t="s">
        <v>153</v>
      </c>
      <c r="J9" s="77" t="s">
        <v>154</v>
      </c>
      <c r="K9" s="27"/>
      <c r="L9" s="50" t="s">
        <v>16</v>
      </c>
      <c r="M9" s="77" t="s">
        <v>17</v>
      </c>
      <c r="N9" s="50" t="s">
        <v>28</v>
      </c>
      <c r="O9" s="27"/>
      <c r="P9" s="77" t="s">
        <v>15</v>
      </c>
      <c r="Q9" s="77" t="s">
        <v>154</v>
      </c>
      <c r="R9" s="50" t="s">
        <v>155</v>
      </c>
      <c r="S9" s="27"/>
      <c r="T9" s="66">
        <v>285</v>
      </c>
      <c r="U9" s="26" t="str">
        <f>"509,5230"</f>
        <v>509,5230</v>
      </c>
      <c r="V9" s="26" t="s">
        <v>951</v>
      </c>
    </row>
    <row r="11" spans="2:21" ht="15.75">
      <c r="B11" s="156" t="s">
        <v>156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2" ht="12.75">
      <c r="A12" s="49">
        <v>1</v>
      </c>
      <c r="B12" s="28" t="s">
        <v>957</v>
      </c>
      <c r="C12" s="28" t="s">
        <v>157</v>
      </c>
      <c r="D12" s="28" t="s">
        <v>158</v>
      </c>
      <c r="E12" s="28" t="str">
        <f>"1,6736"</f>
        <v>1,6736</v>
      </c>
      <c r="F12" s="28" t="s">
        <v>12</v>
      </c>
      <c r="G12" s="8" t="s">
        <v>944</v>
      </c>
      <c r="H12" s="78" t="s">
        <v>159</v>
      </c>
      <c r="I12" s="78" t="s">
        <v>160</v>
      </c>
      <c r="J12" s="78" t="s">
        <v>161</v>
      </c>
      <c r="K12" s="29"/>
      <c r="L12" s="78" t="s">
        <v>148</v>
      </c>
      <c r="M12" s="53" t="s">
        <v>16</v>
      </c>
      <c r="N12" s="78" t="s">
        <v>16</v>
      </c>
      <c r="O12" s="29"/>
      <c r="P12" s="78" t="s">
        <v>27</v>
      </c>
      <c r="Q12" s="78" t="s">
        <v>40</v>
      </c>
      <c r="R12" s="78" t="s">
        <v>13</v>
      </c>
      <c r="S12" s="29"/>
      <c r="T12" s="65">
        <v>222.5</v>
      </c>
      <c r="U12" s="28" t="str">
        <f>"372,3760"</f>
        <v>372,3760</v>
      </c>
      <c r="V12" s="28" t="s">
        <v>941</v>
      </c>
    </row>
    <row r="13" spans="1:22" ht="12.75">
      <c r="A13" s="49">
        <v>1</v>
      </c>
      <c r="B13" s="26" t="s">
        <v>162</v>
      </c>
      <c r="C13" s="26" t="s">
        <v>163</v>
      </c>
      <c r="D13" s="26" t="s">
        <v>164</v>
      </c>
      <c r="E13" s="26" t="str">
        <f>"1,6454"</f>
        <v>1,6454</v>
      </c>
      <c r="F13" s="26" t="s">
        <v>12</v>
      </c>
      <c r="G13" s="8" t="s">
        <v>944</v>
      </c>
      <c r="H13" s="77" t="s">
        <v>154</v>
      </c>
      <c r="I13" s="50" t="s">
        <v>165</v>
      </c>
      <c r="J13" s="77" t="s">
        <v>165</v>
      </c>
      <c r="K13" s="27"/>
      <c r="L13" s="50" t="s">
        <v>29</v>
      </c>
      <c r="M13" s="77" t="s">
        <v>29</v>
      </c>
      <c r="N13" s="50" t="s">
        <v>159</v>
      </c>
      <c r="O13" s="27"/>
      <c r="P13" s="77" t="s">
        <v>33</v>
      </c>
      <c r="Q13" s="77" t="s">
        <v>166</v>
      </c>
      <c r="R13" s="50" t="s">
        <v>20</v>
      </c>
      <c r="S13" s="27"/>
      <c r="T13" s="66">
        <v>337.5</v>
      </c>
      <c r="U13" s="26" t="str">
        <f>"555,3225"</f>
        <v>555,3225</v>
      </c>
      <c r="V13" s="26" t="s">
        <v>966</v>
      </c>
    </row>
    <row r="14" spans="1:22" ht="12.75">
      <c r="A14" s="49">
        <v>1</v>
      </c>
      <c r="B14" s="26" t="s">
        <v>958</v>
      </c>
      <c r="C14" s="26" t="s">
        <v>167</v>
      </c>
      <c r="D14" s="26" t="s">
        <v>168</v>
      </c>
      <c r="E14" s="26" t="str">
        <f>"1,6570"</f>
        <v>1,6570</v>
      </c>
      <c r="F14" s="26" t="s">
        <v>12</v>
      </c>
      <c r="G14" s="8" t="s">
        <v>944</v>
      </c>
      <c r="H14" s="77" t="s">
        <v>154</v>
      </c>
      <c r="I14" s="77" t="s">
        <v>31</v>
      </c>
      <c r="J14" s="77" t="s">
        <v>165</v>
      </c>
      <c r="K14" s="27"/>
      <c r="L14" s="77" t="s">
        <v>159</v>
      </c>
      <c r="M14" s="77" t="s">
        <v>146</v>
      </c>
      <c r="N14" s="50" t="s">
        <v>160</v>
      </c>
      <c r="O14" s="27"/>
      <c r="P14" s="77" t="s">
        <v>33</v>
      </c>
      <c r="Q14" s="77" t="s">
        <v>42</v>
      </c>
      <c r="R14" s="77" t="s">
        <v>166</v>
      </c>
      <c r="S14" s="27"/>
      <c r="T14" s="66">
        <v>347.5</v>
      </c>
      <c r="U14" s="26" t="str">
        <f>"575,8075"</f>
        <v>575,8075</v>
      </c>
      <c r="V14" s="26" t="s">
        <v>953</v>
      </c>
    </row>
    <row r="15" spans="1:22" ht="12.75">
      <c r="A15" s="49">
        <v>2</v>
      </c>
      <c r="B15" s="32" t="s">
        <v>162</v>
      </c>
      <c r="C15" s="32" t="s">
        <v>169</v>
      </c>
      <c r="D15" s="32" t="s">
        <v>164</v>
      </c>
      <c r="E15" s="32" t="str">
        <f>"1,6454"</f>
        <v>1,6454</v>
      </c>
      <c r="F15" s="32" t="s">
        <v>12</v>
      </c>
      <c r="G15" s="16" t="s">
        <v>944</v>
      </c>
      <c r="H15" s="79" t="s">
        <v>154</v>
      </c>
      <c r="I15" s="52" t="s">
        <v>165</v>
      </c>
      <c r="J15" s="79" t="s">
        <v>165</v>
      </c>
      <c r="K15" s="33"/>
      <c r="L15" s="52" t="s">
        <v>29</v>
      </c>
      <c r="M15" s="79" t="s">
        <v>29</v>
      </c>
      <c r="N15" s="52" t="s">
        <v>159</v>
      </c>
      <c r="O15" s="33"/>
      <c r="P15" s="79" t="s">
        <v>33</v>
      </c>
      <c r="Q15" s="79" t="s">
        <v>166</v>
      </c>
      <c r="R15" s="52" t="s">
        <v>20</v>
      </c>
      <c r="S15" s="33"/>
      <c r="T15" s="67">
        <v>337.5</v>
      </c>
      <c r="U15" s="32" t="str">
        <f>"555,3225"</f>
        <v>555,3225</v>
      </c>
      <c r="V15" s="26" t="s">
        <v>966</v>
      </c>
    </row>
    <row r="17" spans="2:21" ht="15.75">
      <c r="B17" s="156" t="s">
        <v>35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</row>
    <row r="18" spans="1:22" ht="12.75">
      <c r="A18" s="49">
        <v>1</v>
      </c>
      <c r="B18" s="28" t="s">
        <v>170</v>
      </c>
      <c r="C18" s="28" t="s">
        <v>171</v>
      </c>
      <c r="D18" s="28" t="s">
        <v>172</v>
      </c>
      <c r="E18" s="28" t="str">
        <f>"1,6230"</f>
        <v>1,6230</v>
      </c>
      <c r="F18" s="28" t="s">
        <v>12</v>
      </c>
      <c r="G18" s="8" t="s">
        <v>944</v>
      </c>
      <c r="H18" s="78" t="s">
        <v>15</v>
      </c>
      <c r="I18" s="78" t="s">
        <v>15</v>
      </c>
      <c r="J18" s="53" t="s">
        <v>153</v>
      </c>
      <c r="K18" s="29"/>
      <c r="L18" s="78" t="s">
        <v>28</v>
      </c>
      <c r="M18" s="78" t="s">
        <v>28</v>
      </c>
      <c r="N18" s="53" t="s">
        <v>29</v>
      </c>
      <c r="O18" s="29"/>
      <c r="P18" s="78" t="s">
        <v>31</v>
      </c>
      <c r="Q18" s="78" t="s">
        <v>165</v>
      </c>
      <c r="R18" s="53" t="s">
        <v>173</v>
      </c>
      <c r="S18" s="29"/>
      <c r="T18" s="65">
        <v>285</v>
      </c>
      <c r="U18" s="28" t="str">
        <f>"462,5550"</f>
        <v>462,5550</v>
      </c>
      <c r="V18" s="28" t="s">
        <v>965</v>
      </c>
    </row>
    <row r="19" spans="1:22" ht="12.75">
      <c r="A19" s="49">
        <v>1</v>
      </c>
      <c r="B19" s="26" t="s">
        <v>170</v>
      </c>
      <c r="C19" s="26" t="s">
        <v>174</v>
      </c>
      <c r="D19" s="26" t="s">
        <v>172</v>
      </c>
      <c r="E19" s="26" t="str">
        <f>"1,6230"</f>
        <v>1,6230</v>
      </c>
      <c r="F19" s="26" t="s">
        <v>12</v>
      </c>
      <c r="G19" s="16" t="s">
        <v>944</v>
      </c>
      <c r="H19" s="77" t="s">
        <v>15</v>
      </c>
      <c r="I19" s="27"/>
      <c r="J19" s="27"/>
      <c r="K19" s="27"/>
      <c r="L19" s="77" t="s">
        <v>28</v>
      </c>
      <c r="M19" s="27"/>
      <c r="N19" s="27"/>
      <c r="O19" s="27"/>
      <c r="P19" s="77" t="s">
        <v>165</v>
      </c>
      <c r="Q19" s="27"/>
      <c r="R19" s="27"/>
      <c r="S19" s="27"/>
      <c r="T19" s="66">
        <v>285</v>
      </c>
      <c r="U19" s="26" t="str">
        <f>"462,5550"</f>
        <v>462,5550</v>
      </c>
      <c r="V19" s="26" t="s">
        <v>965</v>
      </c>
    </row>
    <row r="21" spans="2:21" ht="15.75">
      <c r="B21" s="156" t="s">
        <v>1088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2:22" ht="12.75">
      <c r="B22" s="26" t="s">
        <v>176</v>
      </c>
      <c r="C22" s="26" t="s">
        <v>177</v>
      </c>
      <c r="D22" s="26" t="s">
        <v>178</v>
      </c>
      <c r="E22" s="26" t="str">
        <f>"1,3362"</f>
        <v>1,3362</v>
      </c>
      <c r="F22" s="26" t="s">
        <v>12</v>
      </c>
      <c r="G22" s="16" t="s">
        <v>944</v>
      </c>
      <c r="H22" s="50" t="s">
        <v>51</v>
      </c>
      <c r="I22" s="50" t="s">
        <v>51</v>
      </c>
      <c r="J22" s="50" t="s">
        <v>51</v>
      </c>
      <c r="K22" s="27"/>
      <c r="L22" s="50" t="s">
        <v>29</v>
      </c>
      <c r="M22" s="27"/>
      <c r="N22" s="27"/>
      <c r="O22" s="27"/>
      <c r="P22" s="50" t="s">
        <v>33</v>
      </c>
      <c r="Q22" s="27"/>
      <c r="R22" s="27"/>
      <c r="S22" s="27"/>
      <c r="T22" s="68">
        <v>0</v>
      </c>
      <c r="U22" s="26" t="str">
        <f>"0,0000"</f>
        <v>0,0000</v>
      </c>
      <c r="V22" s="26" t="s">
        <v>72</v>
      </c>
    </row>
    <row r="24" spans="2:21" ht="15.75">
      <c r="B24" s="156" t="s">
        <v>156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2" ht="12.75">
      <c r="A25" s="49">
        <v>1</v>
      </c>
      <c r="B25" s="26" t="s">
        <v>179</v>
      </c>
      <c r="C25" s="26" t="s">
        <v>180</v>
      </c>
      <c r="D25" s="26" t="s">
        <v>181</v>
      </c>
      <c r="E25" s="26" t="str">
        <f>"1,2790"</f>
        <v>1,2790</v>
      </c>
      <c r="F25" s="26" t="s">
        <v>12</v>
      </c>
      <c r="G25" s="26" t="s">
        <v>182</v>
      </c>
      <c r="H25" s="77" t="s">
        <v>42</v>
      </c>
      <c r="I25" s="77" t="s">
        <v>39</v>
      </c>
      <c r="J25" s="77" t="s">
        <v>43</v>
      </c>
      <c r="K25" s="27"/>
      <c r="L25" s="50" t="s">
        <v>15</v>
      </c>
      <c r="M25" s="77" t="s">
        <v>15</v>
      </c>
      <c r="N25" s="77" t="s">
        <v>153</v>
      </c>
      <c r="O25" s="27"/>
      <c r="P25" s="77" t="s">
        <v>67</v>
      </c>
      <c r="Q25" s="77" t="s">
        <v>112</v>
      </c>
      <c r="R25" s="50" t="s">
        <v>59</v>
      </c>
      <c r="S25" s="27"/>
      <c r="T25" s="66">
        <v>455</v>
      </c>
      <c r="U25" s="26" t="str">
        <f>"581,9450"</f>
        <v>581,9450</v>
      </c>
      <c r="V25" s="26" t="s">
        <v>72</v>
      </c>
    </row>
    <row r="27" spans="2:21" ht="15.75">
      <c r="B27" s="156" t="s">
        <v>35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</row>
    <row r="28" spans="1:22" ht="12.75">
      <c r="A28" s="49">
        <v>1</v>
      </c>
      <c r="B28" s="28" t="s">
        <v>963</v>
      </c>
      <c r="C28" s="28" t="s">
        <v>183</v>
      </c>
      <c r="D28" s="28" t="s">
        <v>184</v>
      </c>
      <c r="E28" s="28" t="str">
        <f>"1,1692"</f>
        <v>1,1692</v>
      </c>
      <c r="F28" s="28" t="s">
        <v>12</v>
      </c>
      <c r="G28" s="8" t="s">
        <v>944</v>
      </c>
      <c r="H28" s="78" t="s">
        <v>42</v>
      </c>
      <c r="I28" s="78" t="s">
        <v>19</v>
      </c>
      <c r="J28" s="53" t="s">
        <v>39</v>
      </c>
      <c r="K28" s="29"/>
      <c r="L28" s="78" t="s">
        <v>15</v>
      </c>
      <c r="M28" s="78" t="s">
        <v>149</v>
      </c>
      <c r="N28" s="53" t="s">
        <v>31</v>
      </c>
      <c r="O28" s="29"/>
      <c r="P28" s="78" t="s">
        <v>67</v>
      </c>
      <c r="Q28" s="53" t="s">
        <v>185</v>
      </c>
      <c r="R28" s="53" t="s">
        <v>185</v>
      </c>
      <c r="S28" s="29"/>
      <c r="T28" s="65">
        <v>435</v>
      </c>
      <c r="U28" s="28" t="str">
        <f>"508,6020"</f>
        <v>508,6020</v>
      </c>
      <c r="V28" s="28" t="s">
        <v>952</v>
      </c>
    </row>
    <row r="29" spans="2:22" ht="12.75">
      <c r="B29" s="26" t="s">
        <v>186</v>
      </c>
      <c r="C29" s="26" t="s">
        <v>187</v>
      </c>
      <c r="D29" s="26" t="s">
        <v>188</v>
      </c>
      <c r="E29" s="26" t="str">
        <f>"1,1676"</f>
        <v>1,1676</v>
      </c>
      <c r="F29" s="26" t="s">
        <v>12</v>
      </c>
      <c r="G29" s="16" t="s">
        <v>944</v>
      </c>
      <c r="H29" s="50" t="s">
        <v>42</v>
      </c>
      <c r="I29" s="77" t="s">
        <v>42</v>
      </c>
      <c r="J29" s="50" t="s">
        <v>39</v>
      </c>
      <c r="K29" s="27"/>
      <c r="L29" s="50" t="s">
        <v>154</v>
      </c>
      <c r="M29" s="77" t="s">
        <v>154</v>
      </c>
      <c r="N29" s="77" t="s">
        <v>189</v>
      </c>
      <c r="O29" s="27"/>
      <c r="P29" s="50" t="s">
        <v>68</v>
      </c>
      <c r="Q29" s="50" t="s">
        <v>68</v>
      </c>
      <c r="R29" s="50" t="s">
        <v>68</v>
      </c>
      <c r="S29" s="27"/>
      <c r="T29" s="68">
        <v>0</v>
      </c>
      <c r="U29" s="26" t="str">
        <f>"0,0000"</f>
        <v>0,0000</v>
      </c>
      <c r="V29" s="26" t="s">
        <v>72</v>
      </c>
    </row>
    <row r="31" spans="2:21" ht="15.75">
      <c r="B31" s="156" t="s">
        <v>54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2:22" ht="12.75">
      <c r="B32" s="26" t="s">
        <v>190</v>
      </c>
      <c r="C32" s="26" t="s">
        <v>191</v>
      </c>
      <c r="D32" s="26" t="s">
        <v>192</v>
      </c>
      <c r="E32" s="26" t="str">
        <f>"1,0372"</f>
        <v>1,0372</v>
      </c>
      <c r="F32" s="26" t="s">
        <v>12</v>
      </c>
      <c r="G32" s="26" t="s">
        <v>193</v>
      </c>
      <c r="H32" s="50" t="s">
        <v>194</v>
      </c>
      <c r="I32" s="27"/>
      <c r="J32" s="27"/>
      <c r="K32" s="27"/>
      <c r="L32" s="50" t="s">
        <v>43</v>
      </c>
      <c r="M32" s="27"/>
      <c r="N32" s="27"/>
      <c r="O32" s="27"/>
      <c r="P32" s="50" t="s">
        <v>59</v>
      </c>
      <c r="Q32" s="27"/>
      <c r="R32" s="27"/>
      <c r="S32" s="27"/>
      <c r="T32" s="68">
        <v>0</v>
      </c>
      <c r="U32" s="26" t="str">
        <f>"0,0000"</f>
        <v>0,0000</v>
      </c>
      <c r="V32" s="26" t="s">
        <v>72</v>
      </c>
    </row>
    <row r="34" spans="2:21" ht="15.75">
      <c r="B34" s="156" t="s">
        <v>62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</row>
    <row r="35" spans="1:22" ht="12.75">
      <c r="A35" s="49">
        <v>1</v>
      </c>
      <c r="B35" s="28" t="s">
        <v>960</v>
      </c>
      <c r="C35" s="28" t="s">
        <v>196</v>
      </c>
      <c r="D35" s="28" t="s">
        <v>197</v>
      </c>
      <c r="E35" s="28" t="str">
        <f>"0,9806"</f>
        <v>0,9806</v>
      </c>
      <c r="F35" s="28" t="s">
        <v>12</v>
      </c>
      <c r="G35" s="28" t="s">
        <v>198</v>
      </c>
      <c r="H35" s="78" t="s">
        <v>111</v>
      </c>
      <c r="I35" s="78" t="s">
        <v>59</v>
      </c>
      <c r="J35" s="78" t="s">
        <v>199</v>
      </c>
      <c r="K35" s="29"/>
      <c r="L35" s="78" t="s">
        <v>19</v>
      </c>
      <c r="M35" s="78" t="s">
        <v>43</v>
      </c>
      <c r="N35" s="53" t="s">
        <v>44</v>
      </c>
      <c r="O35" s="29"/>
      <c r="P35" s="78" t="s">
        <v>99</v>
      </c>
      <c r="Q35" s="78" t="s">
        <v>70</v>
      </c>
      <c r="R35" s="53" t="s">
        <v>200</v>
      </c>
      <c r="S35" s="29"/>
      <c r="T35" s="65">
        <v>600</v>
      </c>
      <c r="U35" s="28" t="str">
        <f>"588,3600"</f>
        <v>588,3600</v>
      </c>
      <c r="V35" s="28" t="s">
        <v>967</v>
      </c>
    </row>
    <row r="36" spans="1:22" ht="12.75">
      <c r="A36" s="49">
        <v>2</v>
      </c>
      <c r="B36" s="26" t="s">
        <v>959</v>
      </c>
      <c r="C36" s="26" t="s">
        <v>201</v>
      </c>
      <c r="D36" s="26" t="s">
        <v>202</v>
      </c>
      <c r="E36" s="26" t="str">
        <f>"0,9694"</f>
        <v>0,9694</v>
      </c>
      <c r="F36" s="26" t="s">
        <v>12</v>
      </c>
      <c r="G36" s="8" t="s">
        <v>944</v>
      </c>
      <c r="H36" s="77" t="s">
        <v>68</v>
      </c>
      <c r="I36" s="77" t="s">
        <v>112</v>
      </c>
      <c r="J36" s="77" t="s">
        <v>185</v>
      </c>
      <c r="K36" s="27"/>
      <c r="L36" s="77" t="s">
        <v>173</v>
      </c>
      <c r="M36" s="77" t="s">
        <v>33</v>
      </c>
      <c r="N36" s="77" t="s">
        <v>203</v>
      </c>
      <c r="O36" s="27"/>
      <c r="P36" s="77" t="s">
        <v>99</v>
      </c>
      <c r="Q36" s="50" t="s">
        <v>70</v>
      </c>
      <c r="R36" s="50" t="s">
        <v>70</v>
      </c>
      <c r="S36" s="27"/>
      <c r="T36" s="66">
        <v>575</v>
      </c>
      <c r="U36" s="26" t="str">
        <f>"557,4050"</f>
        <v>557,4050</v>
      </c>
      <c r="V36" s="26" t="s">
        <v>72</v>
      </c>
    </row>
    <row r="37" spans="1:22" ht="12.75">
      <c r="A37" s="49">
        <v>3</v>
      </c>
      <c r="B37" s="32" t="s">
        <v>961</v>
      </c>
      <c r="C37" s="32" t="s">
        <v>204</v>
      </c>
      <c r="D37" s="32" t="s">
        <v>205</v>
      </c>
      <c r="E37" s="32" t="str">
        <f>"0,9870"</f>
        <v>0,9870</v>
      </c>
      <c r="F37" s="32" t="s">
        <v>12</v>
      </c>
      <c r="G37" s="16" t="s">
        <v>944</v>
      </c>
      <c r="H37" s="79" t="s">
        <v>39</v>
      </c>
      <c r="I37" s="52" t="s">
        <v>44</v>
      </c>
      <c r="J37" s="79" t="s">
        <v>44</v>
      </c>
      <c r="K37" s="33"/>
      <c r="L37" s="52" t="s">
        <v>15</v>
      </c>
      <c r="M37" s="79" t="s">
        <v>153</v>
      </c>
      <c r="N37" s="79" t="s">
        <v>149</v>
      </c>
      <c r="O37" s="33"/>
      <c r="P37" s="79" t="s">
        <v>67</v>
      </c>
      <c r="Q37" s="79" t="s">
        <v>112</v>
      </c>
      <c r="R37" s="79" t="s">
        <v>199</v>
      </c>
      <c r="S37" s="33"/>
      <c r="T37" s="67">
        <v>475</v>
      </c>
      <c r="U37" s="32" t="str">
        <f>"468,8250"</f>
        <v>468,8250</v>
      </c>
      <c r="V37" s="32" t="s">
        <v>954</v>
      </c>
    </row>
    <row r="39" spans="2:21" ht="15.75">
      <c r="B39" s="156" t="s">
        <v>206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</row>
    <row r="40" spans="1:22" ht="12.75">
      <c r="A40" s="49">
        <v>1</v>
      </c>
      <c r="B40" s="28" t="s">
        <v>962</v>
      </c>
      <c r="C40" s="28" t="s">
        <v>207</v>
      </c>
      <c r="D40" s="28" t="s">
        <v>208</v>
      </c>
      <c r="E40" s="28" t="str">
        <f>"0,9354"</f>
        <v>0,9354</v>
      </c>
      <c r="F40" s="28" t="s">
        <v>12</v>
      </c>
      <c r="G40" s="8" t="s">
        <v>944</v>
      </c>
      <c r="H40" s="78" t="s">
        <v>68</v>
      </c>
      <c r="I40" s="78" t="s">
        <v>59</v>
      </c>
      <c r="J40" s="78" t="s">
        <v>199</v>
      </c>
      <c r="K40" s="29"/>
      <c r="L40" s="78" t="s">
        <v>173</v>
      </c>
      <c r="M40" s="53" t="s">
        <v>33</v>
      </c>
      <c r="N40" s="53" t="s">
        <v>33</v>
      </c>
      <c r="O40" s="29"/>
      <c r="P40" s="78" t="s">
        <v>194</v>
      </c>
      <c r="Q40" s="78" t="s">
        <v>98</v>
      </c>
      <c r="R40" s="78" t="s">
        <v>99</v>
      </c>
      <c r="S40" s="29"/>
      <c r="T40" s="65">
        <v>565</v>
      </c>
      <c r="U40" s="28" t="str">
        <f>"528,5010"</f>
        <v>528,5010</v>
      </c>
      <c r="V40" s="26" t="s">
        <v>954</v>
      </c>
    </row>
    <row r="41" spans="1:22" ht="12.75">
      <c r="A41" s="49">
        <v>2</v>
      </c>
      <c r="B41" s="26" t="s">
        <v>964</v>
      </c>
      <c r="C41" s="26" t="s">
        <v>209</v>
      </c>
      <c r="D41" s="26" t="s">
        <v>210</v>
      </c>
      <c r="E41" s="26" t="str">
        <f>"0,9398"</f>
        <v>0,9398</v>
      </c>
      <c r="F41" s="26" t="s">
        <v>12</v>
      </c>
      <c r="G41" s="26" t="s">
        <v>211</v>
      </c>
      <c r="H41" s="77" t="s">
        <v>111</v>
      </c>
      <c r="I41" s="77" t="s">
        <v>112</v>
      </c>
      <c r="J41" s="50" t="s">
        <v>59</v>
      </c>
      <c r="K41" s="27"/>
      <c r="L41" s="77" t="s">
        <v>33</v>
      </c>
      <c r="M41" s="77" t="s">
        <v>42</v>
      </c>
      <c r="N41" s="77" t="s">
        <v>203</v>
      </c>
      <c r="O41" s="27"/>
      <c r="P41" s="77" t="s">
        <v>212</v>
      </c>
      <c r="Q41" s="77" t="s">
        <v>98</v>
      </c>
      <c r="R41" s="77" t="s">
        <v>69</v>
      </c>
      <c r="S41" s="27"/>
      <c r="T41" s="66">
        <v>562.5</v>
      </c>
      <c r="U41" s="26" t="str">
        <f>"528,6375"</f>
        <v>528,6375</v>
      </c>
      <c r="V41" s="26" t="s">
        <v>955</v>
      </c>
    </row>
    <row r="43" spans="2:21" ht="15.75">
      <c r="B43" s="156" t="s">
        <v>82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</row>
    <row r="44" spans="1:22" ht="12.75">
      <c r="A44" s="49">
        <v>1</v>
      </c>
      <c r="B44" s="26" t="s">
        <v>213</v>
      </c>
      <c r="C44" s="26" t="s">
        <v>214</v>
      </c>
      <c r="D44" s="26" t="s">
        <v>215</v>
      </c>
      <c r="E44" s="26" t="str">
        <f>"0,8890"</f>
        <v>0,8890</v>
      </c>
      <c r="F44" s="26" t="s">
        <v>12</v>
      </c>
      <c r="G44" s="16" t="s">
        <v>944</v>
      </c>
      <c r="H44" s="77" t="s">
        <v>216</v>
      </c>
      <c r="I44" s="77" t="s">
        <v>217</v>
      </c>
      <c r="J44" s="77" t="s">
        <v>218</v>
      </c>
      <c r="K44" s="27"/>
      <c r="L44" s="77" t="s">
        <v>111</v>
      </c>
      <c r="M44" s="77" t="s">
        <v>112</v>
      </c>
      <c r="N44" s="50" t="s">
        <v>219</v>
      </c>
      <c r="O44" s="54"/>
      <c r="P44" s="77" t="s">
        <v>218</v>
      </c>
      <c r="Q44" s="77" t="s">
        <v>220</v>
      </c>
      <c r="R44" s="50" t="s">
        <v>221</v>
      </c>
      <c r="S44" s="27"/>
      <c r="T44" s="66">
        <v>740</v>
      </c>
      <c r="U44" s="26" t="str">
        <f>"657,8600"</f>
        <v>657,8600</v>
      </c>
      <c r="V44" s="26" t="s">
        <v>72</v>
      </c>
    </row>
    <row r="46" spans="2:21" ht="15.75">
      <c r="B46" s="156" t="s">
        <v>222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22" ht="12.75">
      <c r="A47" s="49">
        <v>1</v>
      </c>
      <c r="B47" s="26" t="s">
        <v>223</v>
      </c>
      <c r="C47" s="26" t="s">
        <v>224</v>
      </c>
      <c r="D47" s="26" t="s">
        <v>225</v>
      </c>
      <c r="E47" s="26" t="str">
        <f>"0,8610"</f>
        <v>0,8610</v>
      </c>
      <c r="F47" s="26" t="s">
        <v>12</v>
      </c>
      <c r="G47" s="16" t="s">
        <v>944</v>
      </c>
      <c r="H47" s="50" t="s">
        <v>86</v>
      </c>
      <c r="I47" s="77" t="s">
        <v>220</v>
      </c>
      <c r="J47" s="50" t="s">
        <v>87</v>
      </c>
      <c r="K47" s="54"/>
      <c r="L47" s="77" t="s">
        <v>67</v>
      </c>
      <c r="M47" s="77" t="s">
        <v>68</v>
      </c>
      <c r="N47" s="77" t="s">
        <v>112</v>
      </c>
      <c r="O47" s="27"/>
      <c r="P47" s="77" t="s">
        <v>220</v>
      </c>
      <c r="Q47" s="77" t="s">
        <v>221</v>
      </c>
      <c r="R47" s="77" t="s">
        <v>88</v>
      </c>
      <c r="S47" s="27"/>
      <c r="T47" s="66">
        <v>775</v>
      </c>
      <c r="U47" s="26" t="str">
        <f>"667,2750"</f>
        <v>667,2750</v>
      </c>
      <c r="V47" s="26" t="s">
        <v>72</v>
      </c>
    </row>
    <row r="49" spans="2:3" ht="18">
      <c r="B49" s="34" t="s">
        <v>117</v>
      </c>
      <c r="C49" s="34"/>
    </row>
    <row r="50" spans="2:3" ht="15.75">
      <c r="B50" s="85"/>
      <c r="C50" s="35"/>
    </row>
    <row r="51" ht="15.75">
      <c r="B51" s="85" t="s">
        <v>129</v>
      </c>
    </row>
    <row r="52" spans="2:3" ht="13.5">
      <c r="B52" s="37" t="s">
        <v>126</v>
      </c>
      <c r="C52" s="38"/>
    </row>
    <row r="53" spans="2:6" ht="13.5">
      <c r="B53" s="39" t="s">
        <v>120</v>
      </c>
      <c r="C53" s="39" t="s">
        <v>121</v>
      </c>
      <c r="D53" s="39" t="s">
        <v>122</v>
      </c>
      <c r="E53" s="39" t="s">
        <v>123</v>
      </c>
      <c r="F53" s="39" t="s">
        <v>935</v>
      </c>
    </row>
    <row r="54" spans="1:6" ht="12.75">
      <c r="A54" s="49">
        <v>1</v>
      </c>
      <c r="B54" s="135" t="s">
        <v>223</v>
      </c>
      <c r="C54" s="83" t="s">
        <v>127</v>
      </c>
      <c r="D54" s="83" t="s">
        <v>233</v>
      </c>
      <c r="E54" s="83" t="s">
        <v>234</v>
      </c>
      <c r="F54" s="48" t="s">
        <v>235</v>
      </c>
    </row>
    <row r="55" spans="1:6" ht="12.75">
      <c r="A55" s="49">
        <v>2</v>
      </c>
      <c r="B55" s="135" t="s">
        <v>213</v>
      </c>
      <c r="C55" s="83" t="s">
        <v>127</v>
      </c>
      <c r="D55" s="83" t="s">
        <v>130</v>
      </c>
      <c r="E55" s="83" t="s">
        <v>236</v>
      </c>
      <c r="F55" s="48" t="s">
        <v>237</v>
      </c>
    </row>
    <row r="56" spans="1:6" ht="12.75">
      <c r="A56" s="49">
        <v>3</v>
      </c>
      <c r="B56" s="135" t="s">
        <v>195</v>
      </c>
      <c r="C56" s="83" t="s">
        <v>127</v>
      </c>
      <c r="D56" s="83" t="s">
        <v>133</v>
      </c>
      <c r="E56" s="83" t="s">
        <v>238</v>
      </c>
      <c r="F56" s="48" t="s">
        <v>239</v>
      </c>
    </row>
    <row r="57" spans="2:6" ht="12.75">
      <c r="B57" s="25" t="s">
        <v>179</v>
      </c>
      <c r="C57" s="83" t="s">
        <v>127</v>
      </c>
      <c r="D57" s="83" t="s">
        <v>30</v>
      </c>
      <c r="E57" s="83" t="s">
        <v>1468</v>
      </c>
      <c r="F57" s="48" t="s">
        <v>1469</v>
      </c>
    </row>
    <row r="58" spans="2:6" ht="12.75">
      <c r="B58" s="25" t="s">
        <v>959</v>
      </c>
      <c r="C58" s="83" t="s">
        <v>127</v>
      </c>
      <c r="D58" s="83" t="s">
        <v>1083</v>
      </c>
      <c r="E58" s="83" t="s">
        <v>1470</v>
      </c>
      <c r="F58" s="48" t="s">
        <v>1471</v>
      </c>
    </row>
    <row r="59" spans="2:6" ht="12.75">
      <c r="B59" s="25" t="s">
        <v>964</v>
      </c>
      <c r="C59" s="83" t="s">
        <v>127</v>
      </c>
      <c r="D59" s="83" t="s">
        <v>1086</v>
      </c>
      <c r="E59" s="83" t="s">
        <v>1472</v>
      </c>
      <c r="F59" s="148" t="str">
        <f>"528,6375"</f>
        <v>528,6375</v>
      </c>
    </row>
    <row r="60" spans="2:6" ht="12.75">
      <c r="B60" s="25" t="s">
        <v>1474</v>
      </c>
      <c r="C60" s="83" t="s">
        <v>127</v>
      </c>
      <c r="D60" s="83" t="s">
        <v>1086</v>
      </c>
      <c r="E60" s="83" t="s">
        <v>1473</v>
      </c>
      <c r="F60" s="148" t="str">
        <f>"528,5010"</f>
        <v>528,5010</v>
      </c>
    </row>
    <row r="61" spans="2:6" ht="12.75">
      <c r="B61" s="25" t="s">
        <v>963</v>
      </c>
      <c r="C61" s="83" t="s">
        <v>127</v>
      </c>
      <c r="D61" s="83" t="s">
        <v>1475</v>
      </c>
      <c r="E61" s="83" t="s">
        <v>1476</v>
      </c>
      <c r="F61" s="148" t="str">
        <f>"508,6020"</f>
        <v>508,6020</v>
      </c>
    </row>
    <row r="62" spans="2:6" ht="12.75">
      <c r="B62" s="25" t="s">
        <v>961</v>
      </c>
      <c r="C62" s="83" t="s">
        <v>127</v>
      </c>
      <c r="D62" s="83" t="s">
        <v>1083</v>
      </c>
      <c r="E62" s="83" t="s">
        <v>1477</v>
      </c>
      <c r="F62" s="148" t="str">
        <f>"468,8250"</f>
        <v>468,8250</v>
      </c>
    </row>
  </sheetData>
  <sheetProtection/>
  <mergeCells count="25"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  <mergeCell ref="B5:U5"/>
    <mergeCell ref="B8:U8"/>
    <mergeCell ref="B11:U11"/>
    <mergeCell ref="B39:U39"/>
    <mergeCell ref="B43:U43"/>
    <mergeCell ref="B46:U46"/>
    <mergeCell ref="B17:U17"/>
    <mergeCell ref="B21:U21"/>
    <mergeCell ref="B24:U24"/>
    <mergeCell ref="B27:U27"/>
    <mergeCell ref="B31:U31"/>
    <mergeCell ref="B34:U34"/>
  </mergeCells>
  <printOptions/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workbookViewId="0" topLeftCell="A4">
      <selection activeCell="G29" sqref="G29"/>
    </sheetView>
  </sheetViews>
  <sheetFormatPr defaultColWidth="9.125" defaultRowHeight="12.75"/>
  <cols>
    <col min="1" max="1" width="5.625" style="43" customWidth="1"/>
    <col min="2" max="2" width="28.25390625" style="4" customWidth="1"/>
    <col min="3" max="3" width="27.625" style="1" customWidth="1"/>
    <col min="4" max="4" width="10.25390625" style="1" customWidth="1"/>
    <col min="5" max="5" width="9.375" style="1" customWidth="1"/>
    <col min="6" max="6" width="15.75390625" style="5" customWidth="1"/>
    <col min="7" max="7" width="33.00390625" style="5" customWidth="1"/>
    <col min="8" max="10" width="5.625" style="1" bestFit="1" customWidth="1"/>
    <col min="11" max="11" width="4.625" style="1" bestFit="1" customWidth="1"/>
    <col min="12" max="14" width="5.625" style="1" bestFit="1" customWidth="1"/>
    <col min="15" max="15" width="4.625" style="1" bestFit="1" customWidth="1"/>
    <col min="16" max="19" width="5.625" style="1" bestFit="1" customWidth="1"/>
    <col min="20" max="20" width="7.875" style="43" bestFit="1" customWidth="1"/>
    <col min="21" max="21" width="9.75390625" style="1" customWidth="1"/>
    <col min="22" max="22" width="16.875" style="5" customWidth="1"/>
    <col min="23" max="16384" width="9.125" style="1" customWidth="1"/>
  </cols>
  <sheetData>
    <row r="1" spans="2:22" ht="15" customHeight="1">
      <c r="B1" s="157" t="s">
        <v>938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9"/>
    </row>
    <row r="2" spans="2:22" ht="81.75" customHeight="1" thickBot="1"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2"/>
    </row>
    <row r="3" spans="2:22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1</v>
      </c>
      <c r="I3" s="151"/>
      <c r="J3" s="151"/>
      <c r="K3" s="151"/>
      <c r="L3" s="151" t="s">
        <v>2</v>
      </c>
      <c r="M3" s="151"/>
      <c r="N3" s="151"/>
      <c r="O3" s="151"/>
      <c r="P3" s="151" t="s">
        <v>3</v>
      </c>
      <c r="Q3" s="151"/>
      <c r="R3" s="151"/>
      <c r="S3" s="151"/>
      <c r="T3" s="151" t="s">
        <v>4</v>
      </c>
      <c r="U3" s="151" t="s">
        <v>935</v>
      </c>
      <c r="V3" s="153" t="s">
        <v>5</v>
      </c>
    </row>
    <row r="4" spans="2:22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3">
        <v>1</v>
      </c>
      <c r="M4" s="3">
        <v>2</v>
      </c>
      <c r="N4" s="3">
        <v>3</v>
      </c>
      <c r="O4" s="3" t="s">
        <v>7</v>
      </c>
      <c r="P4" s="3">
        <v>1</v>
      </c>
      <c r="Q4" s="3">
        <v>2</v>
      </c>
      <c r="R4" s="3">
        <v>3</v>
      </c>
      <c r="S4" s="3" t="s">
        <v>7</v>
      </c>
      <c r="T4" s="152"/>
      <c r="U4" s="152"/>
      <c r="V4" s="154"/>
    </row>
    <row r="5" spans="2:21" ht="15.75">
      <c r="B5" s="177" t="s">
        <v>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</row>
    <row r="6" spans="1:22" ht="12.75">
      <c r="A6" s="43" t="s">
        <v>932</v>
      </c>
      <c r="B6" s="6" t="s">
        <v>9</v>
      </c>
      <c r="C6" s="7" t="s">
        <v>10</v>
      </c>
      <c r="D6" s="7" t="s">
        <v>11</v>
      </c>
      <c r="E6" s="7" t="str">
        <f>"1,8006"</f>
        <v>1,8006</v>
      </c>
      <c r="F6" s="8" t="s">
        <v>947</v>
      </c>
      <c r="G6" s="8" t="s">
        <v>944</v>
      </c>
      <c r="H6" s="74" t="s">
        <v>13</v>
      </c>
      <c r="I6" s="74" t="s">
        <v>14</v>
      </c>
      <c r="J6" s="74" t="s">
        <v>15</v>
      </c>
      <c r="K6" s="9"/>
      <c r="L6" s="74" t="s">
        <v>16</v>
      </c>
      <c r="M6" s="44" t="s">
        <v>17</v>
      </c>
      <c r="N6" s="44" t="s">
        <v>17</v>
      </c>
      <c r="O6" s="9"/>
      <c r="P6" s="74" t="s">
        <v>18</v>
      </c>
      <c r="Q6" s="74" t="s">
        <v>19</v>
      </c>
      <c r="R6" s="74" t="s">
        <v>20</v>
      </c>
      <c r="S6" s="7" t="s">
        <v>21</v>
      </c>
      <c r="T6" s="61" t="s">
        <v>22</v>
      </c>
      <c r="U6" s="7" t="str">
        <f>"544,6815"</f>
        <v>544,6815</v>
      </c>
      <c r="V6" s="8" t="s">
        <v>23</v>
      </c>
    </row>
    <row r="7" spans="1:22" ht="12.75">
      <c r="A7" s="43" t="s">
        <v>933</v>
      </c>
      <c r="B7" s="14" t="s">
        <v>941</v>
      </c>
      <c r="C7" s="15" t="s">
        <v>24</v>
      </c>
      <c r="D7" s="15" t="s">
        <v>25</v>
      </c>
      <c r="E7" s="15" t="str">
        <f>"1,7830"</f>
        <v>1,7830</v>
      </c>
      <c r="F7" s="16" t="s">
        <v>12</v>
      </c>
      <c r="G7" s="16" t="s">
        <v>26</v>
      </c>
      <c r="H7" s="75" t="s">
        <v>27</v>
      </c>
      <c r="I7" s="75" t="s">
        <v>13</v>
      </c>
      <c r="J7" s="75" t="s">
        <v>14</v>
      </c>
      <c r="K7" s="17"/>
      <c r="L7" s="75" t="s">
        <v>28</v>
      </c>
      <c r="M7" s="75" t="s">
        <v>29</v>
      </c>
      <c r="N7" s="46" t="s">
        <v>30</v>
      </c>
      <c r="O7" s="17"/>
      <c r="P7" s="75" t="s">
        <v>31</v>
      </c>
      <c r="Q7" s="75" t="s">
        <v>32</v>
      </c>
      <c r="R7" s="75" t="s">
        <v>33</v>
      </c>
      <c r="S7" s="17"/>
      <c r="T7" s="62" t="s">
        <v>34</v>
      </c>
      <c r="U7" s="15" t="str">
        <f>"530,4425"</f>
        <v>530,4425</v>
      </c>
      <c r="V7" s="16" t="s">
        <v>949</v>
      </c>
    </row>
    <row r="9" spans="2:21" ht="15.75">
      <c r="B9" s="176" t="s">
        <v>35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</row>
    <row r="10" spans="1:22" ht="12.75">
      <c r="A10" s="43" t="s">
        <v>932</v>
      </c>
      <c r="B10" s="6" t="s">
        <v>942</v>
      </c>
      <c r="C10" s="7" t="s">
        <v>36</v>
      </c>
      <c r="D10" s="7" t="s">
        <v>37</v>
      </c>
      <c r="E10" s="7" t="str">
        <f>"1,5502"</f>
        <v>1,5502</v>
      </c>
      <c r="F10" s="8" t="s">
        <v>12</v>
      </c>
      <c r="G10" s="8" t="s">
        <v>38</v>
      </c>
      <c r="H10" s="44" t="s">
        <v>33</v>
      </c>
      <c r="I10" s="74" t="s">
        <v>19</v>
      </c>
      <c r="J10" s="44" t="s">
        <v>39</v>
      </c>
      <c r="K10" s="9"/>
      <c r="L10" s="74" t="s">
        <v>40</v>
      </c>
      <c r="M10" s="74" t="s">
        <v>41</v>
      </c>
      <c r="N10" s="74" t="s">
        <v>13</v>
      </c>
      <c r="O10" s="9"/>
      <c r="P10" s="74" t="s">
        <v>42</v>
      </c>
      <c r="Q10" s="74" t="s">
        <v>43</v>
      </c>
      <c r="R10" s="74" t="s">
        <v>44</v>
      </c>
      <c r="S10" s="9"/>
      <c r="T10" s="61" t="s">
        <v>45</v>
      </c>
      <c r="U10" s="7" t="str">
        <f>"612,3290"</f>
        <v>612,3290</v>
      </c>
      <c r="V10" s="8" t="s">
        <v>46</v>
      </c>
    </row>
    <row r="11" spans="1:22" ht="12.75">
      <c r="A11" s="43" t="s">
        <v>932</v>
      </c>
      <c r="B11" s="14" t="s">
        <v>943</v>
      </c>
      <c r="C11" s="15" t="s">
        <v>47</v>
      </c>
      <c r="D11" s="15" t="s">
        <v>48</v>
      </c>
      <c r="E11" s="15" t="str">
        <f>"1,5550"</f>
        <v>1,5550</v>
      </c>
      <c r="F11" s="16" t="s">
        <v>12</v>
      </c>
      <c r="G11" s="16" t="s">
        <v>49</v>
      </c>
      <c r="H11" s="75" t="s">
        <v>42</v>
      </c>
      <c r="I11" s="75" t="s">
        <v>19</v>
      </c>
      <c r="J11" s="46" t="s">
        <v>39</v>
      </c>
      <c r="K11" s="17"/>
      <c r="L11" s="75" t="s">
        <v>40</v>
      </c>
      <c r="M11" s="75" t="s">
        <v>13</v>
      </c>
      <c r="N11" s="46" t="s">
        <v>50</v>
      </c>
      <c r="O11" s="17"/>
      <c r="P11" s="75" t="s">
        <v>43</v>
      </c>
      <c r="Q11" s="75" t="s">
        <v>44</v>
      </c>
      <c r="R11" s="75" t="s">
        <v>51</v>
      </c>
      <c r="S11" s="17"/>
      <c r="T11" s="62" t="s">
        <v>52</v>
      </c>
      <c r="U11" s="15" t="str">
        <f>"622,0000"</f>
        <v>622,0000</v>
      </c>
      <c r="V11" s="16" t="s">
        <v>53</v>
      </c>
    </row>
    <row r="13" spans="2:21" ht="15.75">
      <c r="B13" s="176" t="s">
        <v>54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</row>
    <row r="14" spans="2:22" ht="12.75">
      <c r="B14" s="14" t="s">
        <v>55</v>
      </c>
      <c r="C14" s="15" t="s">
        <v>56</v>
      </c>
      <c r="D14" s="15" t="s">
        <v>57</v>
      </c>
      <c r="E14" s="15" t="str">
        <f>"1,0298"</f>
        <v>1,0298</v>
      </c>
      <c r="F14" s="16" t="s">
        <v>946</v>
      </c>
      <c r="G14" s="16" t="s">
        <v>58</v>
      </c>
      <c r="H14" s="46" t="s">
        <v>59</v>
      </c>
      <c r="I14" s="46" t="s">
        <v>59</v>
      </c>
      <c r="J14" s="17"/>
      <c r="K14" s="17"/>
      <c r="L14" s="46" t="s">
        <v>60</v>
      </c>
      <c r="M14" s="17"/>
      <c r="N14" s="17"/>
      <c r="O14" s="17"/>
      <c r="P14" s="46" t="s">
        <v>60</v>
      </c>
      <c r="Q14" s="17"/>
      <c r="R14" s="17"/>
      <c r="S14" s="17"/>
      <c r="T14" s="63" t="s">
        <v>61</v>
      </c>
      <c r="U14" s="15" t="str">
        <f>"0,0000"</f>
        <v>0,0000</v>
      </c>
      <c r="V14" s="16" t="s">
        <v>288</v>
      </c>
    </row>
    <row r="16" spans="2:21" ht="15.75">
      <c r="B16" s="176" t="s">
        <v>62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2" ht="12.75">
      <c r="A17" s="43" t="s">
        <v>932</v>
      </c>
      <c r="B17" s="6" t="s">
        <v>63</v>
      </c>
      <c r="C17" s="7" t="s">
        <v>64</v>
      </c>
      <c r="D17" s="7" t="s">
        <v>65</v>
      </c>
      <c r="E17" s="7" t="str">
        <f>"0,9924"</f>
        <v>0,9924</v>
      </c>
      <c r="F17" s="8" t="s">
        <v>12</v>
      </c>
      <c r="G17" s="8" t="s">
        <v>66</v>
      </c>
      <c r="H17" s="74" t="s">
        <v>67</v>
      </c>
      <c r="I17" s="44" t="s">
        <v>68</v>
      </c>
      <c r="J17" s="9"/>
      <c r="K17" s="9"/>
      <c r="L17" s="74" t="s">
        <v>42</v>
      </c>
      <c r="M17" s="44" t="s">
        <v>39</v>
      </c>
      <c r="N17" s="44" t="s">
        <v>39</v>
      </c>
      <c r="O17" s="9"/>
      <c r="P17" s="74" t="s">
        <v>69</v>
      </c>
      <c r="Q17" s="44" t="s">
        <v>70</v>
      </c>
      <c r="R17" s="9"/>
      <c r="S17" s="9"/>
      <c r="T17" s="41" t="s">
        <v>71</v>
      </c>
      <c r="U17" s="7" t="str">
        <f>"540,8580"</f>
        <v>540,8580</v>
      </c>
      <c r="V17" s="8" t="s">
        <v>72</v>
      </c>
    </row>
    <row r="18" spans="1:22" ht="12.75">
      <c r="A18" s="43" t="s">
        <v>932</v>
      </c>
      <c r="B18" s="14" t="s">
        <v>73</v>
      </c>
      <c r="C18" s="15" t="s">
        <v>74</v>
      </c>
      <c r="D18" s="15" t="s">
        <v>75</v>
      </c>
      <c r="E18" s="15" t="str">
        <f>"0,9854"</f>
        <v>0,9854</v>
      </c>
      <c r="F18" s="16" t="s">
        <v>12</v>
      </c>
      <c r="G18" s="16" t="s">
        <v>76</v>
      </c>
      <c r="H18" s="75" t="s">
        <v>77</v>
      </c>
      <c r="I18" s="75" t="s">
        <v>67</v>
      </c>
      <c r="J18" s="75" t="s">
        <v>68</v>
      </c>
      <c r="K18" s="17"/>
      <c r="L18" s="75" t="s">
        <v>42</v>
      </c>
      <c r="M18" s="75" t="s">
        <v>39</v>
      </c>
      <c r="N18" s="46" t="s">
        <v>43</v>
      </c>
      <c r="O18" s="17"/>
      <c r="P18" s="75" t="s">
        <v>70</v>
      </c>
      <c r="Q18" s="75" t="s">
        <v>78</v>
      </c>
      <c r="R18" s="46" t="s">
        <v>79</v>
      </c>
      <c r="S18" s="17"/>
      <c r="T18" s="60" t="s">
        <v>80</v>
      </c>
      <c r="U18" s="15" t="str">
        <f>"581,3860"</f>
        <v>581,3860</v>
      </c>
      <c r="V18" s="16" t="s">
        <v>72</v>
      </c>
    </row>
    <row r="19" spans="1:22" ht="12.75">
      <c r="A19" s="43" t="s">
        <v>933</v>
      </c>
      <c r="B19" s="10" t="s">
        <v>63</v>
      </c>
      <c r="C19" s="11" t="s">
        <v>81</v>
      </c>
      <c r="D19" s="11" t="s">
        <v>65</v>
      </c>
      <c r="E19" s="11" t="str">
        <f>"0,9924"</f>
        <v>0,9924</v>
      </c>
      <c r="F19" s="12" t="s">
        <v>12</v>
      </c>
      <c r="G19" s="12" t="s">
        <v>66</v>
      </c>
      <c r="H19" s="76" t="s">
        <v>67</v>
      </c>
      <c r="I19" s="13"/>
      <c r="J19" s="13"/>
      <c r="K19" s="13"/>
      <c r="L19" s="76" t="s">
        <v>42</v>
      </c>
      <c r="M19" s="13"/>
      <c r="N19" s="13"/>
      <c r="O19" s="13"/>
      <c r="P19" s="76" t="s">
        <v>69</v>
      </c>
      <c r="Q19" s="13"/>
      <c r="R19" s="13"/>
      <c r="S19" s="13"/>
      <c r="T19" s="42" t="s">
        <v>71</v>
      </c>
      <c r="U19" s="11" t="str">
        <f>"540,8580"</f>
        <v>540,8580</v>
      </c>
      <c r="V19" s="12" t="s">
        <v>72</v>
      </c>
    </row>
    <row r="21" spans="2:21" ht="15.75">
      <c r="B21" s="176" t="s">
        <v>82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</row>
    <row r="22" spans="1:22" ht="12.75">
      <c r="A22" s="43" t="s">
        <v>932</v>
      </c>
      <c r="B22" s="6" t="s">
        <v>83</v>
      </c>
      <c r="C22" s="7" t="s">
        <v>84</v>
      </c>
      <c r="D22" s="7" t="s">
        <v>85</v>
      </c>
      <c r="E22" s="7" t="str">
        <f>"0,9010"</f>
        <v>0,9010</v>
      </c>
      <c r="F22" s="16" t="s">
        <v>946</v>
      </c>
      <c r="G22" s="8" t="s">
        <v>945</v>
      </c>
      <c r="H22" s="74" t="s">
        <v>86</v>
      </c>
      <c r="I22" s="74" t="s">
        <v>87</v>
      </c>
      <c r="J22" s="74" t="s">
        <v>88</v>
      </c>
      <c r="K22" s="9"/>
      <c r="L22" s="74" t="s">
        <v>77</v>
      </c>
      <c r="M22" s="9"/>
      <c r="N22" s="9"/>
      <c r="O22" s="9"/>
      <c r="P22" s="74" t="s">
        <v>88</v>
      </c>
      <c r="Q22" s="74" t="s">
        <v>89</v>
      </c>
      <c r="R22" s="44" t="s">
        <v>90</v>
      </c>
      <c r="S22" s="9"/>
      <c r="T22" s="41" t="s">
        <v>91</v>
      </c>
      <c r="U22" s="7" t="str">
        <f>"711,7900"</f>
        <v>711,7900</v>
      </c>
      <c r="V22" s="8" t="s">
        <v>948</v>
      </c>
    </row>
    <row r="23" spans="1:22" ht="12.75">
      <c r="A23" s="43" t="s">
        <v>932</v>
      </c>
      <c r="B23" s="14" t="s">
        <v>92</v>
      </c>
      <c r="C23" s="15" t="s">
        <v>93</v>
      </c>
      <c r="D23" s="15" t="s">
        <v>94</v>
      </c>
      <c r="E23" s="15" t="str">
        <f>"0,8850"</f>
        <v>0,8850</v>
      </c>
      <c r="F23" s="16" t="s">
        <v>12</v>
      </c>
      <c r="G23" s="16" t="s">
        <v>95</v>
      </c>
      <c r="H23" s="75" t="s">
        <v>96</v>
      </c>
      <c r="I23" s="46" t="s">
        <v>97</v>
      </c>
      <c r="J23" s="75" t="s">
        <v>97</v>
      </c>
      <c r="K23" s="17"/>
      <c r="L23" s="75" t="s">
        <v>98</v>
      </c>
      <c r="M23" s="75" t="s">
        <v>99</v>
      </c>
      <c r="N23" s="75" t="s">
        <v>70</v>
      </c>
      <c r="O23" s="17"/>
      <c r="P23" s="75" t="s">
        <v>88</v>
      </c>
      <c r="Q23" s="75" t="s">
        <v>96</v>
      </c>
      <c r="R23" s="46" t="s">
        <v>97</v>
      </c>
      <c r="S23" s="17"/>
      <c r="T23" s="60" t="s">
        <v>100</v>
      </c>
      <c r="U23" s="15" t="str">
        <f>"778,8000"</f>
        <v>778,8000</v>
      </c>
      <c r="V23" s="16" t="s">
        <v>72</v>
      </c>
    </row>
    <row r="24" spans="1:22" ht="12.75">
      <c r="A24" s="43" t="s">
        <v>933</v>
      </c>
      <c r="B24" s="14" t="s">
        <v>83</v>
      </c>
      <c r="C24" s="15" t="s">
        <v>101</v>
      </c>
      <c r="D24" s="15" t="s">
        <v>85</v>
      </c>
      <c r="E24" s="15" t="str">
        <f>"0,9010"</f>
        <v>0,9010</v>
      </c>
      <c r="F24" s="16" t="s">
        <v>946</v>
      </c>
      <c r="G24" s="16" t="s">
        <v>945</v>
      </c>
      <c r="H24" s="75" t="s">
        <v>102</v>
      </c>
      <c r="I24" s="75" t="s">
        <v>87</v>
      </c>
      <c r="J24" s="75" t="s">
        <v>88</v>
      </c>
      <c r="K24" s="17"/>
      <c r="L24" s="75" t="s">
        <v>77</v>
      </c>
      <c r="M24" s="17"/>
      <c r="N24" s="17"/>
      <c r="O24" s="17"/>
      <c r="P24" s="75" t="s">
        <v>88</v>
      </c>
      <c r="Q24" s="75" t="s">
        <v>89</v>
      </c>
      <c r="R24" s="46" t="s">
        <v>90</v>
      </c>
      <c r="S24" s="17"/>
      <c r="T24" s="60" t="s">
        <v>91</v>
      </c>
      <c r="U24" s="15" t="str">
        <f>"711,7900"</f>
        <v>711,7900</v>
      </c>
      <c r="V24" s="8" t="s">
        <v>948</v>
      </c>
    </row>
    <row r="25" spans="1:22" ht="12.75">
      <c r="A25" s="43" t="s">
        <v>934</v>
      </c>
      <c r="B25" s="10" t="s">
        <v>103</v>
      </c>
      <c r="C25" s="11" t="s">
        <v>104</v>
      </c>
      <c r="D25" s="11" t="s">
        <v>105</v>
      </c>
      <c r="E25" s="11" t="str">
        <f>"0,9034"</f>
        <v>0,9034</v>
      </c>
      <c r="F25" s="12" t="s">
        <v>12</v>
      </c>
      <c r="G25" s="12" t="s">
        <v>106</v>
      </c>
      <c r="H25" s="76" t="s">
        <v>107</v>
      </c>
      <c r="I25" s="45" t="s">
        <v>108</v>
      </c>
      <c r="J25" s="76" t="s">
        <v>109</v>
      </c>
      <c r="K25" s="13"/>
      <c r="L25" s="76" t="s">
        <v>110</v>
      </c>
      <c r="M25" s="76" t="s">
        <v>111</v>
      </c>
      <c r="N25" s="45" t="s">
        <v>112</v>
      </c>
      <c r="O25" s="13"/>
      <c r="P25" s="76" t="s">
        <v>87</v>
      </c>
      <c r="Q25" s="76" t="s">
        <v>113</v>
      </c>
      <c r="R25" s="47" t="s">
        <v>114</v>
      </c>
      <c r="S25" s="13"/>
      <c r="T25" s="42" t="s">
        <v>115</v>
      </c>
      <c r="U25" s="11" t="str">
        <f>"711,4275"</f>
        <v>711,4275</v>
      </c>
      <c r="V25" s="12" t="s">
        <v>72</v>
      </c>
    </row>
    <row r="27" ht="15.75">
      <c r="F27" s="18"/>
    </row>
    <row r="29" spans="2:3" ht="18">
      <c r="B29" s="19" t="s">
        <v>117</v>
      </c>
      <c r="C29" s="20"/>
    </row>
    <row r="31" spans="2:3" ht="15.75">
      <c r="B31" s="21" t="s">
        <v>129</v>
      </c>
      <c r="C31" s="22"/>
    </row>
    <row r="32" spans="2:3" ht="13.5">
      <c r="B32" s="84" t="s">
        <v>126</v>
      </c>
      <c r="C32" s="23"/>
    </row>
    <row r="33" spans="2:6" ht="13.5">
      <c r="B33" s="24" t="s">
        <v>120</v>
      </c>
      <c r="C33" s="24" t="s">
        <v>121</v>
      </c>
      <c r="D33" s="24" t="s">
        <v>122</v>
      </c>
      <c r="E33" s="24" t="s">
        <v>123</v>
      </c>
      <c r="F33" s="24" t="s">
        <v>935</v>
      </c>
    </row>
    <row r="34" spans="1:6" ht="12.75">
      <c r="A34" s="43" t="s">
        <v>932</v>
      </c>
      <c r="B34" s="134" t="s">
        <v>92</v>
      </c>
      <c r="C34" s="1" t="s">
        <v>127</v>
      </c>
      <c r="D34" s="1" t="s">
        <v>130</v>
      </c>
      <c r="E34" s="1" t="s">
        <v>134</v>
      </c>
      <c r="F34" s="43" t="s">
        <v>135</v>
      </c>
    </row>
    <row r="35" spans="1:6" ht="12.75">
      <c r="A35" s="43" t="s">
        <v>933</v>
      </c>
      <c r="B35" s="134" t="s">
        <v>83</v>
      </c>
      <c r="C35" s="1" t="s">
        <v>127</v>
      </c>
      <c r="D35" s="1" t="s">
        <v>130</v>
      </c>
      <c r="E35" s="1" t="s">
        <v>131</v>
      </c>
      <c r="F35" s="43" t="s">
        <v>132</v>
      </c>
    </row>
    <row r="36" spans="1:6" ht="12.75">
      <c r="A36" s="43" t="s">
        <v>934</v>
      </c>
      <c r="B36" s="134" t="s">
        <v>103</v>
      </c>
      <c r="C36" s="1" t="s">
        <v>127</v>
      </c>
      <c r="D36" s="1" t="s">
        <v>130</v>
      </c>
      <c r="E36" s="1" t="s">
        <v>136</v>
      </c>
      <c r="F36" s="43" t="s">
        <v>137</v>
      </c>
    </row>
    <row r="37" spans="2:6" ht="12.75">
      <c r="B37" s="147" t="s">
        <v>73</v>
      </c>
      <c r="C37" s="1" t="s">
        <v>127</v>
      </c>
      <c r="D37" s="1" t="s">
        <v>1083</v>
      </c>
      <c r="E37" s="1" t="s">
        <v>138</v>
      </c>
      <c r="F37" s="43" t="s">
        <v>1466</v>
      </c>
    </row>
    <row r="38" spans="2:6" ht="12.75">
      <c r="B38" s="134" t="s">
        <v>63</v>
      </c>
      <c r="C38" s="1" t="s">
        <v>127</v>
      </c>
      <c r="D38" s="1" t="s">
        <v>1083</v>
      </c>
      <c r="E38" s="1" t="s">
        <v>1465</v>
      </c>
      <c r="F38" s="43" t="s">
        <v>1467</v>
      </c>
    </row>
  </sheetData>
  <sheetProtection/>
  <mergeCells count="18">
    <mergeCell ref="B1:V2"/>
    <mergeCell ref="H3:K3"/>
    <mergeCell ref="L3:O3"/>
    <mergeCell ref="P3:S3"/>
    <mergeCell ref="B3:B4"/>
    <mergeCell ref="C3:C4"/>
    <mergeCell ref="D3:D4"/>
    <mergeCell ref="V3:V4"/>
    <mergeCell ref="G3:G4"/>
    <mergeCell ref="F3:F4"/>
    <mergeCell ref="B16:U16"/>
    <mergeCell ref="B21:U21"/>
    <mergeCell ref="E3:E4"/>
    <mergeCell ref="T3:T4"/>
    <mergeCell ref="U3:U4"/>
    <mergeCell ref="B5:U5"/>
    <mergeCell ref="B9:U9"/>
    <mergeCell ref="B13:U13"/>
  </mergeCells>
  <printOptions/>
  <pageMargins left="0.19" right="0.47" top="0.45" bottom="0.49" header="0.5" footer="0.5"/>
  <pageSetup fitToHeight="100" fitToWidth="1" horizontalDpi="300" verticalDpi="300" orientation="landscape" scale="5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N59"/>
  <sheetViews>
    <sheetView tabSelected="1" workbookViewId="0" topLeftCell="A2">
      <selection activeCell="A13" sqref="A13"/>
    </sheetView>
  </sheetViews>
  <sheetFormatPr defaultColWidth="8.75390625" defaultRowHeight="12.75"/>
  <cols>
    <col min="1" max="1" width="3.375" style="0" customWidth="1"/>
    <col min="2" max="2" width="27.75390625" style="0" customWidth="1"/>
    <col min="3" max="3" width="27.00390625" style="0" customWidth="1"/>
    <col min="4" max="4" width="12.375" style="0" customWidth="1"/>
    <col min="5" max="5" width="10.00390625" style="0" customWidth="1"/>
    <col min="6" max="6" width="24.00390625" style="0" customWidth="1"/>
    <col min="7" max="7" width="39.00390625" style="0" customWidth="1"/>
    <col min="8" max="10" width="8.75390625" style="0" customWidth="1"/>
    <col min="11" max="11" width="11.125" style="0" customWidth="1"/>
    <col min="12" max="12" width="8.75390625" style="0" customWidth="1"/>
    <col min="13" max="13" width="11.125" style="0" customWidth="1"/>
    <col min="14" max="15" width="8.75390625" style="0" customWidth="1"/>
    <col min="16" max="16" width="17.875" style="0" customWidth="1"/>
    <col min="17" max="17" width="22.25390625" style="0" customWidth="1"/>
    <col min="18" max="20" width="9.125" style="0" customWidth="1"/>
  </cols>
  <sheetData>
    <row r="1" spans="1:17" ht="12.75">
      <c r="A1" s="43"/>
      <c r="B1" s="157" t="s">
        <v>1243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</row>
    <row r="2" spans="1:17" ht="56.2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</row>
    <row r="3" spans="1:17" ht="13.5">
      <c r="A3" s="2"/>
      <c r="B3" s="163" t="s">
        <v>0</v>
      </c>
      <c r="C3" s="165" t="s">
        <v>1077</v>
      </c>
      <c r="D3" s="151" t="s">
        <v>936</v>
      </c>
      <c r="E3" s="181" t="s">
        <v>1244</v>
      </c>
      <c r="F3" s="181" t="s">
        <v>6</v>
      </c>
      <c r="G3" s="181" t="s">
        <v>940</v>
      </c>
      <c r="H3" s="166" t="s">
        <v>1225</v>
      </c>
      <c r="I3" s="171"/>
      <c r="J3" s="171"/>
      <c r="K3" s="167"/>
      <c r="L3" s="166" t="s">
        <v>1226</v>
      </c>
      <c r="M3" s="171"/>
      <c r="N3" s="171"/>
      <c r="O3" s="167"/>
      <c r="P3" s="181" t="s">
        <v>1227</v>
      </c>
      <c r="Q3" s="153" t="s">
        <v>5</v>
      </c>
    </row>
    <row r="4" spans="1:17" ht="15" thickBot="1">
      <c r="A4" s="2"/>
      <c r="B4" s="164"/>
      <c r="C4" s="152"/>
      <c r="D4" s="152"/>
      <c r="E4" s="182"/>
      <c r="F4" s="182"/>
      <c r="G4" s="182"/>
      <c r="H4" s="3">
        <v>1</v>
      </c>
      <c r="I4" s="3">
        <v>2</v>
      </c>
      <c r="J4" s="3">
        <v>3</v>
      </c>
      <c r="K4" s="3" t="s">
        <v>1228</v>
      </c>
      <c r="L4" s="3" t="s">
        <v>1078</v>
      </c>
      <c r="M4" s="3" t="s">
        <v>1228</v>
      </c>
      <c r="N4" s="169" t="s">
        <v>1080</v>
      </c>
      <c r="O4" s="170"/>
      <c r="P4" s="182"/>
      <c r="Q4" s="154"/>
    </row>
    <row r="5" spans="2:20" ht="15.75">
      <c r="B5" s="156" t="s">
        <v>1229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2:20" ht="15.75">
      <c r="B6" s="176" t="s">
        <v>8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</row>
    <row r="7" spans="1:17" ht="12.75">
      <c r="A7" s="89">
        <v>1</v>
      </c>
      <c r="B7" s="26" t="s">
        <v>603</v>
      </c>
      <c r="C7" s="26" t="s">
        <v>611</v>
      </c>
      <c r="D7" s="26" t="s">
        <v>605</v>
      </c>
      <c r="E7" s="117" t="s">
        <v>1300</v>
      </c>
      <c r="F7" s="26" t="s">
        <v>291</v>
      </c>
      <c r="G7" s="26" t="s">
        <v>606</v>
      </c>
      <c r="H7" s="95">
        <v>82.5</v>
      </c>
      <c r="I7" s="104">
        <v>85</v>
      </c>
      <c r="J7" s="104">
        <v>87.5</v>
      </c>
      <c r="K7" s="104">
        <v>87.5</v>
      </c>
      <c r="L7" s="95">
        <v>60</v>
      </c>
      <c r="M7" s="104">
        <v>19</v>
      </c>
      <c r="N7" s="179">
        <v>1140</v>
      </c>
      <c r="O7" s="180"/>
      <c r="P7" s="111">
        <v>40</v>
      </c>
      <c r="Q7" s="104" t="s">
        <v>968</v>
      </c>
    </row>
    <row r="8" spans="2:20" ht="15.75">
      <c r="B8" s="156" t="s">
        <v>1231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</row>
    <row r="9" spans="2:20" ht="15.75">
      <c r="B9" s="176" t="s">
        <v>1232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</row>
    <row r="10" spans="1:17" ht="12.75">
      <c r="A10" s="89">
        <v>1</v>
      </c>
      <c r="B10" s="26" t="s">
        <v>1245</v>
      </c>
      <c r="C10" s="26" t="s">
        <v>1246</v>
      </c>
      <c r="D10" s="26" t="s">
        <v>1247</v>
      </c>
      <c r="E10" s="117" t="s">
        <v>1301</v>
      </c>
      <c r="F10" s="26" t="s">
        <v>1152</v>
      </c>
      <c r="G10" s="26" t="s">
        <v>1248</v>
      </c>
      <c r="H10" s="95">
        <v>117.5</v>
      </c>
      <c r="I10" s="95">
        <v>122.5</v>
      </c>
      <c r="J10" s="95">
        <v>125</v>
      </c>
      <c r="K10" s="95">
        <v>125</v>
      </c>
      <c r="L10" s="95">
        <v>80</v>
      </c>
      <c r="M10" s="104">
        <v>21</v>
      </c>
      <c r="N10" s="179">
        <v>1680</v>
      </c>
      <c r="O10" s="180"/>
      <c r="P10" s="111">
        <v>40</v>
      </c>
      <c r="Q10" s="104" t="s">
        <v>1051</v>
      </c>
    </row>
    <row r="11" spans="1:17" ht="12.75">
      <c r="A11" s="89">
        <v>2</v>
      </c>
      <c r="B11" s="26" t="s">
        <v>1249</v>
      </c>
      <c r="C11" s="26" t="s">
        <v>1250</v>
      </c>
      <c r="D11" s="26" t="s">
        <v>37</v>
      </c>
      <c r="E11" s="117" t="s">
        <v>1302</v>
      </c>
      <c r="F11" s="26" t="s">
        <v>1152</v>
      </c>
      <c r="G11" s="26" t="s">
        <v>408</v>
      </c>
      <c r="H11" s="95">
        <v>107.5</v>
      </c>
      <c r="I11" s="95">
        <v>112.5</v>
      </c>
      <c r="J11" s="95">
        <v>115</v>
      </c>
      <c r="K11" s="95">
        <v>115</v>
      </c>
      <c r="L11" s="95">
        <v>80</v>
      </c>
      <c r="M11" s="104">
        <v>16</v>
      </c>
      <c r="N11" s="179">
        <v>1280</v>
      </c>
      <c r="O11" s="180"/>
      <c r="P11" s="111">
        <v>40</v>
      </c>
      <c r="Q11" s="104" t="s">
        <v>1051</v>
      </c>
    </row>
    <row r="12" spans="2:20" ht="15.75">
      <c r="B12" s="176" t="s">
        <v>62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17" ht="12.75">
      <c r="A13" s="195" t="s">
        <v>1571</v>
      </c>
      <c r="B13" s="26" t="s">
        <v>1570</v>
      </c>
      <c r="C13" s="26" t="s">
        <v>150</v>
      </c>
      <c r="D13" s="26" t="s">
        <v>532</v>
      </c>
      <c r="E13" s="117" t="s">
        <v>1572</v>
      </c>
      <c r="F13" s="26" t="s">
        <v>1152</v>
      </c>
      <c r="G13" s="26" t="s">
        <v>944</v>
      </c>
      <c r="H13" s="95">
        <v>150</v>
      </c>
      <c r="I13" s="95">
        <v>152.5</v>
      </c>
      <c r="J13" s="95">
        <v>155</v>
      </c>
      <c r="K13" s="95">
        <v>155</v>
      </c>
      <c r="L13" s="95">
        <v>90</v>
      </c>
      <c r="M13" s="104">
        <v>25</v>
      </c>
      <c r="N13" s="179">
        <v>2250</v>
      </c>
      <c r="O13" s="180"/>
      <c r="P13" s="111">
        <v>40</v>
      </c>
      <c r="Q13" s="104" t="s">
        <v>1051</v>
      </c>
    </row>
    <row r="14" spans="2:20" ht="15.75">
      <c r="B14" s="176" t="s">
        <v>1254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</row>
    <row r="15" spans="1:17" ht="12.75">
      <c r="A15" s="89">
        <v>1</v>
      </c>
      <c r="B15" s="26" t="s">
        <v>1251</v>
      </c>
      <c r="C15" s="26" t="s">
        <v>1252</v>
      </c>
      <c r="D15" s="26" t="s">
        <v>94</v>
      </c>
      <c r="E15" s="117" t="s">
        <v>1303</v>
      </c>
      <c r="F15" s="26" t="s">
        <v>1152</v>
      </c>
      <c r="G15" s="26" t="s">
        <v>1253</v>
      </c>
      <c r="H15" s="95">
        <v>160</v>
      </c>
      <c r="I15" s="95">
        <v>167.5</v>
      </c>
      <c r="J15" s="114">
        <v>170</v>
      </c>
      <c r="K15" s="95">
        <v>167.5</v>
      </c>
      <c r="L15" s="95">
        <v>110</v>
      </c>
      <c r="M15" s="104">
        <v>22</v>
      </c>
      <c r="N15" s="179">
        <v>2420</v>
      </c>
      <c r="O15" s="180"/>
      <c r="P15" s="111">
        <v>40</v>
      </c>
      <c r="Q15" s="104" t="s">
        <v>731</v>
      </c>
    </row>
    <row r="16" spans="1:17" ht="12.75">
      <c r="A16" s="89">
        <v>1</v>
      </c>
      <c r="B16" s="26" t="s">
        <v>1255</v>
      </c>
      <c r="C16" s="26" t="s">
        <v>1256</v>
      </c>
      <c r="D16" s="26" t="s">
        <v>1257</v>
      </c>
      <c r="E16" s="117" t="s">
        <v>1304</v>
      </c>
      <c r="F16" s="26" t="s">
        <v>1152</v>
      </c>
      <c r="G16" s="26" t="s">
        <v>1007</v>
      </c>
      <c r="H16" s="95">
        <v>172.5</v>
      </c>
      <c r="I16" s="95">
        <v>180</v>
      </c>
      <c r="J16" s="114">
        <v>185</v>
      </c>
      <c r="K16" s="95">
        <v>180</v>
      </c>
      <c r="L16" s="95">
        <v>110</v>
      </c>
      <c r="M16" s="104">
        <v>21</v>
      </c>
      <c r="N16" s="179">
        <v>2310</v>
      </c>
      <c r="O16" s="180"/>
      <c r="P16" s="111">
        <v>40</v>
      </c>
      <c r="Q16" s="104" t="s">
        <v>1051</v>
      </c>
    </row>
    <row r="17" spans="1:17" ht="12.75">
      <c r="A17" s="89">
        <v>1</v>
      </c>
      <c r="B17" s="26" t="s">
        <v>688</v>
      </c>
      <c r="C17" s="26" t="s">
        <v>1258</v>
      </c>
      <c r="D17" s="26" t="s">
        <v>690</v>
      </c>
      <c r="E17" s="117" t="s">
        <v>1305</v>
      </c>
      <c r="F17" s="26" t="s">
        <v>1152</v>
      </c>
      <c r="G17" s="26" t="s">
        <v>1007</v>
      </c>
      <c r="H17" s="95">
        <v>140</v>
      </c>
      <c r="I17" s="95">
        <v>147.5</v>
      </c>
      <c r="J17" s="95"/>
      <c r="K17" s="95">
        <v>147.5</v>
      </c>
      <c r="L17" s="95">
        <v>110</v>
      </c>
      <c r="M17" s="104">
        <v>16</v>
      </c>
      <c r="N17" s="179">
        <v>1760</v>
      </c>
      <c r="O17" s="180"/>
      <c r="P17" s="111">
        <v>40</v>
      </c>
      <c r="Q17" s="104" t="s">
        <v>1051</v>
      </c>
    </row>
    <row r="18" spans="2:20" ht="15.75">
      <c r="B18" s="156" t="s">
        <v>1233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</row>
    <row r="19" spans="1:20" ht="15.75">
      <c r="A19" s="89"/>
      <c r="B19" s="176" t="s">
        <v>1230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</row>
    <row r="20" spans="1:17" ht="12.75">
      <c r="A20" s="89">
        <v>1</v>
      </c>
      <c r="B20" s="26" t="s">
        <v>475</v>
      </c>
      <c r="C20" s="26" t="s">
        <v>476</v>
      </c>
      <c r="D20" s="26" t="s">
        <v>477</v>
      </c>
      <c r="E20" s="117" t="s">
        <v>1306</v>
      </c>
      <c r="F20" s="26" t="s">
        <v>1152</v>
      </c>
      <c r="G20" s="26" t="s">
        <v>1007</v>
      </c>
      <c r="H20" s="95">
        <v>110</v>
      </c>
      <c r="I20" s="95">
        <v>115</v>
      </c>
      <c r="J20" s="95">
        <v>117.5</v>
      </c>
      <c r="K20" s="95">
        <v>117.5</v>
      </c>
      <c r="L20" s="95">
        <v>70</v>
      </c>
      <c r="M20" s="104">
        <v>25</v>
      </c>
      <c r="N20" s="179">
        <v>1750</v>
      </c>
      <c r="O20" s="180"/>
      <c r="P20" s="111">
        <v>40</v>
      </c>
      <c r="Q20" s="26" t="s">
        <v>478</v>
      </c>
    </row>
    <row r="21" spans="1:17" ht="12.75">
      <c r="A21" s="115">
        <v>1</v>
      </c>
      <c r="B21" s="26" t="s">
        <v>1259</v>
      </c>
      <c r="C21" s="26" t="s">
        <v>1260</v>
      </c>
      <c r="D21" s="26" t="s">
        <v>1261</v>
      </c>
      <c r="E21" s="117" t="s">
        <v>1307</v>
      </c>
      <c r="F21" s="26" t="s">
        <v>1152</v>
      </c>
      <c r="G21" s="26" t="s">
        <v>1101</v>
      </c>
      <c r="H21" s="95">
        <v>70</v>
      </c>
      <c r="I21" s="114">
        <v>75</v>
      </c>
      <c r="J21" s="95"/>
      <c r="K21" s="95">
        <v>70</v>
      </c>
      <c r="L21" s="95">
        <v>50</v>
      </c>
      <c r="M21" s="104">
        <v>18</v>
      </c>
      <c r="N21" s="179">
        <v>900</v>
      </c>
      <c r="O21" s="180"/>
      <c r="P21" s="111">
        <v>40</v>
      </c>
      <c r="Q21" s="26" t="s">
        <v>1051</v>
      </c>
    </row>
    <row r="22" spans="2:20" ht="15.75">
      <c r="B22" s="156" t="s">
        <v>1234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</row>
    <row r="23" spans="1:20" ht="15.75">
      <c r="A23" s="89"/>
      <c r="B23" s="176" t="s">
        <v>62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</row>
    <row r="24" spans="1:17" ht="12.75">
      <c r="A24" s="89">
        <v>1</v>
      </c>
      <c r="B24" s="26" t="s">
        <v>508</v>
      </c>
      <c r="C24" s="26" t="s">
        <v>509</v>
      </c>
      <c r="D24" s="26" t="s">
        <v>192</v>
      </c>
      <c r="E24" s="117" t="s">
        <v>1308</v>
      </c>
      <c r="F24" s="26" t="s">
        <v>1028</v>
      </c>
      <c r="G24" s="26" t="s">
        <v>1262</v>
      </c>
      <c r="H24" s="95">
        <v>192.5</v>
      </c>
      <c r="I24" s="95"/>
      <c r="J24" s="95"/>
      <c r="K24" s="95">
        <v>192.5</v>
      </c>
      <c r="L24" s="95">
        <v>90</v>
      </c>
      <c r="M24" s="104">
        <v>43</v>
      </c>
      <c r="N24" s="179">
        <v>3870</v>
      </c>
      <c r="O24" s="180"/>
      <c r="P24" s="111">
        <v>40</v>
      </c>
      <c r="Q24" s="104" t="s">
        <v>1014</v>
      </c>
    </row>
    <row r="25" spans="1:17" ht="12.75">
      <c r="A25" s="89">
        <v>2</v>
      </c>
      <c r="B25" s="26" t="s">
        <v>1263</v>
      </c>
      <c r="C25" s="26" t="s">
        <v>1264</v>
      </c>
      <c r="D25" s="26" t="s">
        <v>1265</v>
      </c>
      <c r="E25" s="117" t="s">
        <v>1309</v>
      </c>
      <c r="F25" s="26" t="s">
        <v>1152</v>
      </c>
      <c r="G25" s="26" t="s">
        <v>1266</v>
      </c>
      <c r="H25" s="95">
        <v>120</v>
      </c>
      <c r="I25" s="116">
        <v>135</v>
      </c>
      <c r="J25" s="114">
        <v>140</v>
      </c>
      <c r="K25" s="95">
        <v>135</v>
      </c>
      <c r="L25" s="95">
        <v>90</v>
      </c>
      <c r="M25" s="104">
        <v>18</v>
      </c>
      <c r="N25" s="179">
        <v>1620</v>
      </c>
      <c r="O25" s="180"/>
      <c r="P25" s="111">
        <v>36</v>
      </c>
      <c r="Q25" s="104" t="s">
        <v>1051</v>
      </c>
    </row>
    <row r="26" spans="1:17" ht="12.75">
      <c r="A26" s="89">
        <v>1</v>
      </c>
      <c r="B26" s="26" t="s">
        <v>1267</v>
      </c>
      <c r="C26" s="26" t="s">
        <v>1268</v>
      </c>
      <c r="D26" s="26" t="s">
        <v>1269</v>
      </c>
      <c r="E26" s="117" t="s">
        <v>1310</v>
      </c>
      <c r="F26" s="16" t="s">
        <v>1152</v>
      </c>
      <c r="G26" s="26" t="s">
        <v>1007</v>
      </c>
      <c r="H26" s="112">
        <v>155</v>
      </c>
      <c r="I26" s="112">
        <v>155</v>
      </c>
      <c r="J26" s="95">
        <v>155</v>
      </c>
      <c r="K26" s="95">
        <v>155</v>
      </c>
      <c r="L26" s="95">
        <v>90</v>
      </c>
      <c r="M26" s="104">
        <v>20</v>
      </c>
      <c r="N26" s="179">
        <v>1800</v>
      </c>
      <c r="O26" s="180"/>
      <c r="P26" s="111">
        <v>40</v>
      </c>
      <c r="Q26" s="104" t="s">
        <v>1051</v>
      </c>
    </row>
    <row r="27" spans="2:20" ht="15.75">
      <c r="B27" s="176" t="s">
        <v>206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</row>
    <row r="28" spans="1:17" ht="12.75">
      <c r="A28" s="89">
        <v>1</v>
      </c>
      <c r="B28" s="26" t="s">
        <v>1270</v>
      </c>
      <c r="C28" s="15" t="s">
        <v>1271</v>
      </c>
      <c r="D28" s="26" t="s">
        <v>1241</v>
      </c>
      <c r="E28" s="117" t="s">
        <v>1311</v>
      </c>
      <c r="F28" s="26" t="s">
        <v>1028</v>
      </c>
      <c r="G28" s="26" t="s">
        <v>1262</v>
      </c>
      <c r="H28" s="95">
        <v>160</v>
      </c>
      <c r="I28" s="112">
        <v>162.5</v>
      </c>
      <c r="J28" s="95"/>
      <c r="K28" s="95">
        <v>160</v>
      </c>
      <c r="L28" s="95">
        <v>100</v>
      </c>
      <c r="M28" s="104">
        <v>25</v>
      </c>
      <c r="N28" s="179">
        <v>2500</v>
      </c>
      <c r="O28" s="180"/>
      <c r="P28" s="111">
        <v>40</v>
      </c>
      <c r="Q28" s="104" t="s">
        <v>1240</v>
      </c>
    </row>
    <row r="29" spans="1:20" ht="15.75">
      <c r="A29" s="89"/>
      <c r="B29" s="176" t="s">
        <v>82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</row>
    <row r="30" spans="1:17" ht="12.75">
      <c r="A30" s="89">
        <v>1</v>
      </c>
      <c r="B30" s="26" t="s">
        <v>1272</v>
      </c>
      <c r="C30" s="26" t="s">
        <v>1273</v>
      </c>
      <c r="D30" s="26" t="s">
        <v>1274</v>
      </c>
      <c r="E30" s="117" t="s">
        <v>1312</v>
      </c>
      <c r="F30" s="26" t="s">
        <v>1152</v>
      </c>
      <c r="G30" s="26" t="s">
        <v>1007</v>
      </c>
      <c r="H30" s="95">
        <v>200</v>
      </c>
      <c r="I30" s="95">
        <v>215</v>
      </c>
      <c r="J30" s="95">
        <v>220</v>
      </c>
      <c r="K30" s="95">
        <v>220</v>
      </c>
      <c r="L30" s="95">
        <v>110</v>
      </c>
      <c r="M30" s="104">
        <v>50</v>
      </c>
      <c r="N30" s="179">
        <v>5500</v>
      </c>
      <c r="O30" s="180"/>
      <c r="P30" s="111">
        <v>40</v>
      </c>
      <c r="Q30" s="104" t="s">
        <v>1275</v>
      </c>
    </row>
    <row r="31" spans="1:17" ht="12.75">
      <c r="A31" s="115">
        <v>2</v>
      </c>
      <c r="B31" s="26" t="s">
        <v>1235</v>
      </c>
      <c r="C31" s="26" t="s">
        <v>1276</v>
      </c>
      <c r="D31" s="26" t="s">
        <v>1277</v>
      </c>
      <c r="E31" s="117" t="s">
        <v>1313</v>
      </c>
      <c r="F31" s="26" t="s">
        <v>1152</v>
      </c>
      <c r="G31" s="26" t="s">
        <v>1278</v>
      </c>
      <c r="H31" s="95">
        <v>205</v>
      </c>
      <c r="I31" s="95">
        <v>215</v>
      </c>
      <c r="J31" s="112">
        <v>225</v>
      </c>
      <c r="K31" s="95">
        <v>215</v>
      </c>
      <c r="L31" s="95">
        <v>110</v>
      </c>
      <c r="M31" s="104">
        <v>26</v>
      </c>
      <c r="N31" s="179">
        <v>2860</v>
      </c>
      <c r="O31" s="180"/>
      <c r="P31" s="111">
        <v>36</v>
      </c>
      <c r="Q31" s="104" t="s">
        <v>1051</v>
      </c>
    </row>
    <row r="32" spans="1:17" ht="12.75">
      <c r="A32" s="115">
        <v>3</v>
      </c>
      <c r="B32" s="26" t="s">
        <v>1279</v>
      </c>
      <c r="C32" s="26" t="s">
        <v>209</v>
      </c>
      <c r="D32" s="26" t="s">
        <v>1280</v>
      </c>
      <c r="E32" s="117" t="s">
        <v>1314</v>
      </c>
      <c r="F32" s="26" t="s">
        <v>1152</v>
      </c>
      <c r="G32" s="26" t="s">
        <v>1007</v>
      </c>
      <c r="H32" s="95">
        <v>172.5</v>
      </c>
      <c r="I32" s="95">
        <v>177.5</v>
      </c>
      <c r="J32" s="112">
        <v>182.5</v>
      </c>
      <c r="K32" s="95">
        <v>177.5</v>
      </c>
      <c r="L32" s="95">
        <v>110</v>
      </c>
      <c r="M32" s="104">
        <v>24</v>
      </c>
      <c r="N32" s="179">
        <v>2640</v>
      </c>
      <c r="O32" s="180"/>
      <c r="P32" s="111">
        <v>32</v>
      </c>
      <c r="Q32" s="104" t="s">
        <v>1255</v>
      </c>
    </row>
    <row r="33" spans="1:17" ht="12.75">
      <c r="A33" s="89">
        <v>1</v>
      </c>
      <c r="B33" s="26" t="s">
        <v>1281</v>
      </c>
      <c r="C33" s="26" t="s">
        <v>1282</v>
      </c>
      <c r="D33" s="26" t="s">
        <v>438</v>
      </c>
      <c r="E33" s="117" t="s">
        <v>1315</v>
      </c>
      <c r="F33" s="26" t="s">
        <v>1152</v>
      </c>
      <c r="G33" s="26" t="s">
        <v>1101</v>
      </c>
      <c r="H33" s="95">
        <v>170</v>
      </c>
      <c r="I33" s="95">
        <v>180</v>
      </c>
      <c r="J33" s="95"/>
      <c r="K33" s="95">
        <v>180</v>
      </c>
      <c r="L33" s="95">
        <v>110</v>
      </c>
      <c r="M33" s="104">
        <v>22</v>
      </c>
      <c r="N33" s="179">
        <v>2420</v>
      </c>
      <c r="O33" s="180"/>
      <c r="P33" s="111">
        <v>40</v>
      </c>
      <c r="Q33" s="104" t="s">
        <v>1051</v>
      </c>
    </row>
    <row r="34" spans="2:20" ht="15.75">
      <c r="B34" s="156" t="s">
        <v>1238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</row>
    <row r="35" spans="1:20" ht="15.75">
      <c r="A35" s="89"/>
      <c r="B35" s="176" t="s">
        <v>206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</row>
    <row r="36" spans="1:17" ht="12.75">
      <c r="A36" s="89">
        <v>1</v>
      </c>
      <c r="B36" s="26" t="s">
        <v>1283</v>
      </c>
      <c r="C36" s="26" t="s">
        <v>1284</v>
      </c>
      <c r="D36" s="26" t="s">
        <v>1285</v>
      </c>
      <c r="E36" s="117" t="s">
        <v>1316</v>
      </c>
      <c r="F36" s="26" t="s">
        <v>1152</v>
      </c>
      <c r="G36" s="26" t="s">
        <v>1286</v>
      </c>
      <c r="H36" s="95">
        <v>190</v>
      </c>
      <c r="I36" s="95">
        <v>205</v>
      </c>
      <c r="J36" s="95">
        <v>225</v>
      </c>
      <c r="K36" s="95">
        <v>225</v>
      </c>
      <c r="L36" s="95">
        <v>150</v>
      </c>
      <c r="M36" s="104">
        <v>25</v>
      </c>
      <c r="N36" s="179">
        <v>3750</v>
      </c>
      <c r="O36" s="180"/>
      <c r="P36" s="111">
        <v>40</v>
      </c>
      <c r="Q36" s="104" t="s">
        <v>1287</v>
      </c>
    </row>
    <row r="37" spans="1:17" ht="12.75">
      <c r="A37" s="115">
        <v>2</v>
      </c>
      <c r="B37" s="26" t="s">
        <v>919</v>
      </c>
      <c r="C37" s="26" t="s">
        <v>920</v>
      </c>
      <c r="D37" s="26" t="s">
        <v>921</v>
      </c>
      <c r="E37" s="117" t="s">
        <v>1317</v>
      </c>
      <c r="F37" s="26" t="s">
        <v>1152</v>
      </c>
      <c r="G37" s="26" t="s">
        <v>1236</v>
      </c>
      <c r="H37" s="112">
        <v>220</v>
      </c>
      <c r="I37" s="95">
        <v>220</v>
      </c>
      <c r="J37" s="112">
        <v>235</v>
      </c>
      <c r="K37" s="95">
        <v>220</v>
      </c>
      <c r="L37" s="95">
        <v>150</v>
      </c>
      <c r="M37" s="104">
        <v>24</v>
      </c>
      <c r="N37" s="179">
        <v>3600</v>
      </c>
      <c r="O37" s="180"/>
      <c r="P37" s="111">
        <v>36</v>
      </c>
      <c r="Q37" s="104" t="s">
        <v>1051</v>
      </c>
    </row>
    <row r="38" spans="2:20" ht="15.75">
      <c r="B38" s="176" t="s">
        <v>82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</row>
    <row r="39" spans="1:17" ht="12.75">
      <c r="A39" s="89">
        <v>1</v>
      </c>
      <c r="B39" s="26" t="s">
        <v>550</v>
      </c>
      <c r="C39" s="26" t="s">
        <v>551</v>
      </c>
      <c r="D39" s="26" t="s">
        <v>94</v>
      </c>
      <c r="E39" s="117" t="s">
        <v>1303</v>
      </c>
      <c r="F39" s="26" t="s">
        <v>1152</v>
      </c>
      <c r="G39" s="26" t="s">
        <v>1007</v>
      </c>
      <c r="H39" s="95">
        <v>320</v>
      </c>
      <c r="I39" s="95">
        <v>330</v>
      </c>
      <c r="J39" s="112">
        <v>340</v>
      </c>
      <c r="K39" s="95">
        <v>330</v>
      </c>
      <c r="L39" s="95">
        <v>165</v>
      </c>
      <c r="M39" s="104">
        <v>31</v>
      </c>
      <c r="N39" s="179">
        <v>5115</v>
      </c>
      <c r="O39" s="180"/>
      <c r="P39" s="111">
        <v>40</v>
      </c>
      <c r="Q39" s="104" t="s">
        <v>1051</v>
      </c>
    </row>
    <row r="40" spans="2:20" ht="15.75">
      <c r="B40" s="176" t="s">
        <v>1242</v>
      </c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</row>
    <row r="41" spans="1:40" ht="15.75">
      <c r="A41" s="89">
        <v>1</v>
      </c>
      <c r="B41" s="26" t="s">
        <v>557</v>
      </c>
      <c r="C41" s="26" t="s">
        <v>558</v>
      </c>
      <c r="D41" s="26" t="s">
        <v>559</v>
      </c>
      <c r="E41" s="117" t="s">
        <v>1318</v>
      </c>
      <c r="F41" s="26" t="s">
        <v>1152</v>
      </c>
      <c r="G41" s="26" t="s">
        <v>560</v>
      </c>
      <c r="H41" s="95">
        <v>280</v>
      </c>
      <c r="I41" s="95">
        <v>300</v>
      </c>
      <c r="J41" s="95">
        <v>310</v>
      </c>
      <c r="K41" s="95">
        <v>310</v>
      </c>
      <c r="L41" s="95">
        <v>180</v>
      </c>
      <c r="M41" s="104">
        <v>32</v>
      </c>
      <c r="N41" s="179">
        <v>5760</v>
      </c>
      <c r="O41" s="180"/>
      <c r="P41" s="111">
        <v>40</v>
      </c>
      <c r="Q41" s="104" t="s">
        <v>1051</v>
      </c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</row>
    <row r="42" spans="1:17" ht="12.75">
      <c r="A42" s="89">
        <v>2</v>
      </c>
      <c r="B42" s="26" t="s">
        <v>924</v>
      </c>
      <c r="C42" s="26" t="s">
        <v>925</v>
      </c>
      <c r="D42" s="26" t="s">
        <v>926</v>
      </c>
      <c r="E42" s="117" t="s">
        <v>1319</v>
      </c>
      <c r="F42" s="26" t="s">
        <v>1152</v>
      </c>
      <c r="G42" s="26" t="s">
        <v>1236</v>
      </c>
      <c r="H42" s="95">
        <v>235</v>
      </c>
      <c r="I42" s="95">
        <v>250</v>
      </c>
      <c r="J42" s="95">
        <v>265</v>
      </c>
      <c r="K42" s="95">
        <v>265</v>
      </c>
      <c r="L42" s="95">
        <v>180</v>
      </c>
      <c r="M42" s="104">
        <v>15</v>
      </c>
      <c r="N42" s="179">
        <v>2700</v>
      </c>
      <c r="O42" s="180"/>
      <c r="P42" s="111">
        <v>36</v>
      </c>
      <c r="Q42" s="104" t="s">
        <v>1051</v>
      </c>
    </row>
    <row r="43" spans="2:20" ht="15.75">
      <c r="B43" s="176" t="s">
        <v>1288</v>
      </c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</row>
    <row r="44" spans="1:17" ht="12.75">
      <c r="A44" s="89">
        <v>1</v>
      </c>
      <c r="B44" s="26" t="s">
        <v>1287</v>
      </c>
      <c r="C44" s="26" t="s">
        <v>782</v>
      </c>
      <c r="D44" s="26" t="s">
        <v>1289</v>
      </c>
      <c r="E44" s="117" t="s">
        <v>1320</v>
      </c>
      <c r="F44" s="26" t="s">
        <v>1152</v>
      </c>
      <c r="G44" s="26" t="s">
        <v>1286</v>
      </c>
      <c r="H44" s="95">
        <v>310</v>
      </c>
      <c r="I44" s="112">
        <v>320</v>
      </c>
      <c r="J44" s="95">
        <v>320</v>
      </c>
      <c r="K44" s="95">
        <v>320</v>
      </c>
      <c r="L44" s="95">
        <v>195</v>
      </c>
      <c r="M44" s="104">
        <v>30</v>
      </c>
      <c r="N44" s="179">
        <v>5850</v>
      </c>
      <c r="O44" s="180"/>
      <c r="P44" s="111">
        <v>40</v>
      </c>
      <c r="Q44" s="104" t="s">
        <v>1051</v>
      </c>
    </row>
    <row r="45" spans="2:20" ht="15.75">
      <c r="B45" s="156" t="s">
        <v>1239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</row>
    <row r="46" spans="1:20" ht="15.75">
      <c r="A46" s="43"/>
      <c r="B46" s="176" t="s">
        <v>206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</row>
    <row r="47" spans="1:17" ht="12.75">
      <c r="A47" s="89">
        <v>1</v>
      </c>
      <c r="B47" s="26" t="s">
        <v>1240</v>
      </c>
      <c r="C47" s="26" t="s">
        <v>1290</v>
      </c>
      <c r="D47" s="26" t="s">
        <v>310</v>
      </c>
      <c r="E47" s="117" t="s">
        <v>1321</v>
      </c>
      <c r="F47" s="26" t="s">
        <v>1028</v>
      </c>
      <c r="G47" s="26" t="s">
        <v>1262</v>
      </c>
      <c r="H47" s="95">
        <v>185</v>
      </c>
      <c r="I47" s="95">
        <v>192.5</v>
      </c>
      <c r="J47" s="95">
        <v>197.5</v>
      </c>
      <c r="K47" s="95">
        <v>197.5</v>
      </c>
      <c r="L47" s="95">
        <v>100</v>
      </c>
      <c r="M47" s="104">
        <v>24</v>
      </c>
      <c r="N47" s="179">
        <v>2400</v>
      </c>
      <c r="O47" s="180"/>
      <c r="P47" s="111">
        <v>40</v>
      </c>
      <c r="Q47" s="104" t="s">
        <v>1014</v>
      </c>
    </row>
    <row r="48" spans="1:20" ht="15.75">
      <c r="A48" s="43"/>
      <c r="B48" s="176" t="s">
        <v>82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</row>
    <row r="49" spans="1:17" ht="12.75">
      <c r="A49" s="89">
        <v>1</v>
      </c>
      <c r="B49" s="26" t="s">
        <v>1099</v>
      </c>
      <c r="C49" s="26" t="s">
        <v>1100</v>
      </c>
      <c r="D49" s="26" t="s">
        <v>153</v>
      </c>
      <c r="E49" s="117" t="s">
        <v>1322</v>
      </c>
      <c r="F49" s="26" t="s">
        <v>1152</v>
      </c>
      <c r="G49" s="26" t="s">
        <v>1101</v>
      </c>
      <c r="H49" s="95">
        <v>170</v>
      </c>
      <c r="I49" s="95">
        <v>180</v>
      </c>
      <c r="J49" s="95">
        <v>185</v>
      </c>
      <c r="K49" s="95">
        <v>185</v>
      </c>
      <c r="L49" s="95">
        <v>100</v>
      </c>
      <c r="M49" s="104">
        <v>34</v>
      </c>
      <c r="N49" s="179">
        <v>3400</v>
      </c>
      <c r="O49" s="180"/>
      <c r="P49" s="111">
        <v>40</v>
      </c>
      <c r="Q49" s="104" t="s">
        <v>1051</v>
      </c>
    </row>
    <row r="50" spans="1:17" ht="12.75">
      <c r="A50" s="89">
        <v>1</v>
      </c>
      <c r="B50" s="26" t="s">
        <v>688</v>
      </c>
      <c r="C50" s="26" t="s">
        <v>1258</v>
      </c>
      <c r="D50" s="26" t="s">
        <v>690</v>
      </c>
      <c r="E50" s="117" t="s">
        <v>1305</v>
      </c>
      <c r="F50" s="26" t="s">
        <v>1152</v>
      </c>
      <c r="G50" s="26" t="s">
        <v>1007</v>
      </c>
      <c r="H50" s="95">
        <v>135</v>
      </c>
      <c r="I50" s="95">
        <v>142</v>
      </c>
      <c r="J50" s="95"/>
      <c r="K50" s="95">
        <v>142.5</v>
      </c>
      <c r="L50" s="95">
        <v>100</v>
      </c>
      <c r="M50" s="104">
        <v>21</v>
      </c>
      <c r="N50" s="179">
        <v>2100</v>
      </c>
      <c r="O50" s="180"/>
      <c r="P50" s="111">
        <v>40</v>
      </c>
      <c r="Q50" s="104" t="s">
        <v>1051</v>
      </c>
    </row>
    <row r="51" spans="1:20" ht="15.75">
      <c r="A51" s="43"/>
      <c r="B51" s="156" t="s">
        <v>1299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  <row r="52" spans="1:20" ht="15.75">
      <c r="A52" s="43"/>
      <c r="B52" s="176" t="s">
        <v>1230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</row>
    <row r="53" spans="1:17" ht="12.75">
      <c r="A53" s="89">
        <v>1</v>
      </c>
      <c r="B53" s="26" t="s">
        <v>1291</v>
      </c>
      <c r="C53" s="26" t="s">
        <v>1292</v>
      </c>
      <c r="D53" s="26" t="s">
        <v>273</v>
      </c>
      <c r="E53" s="117" t="s">
        <v>1323</v>
      </c>
      <c r="F53" s="26" t="s">
        <v>1152</v>
      </c>
      <c r="G53" s="26" t="s">
        <v>1101</v>
      </c>
      <c r="H53" s="95">
        <v>100</v>
      </c>
      <c r="I53" s="95">
        <v>105</v>
      </c>
      <c r="J53" s="95"/>
      <c r="K53" s="95">
        <v>105</v>
      </c>
      <c r="L53" s="95">
        <v>70</v>
      </c>
      <c r="M53" s="104">
        <v>14</v>
      </c>
      <c r="N53" s="179">
        <v>980</v>
      </c>
      <c r="O53" s="180"/>
      <c r="P53" s="111">
        <v>40</v>
      </c>
      <c r="Q53" s="104" t="s">
        <v>1051</v>
      </c>
    </row>
    <row r="54" spans="2:20" ht="15.75">
      <c r="B54" s="156" t="s">
        <v>1237</v>
      </c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</row>
    <row r="55" spans="2:20" ht="15.75">
      <c r="B55" s="176" t="s">
        <v>82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</row>
    <row r="56" spans="1:17" ht="12.75">
      <c r="A56" s="89">
        <v>1</v>
      </c>
      <c r="B56" s="26" t="s">
        <v>1293</v>
      </c>
      <c r="C56" s="26" t="s">
        <v>1294</v>
      </c>
      <c r="D56" s="26" t="s">
        <v>766</v>
      </c>
      <c r="E56" s="117" t="s">
        <v>1324</v>
      </c>
      <c r="F56" s="26" t="s">
        <v>1152</v>
      </c>
      <c r="G56" s="26" t="s">
        <v>1295</v>
      </c>
      <c r="H56" s="95">
        <v>190</v>
      </c>
      <c r="I56" s="95">
        <v>200</v>
      </c>
      <c r="J56" s="95"/>
      <c r="K56" s="95">
        <v>200</v>
      </c>
      <c r="L56" s="95">
        <v>140</v>
      </c>
      <c r="M56" s="104">
        <v>14</v>
      </c>
      <c r="N56" s="179">
        <v>1960</v>
      </c>
      <c r="O56" s="180"/>
      <c r="P56" s="111">
        <v>40</v>
      </c>
      <c r="Q56" s="104" t="s">
        <v>1051</v>
      </c>
    </row>
    <row r="57" spans="1:20" ht="15.75">
      <c r="A57" s="43"/>
      <c r="B57" s="176" t="s">
        <v>1242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</row>
    <row r="58" spans="1:17" ht="12.75">
      <c r="A58" s="89">
        <v>1</v>
      </c>
      <c r="B58" s="26" t="s">
        <v>1296</v>
      </c>
      <c r="C58" s="26" t="s">
        <v>1297</v>
      </c>
      <c r="D58" s="26" t="s">
        <v>1298</v>
      </c>
      <c r="E58" s="117" t="s">
        <v>1325</v>
      </c>
      <c r="F58" s="26" t="s">
        <v>1152</v>
      </c>
      <c r="G58" s="26" t="s">
        <v>1007</v>
      </c>
      <c r="H58" s="95">
        <v>265</v>
      </c>
      <c r="I58" s="95"/>
      <c r="J58" s="95"/>
      <c r="K58" s="95">
        <v>265</v>
      </c>
      <c r="L58" s="95">
        <v>180</v>
      </c>
      <c r="M58" s="104">
        <v>16</v>
      </c>
      <c r="N58" s="179">
        <v>2880</v>
      </c>
      <c r="O58" s="180"/>
      <c r="P58" s="111">
        <v>40</v>
      </c>
      <c r="Q58" s="104" t="s">
        <v>1051</v>
      </c>
    </row>
    <row r="59" spans="1:5" ht="13.5">
      <c r="A59" s="43"/>
      <c r="B59" s="84"/>
      <c r="C59" s="23"/>
      <c r="D59" s="1"/>
      <c r="E59" s="1"/>
    </row>
  </sheetData>
  <sheetProtection/>
  <mergeCells count="67">
    <mergeCell ref="B1:Q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B14:T14"/>
    <mergeCell ref="N15:O15"/>
    <mergeCell ref="Q3:Q4"/>
    <mergeCell ref="N4:O4"/>
    <mergeCell ref="B5:T5"/>
    <mergeCell ref="B6:T6"/>
    <mergeCell ref="N7:O7"/>
    <mergeCell ref="B12:T12"/>
    <mergeCell ref="N13:O13"/>
    <mergeCell ref="N16:O16"/>
    <mergeCell ref="N17:O17"/>
    <mergeCell ref="B45:T45"/>
    <mergeCell ref="B8:T8"/>
    <mergeCell ref="B9:T9"/>
    <mergeCell ref="N10:O10"/>
    <mergeCell ref="B23:T23"/>
    <mergeCell ref="N21:O21"/>
    <mergeCell ref="B29:T29"/>
    <mergeCell ref="N11:O11"/>
    <mergeCell ref="B51:T51"/>
    <mergeCell ref="B18:T18"/>
    <mergeCell ref="B19:T19"/>
    <mergeCell ref="N20:O20"/>
    <mergeCell ref="B22:T22"/>
    <mergeCell ref="N31:O31"/>
    <mergeCell ref="N32:O32"/>
    <mergeCell ref="N37:O37"/>
    <mergeCell ref="B54:T54"/>
    <mergeCell ref="N24:O24"/>
    <mergeCell ref="N25:O25"/>
    <mergeCell ref="N26:O26"/>
    <mergeCell ref="B55:T55"/>
    <mergeCell ref="N39:O39"/>
    <mergeCell ref="B40:T40"/>
    <mergeCell ref="N41:O41"/>
    <mergeCell ref="B46:T46"/>
    <mergeCell ref="B48:T48"/>
    <mergeCell ref="B57:T57"/>
    <mergeCell ref="N58:O58"/>
    <mergeCell ref="B27:T27"/>
    <mergeCell ref="N28:O28"/>
    <mergeCell ref="N30:O30"/>
    <mergeCell ref="N33:O33"/>
    <mergeCell ref="B34:T34"/>
    <mergeCell ref="B35:T35"/>
    <mergeCell ref="N36:O36"/>
    <mergeCell ref="B38:T38"/>
    <mergeCell ref="N56:O56"/>
    <mergeCell ref="N50:O50"/>
    <mergeCell ref="N53:O53"/>
    <mergeCell ref="U41:AN41"/>
    <mergeCell ref="N42:O42"/>
    <mergeCell ref="B43:T43"/>
    <mergeCell ref="N44:O44"/>
    <mergeCell ref="N47:O47"/>
    <mergeCell ref="N49:O49"/>
    <mergeCell ref="B52:T52"/>
  </mergeCells>
  <printOptions/>
  <pageMargins left="0.7" right="0.7" top="0.75" bottom="0.75" header="0.3" footer="0.3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83"/>
  <sheetViews>
    <sheetView workbookViewId="0" topLeftCell="A1">
      <selection activeCell="E54" sqref="E54"/>
    </sheetView>
  </sheetViews>
  <sheetFormatPr defaultColWidth="8.75390625" defaultRowHeight="12.75"/>
  <cols>
    <col min="1" max="1" width="3.75390625" style="0" customWidth="1"/>
    <col min="2" max="2" width="24.75390625" style="0" customWidth="1"/>
    <col min="3" max="3" width="26.875" style="0" customWidth="1"/>
    <col min="4" max="4" width="11.375" style="0" customWidth="1"/>
    <col min="5" max="5" width="24.75390625" style="0" customWidth="1"/>
    <col min="6" max="6" width="38.00390625" style="0" customWidth="1"/>
    <col min="7" max="15" width="8.75390625" style="0" customWidth="1"/>
    <col min="16" max="16" width="11.375" style="0" customWidth="1"/>
    <col min="17" max="17" width="21.25390625" style="0" customWidth="1"/>
  </cols>
  <sheetData>
    <row r="1" spans="1:22" ht="12.75">
      <c r="A1" s="43"/>
      <c r="B1" s="157" t="s">
        <v>1363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1"/>
      <c r="S1" s="1"/>
      <c r="T1" s="1"/>
      <c r="U1" s="1"/>
      <c r="V1" s="1"/>
    </row>
    <row r="2" spans="1:22" ht="51" customHeight="1" thickBot="1">
      <c r="A2" s="43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R2" s="1"/>
      <c r="S2" s="1"/>
      <c r="T2" s="1"/>
      <c r="U2" s="1"/>
      <c r="V2" s="1"/>
    </row>
    <row r="3" spans="1:22" ht="46.5" customHeight="1" thickBot="1">
      <c r="A3" s="2"/>
      <c r="B3" s="126" t="s">
        <v>0</v>
      </c>
      <c r="C3" s="127" t="s">
        <v>1077</v>
      </c>
      <c r="D3" s="128" t="s">
        <v>936</v>
      </c>
      <c r="E3" s="128" t="s">
        <v>6</v>
      </c>
      <c r="F3" s="128" t="s">
        <v>940</v>
      </c>
      <c r="G3" s="187" t="s">
        <v>1326</v>
      </c>
      <c r="H3" s="188"/>
      <c r="I3" s="188"/>
      <c r="J3" s="188"/>
      <c r="K3" s="188"/>
      <c r="L3" s="188"/>
      <c r="M3" s="188"/>
      <c r="N3" s="188"/>
      <c r="O3" s="189"/>
      <c r="P3" s="128" t="s">
        <v>1228</v>
      </c>
      <c r="Q3" s="129" t="s">
        <v>5</v>
      </c>
      <c r="R3" s="2"/>
      <c r="S3" s="2"/>
      <c r="T3" s="2"/>
      <c r="U3" s="2"/>
      <c r="V3" s="2"/>
    </row>
    <row r="4" spans="1:22" ht="15.75">
      <c r="A4" s="89"/>
      <c r="B4" s="156" t="s">
        <v>1327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2" ht="15.75">
      <c r="A5" s="89"/>
      <c r="B5" s="156" t="s">
        <v>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2.75">
      <c r="A6" s="120">
        <v>1</v>
      </c>
      <c r="B6" s="119" t="s">
        <v>1364</v>
      </c>
      <c r="C6" s="119" t="s">
        <v>1365</v>
      </c>
      <c r="D6" s="119" t="s">
        <v>798</v>
      </c>
      <c r="E6" s="119" t="s">
        <v>1338</v>
      </c>
      <c r="F6" s="119" t="s">
        <v>1366</v>
      </c>
      <c r="G6" s="119" t="s">
        <v>1367</v>
      </c>
      <c r="H6" s="119" t="s">
        <v>1328</v>
      </c>
      <c r="I6" s="121" t="s">
        <v>1329</v>
      </c>
      <c r="J6" s="121"/>
      <c r="K6" s="121"/>
      <c r="L6" s="121"/>
      <c r="M6" s="121"/>
      <c r="N6" s="121"/>
      <c r="O6" s="122"/>
      <c r="P6" s="119" t="s">
        <v>1328</v>
      </c>
      <c r="Q6" s="123" t="s">
        <v>1340</v>
      </c>
      <c r="R6" s="124"/>
      <c r="S6" s="124"/>
      <c r="T6" s="124"/>
      <c r="U6" s="124"/>
      <c r="V6" s="124"/>
    </row>
    <row r="7" spans="1:22" ht="12.75">
      <c r="A7" s="120">
        <v>1</v>
      </c>
      <c r="B7" s="119" t="s">
        <v>1368</v>
      </c>
      <c r="C7" s="119" t="s">
        <v>1372</v>
      </c>
      <c r="D7" s="119" t="s">
        <v>1369</v>
      </c>
      <c r="E7" s="119" t="s">
        <v>1152</v>
      </c>
      <c r="F7" s="119" t="s">
        <v>1370</v>
      </c>
      <c r="G7" s="119" t="s">
        <v>1367</v>
      </c>
      <c r="H7" s="130" t="s">
        <v>1328</v>
      </c>
      <c r="I7" s="121"/>
      <c r="J7" s="121"/>
      <c r="K7" s="121"/>
      <c r="L7" s="121"/>
      <c r="M7" s="121"/>
      <c r="N7" s="121"/>
      <c r="O7" s="122"/>
      <c r="P7" s="119" t="s">
        <v>1367</v>
      </c>
      <c r="Q7" s="123" t="s">
        <v>1051</v>
      </c>
      <c r="R7" s="125"/>
      <c r="S7" s="125"/>
      <c r="T7" s="125"/>
      <c r="U7" s="125"/>
      <c r="V7" s="125"/>
    </row>
    <row r="8" spans="1:22" ht="15.75">
      <c r="A8" s="183" t="s">
        <v>1038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25"/>
    </row>
    <row r="9" spans="1:22" ht="15.75">
      <c r="A9" s="125"/>
      <c r="B9" s="183" t="s">
        <v>1230</v>
      </c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</row>
    <row r="10" spans="1:22" ht="12.75">
      <c r="A10" s="120"/>
      <c r="B10" s="119" t="s">
        <v>1378</v>
      </c>
      <c r="C10" s="119" t="s">
        <v>1379</v>
      </c>
      <c r="D10" s="119" t="s">
        <v>1380</v>
      </c>
      <c r="E10" s="119" t="s">
        <v>1152</v>
      </c>
      <c r="F10" s="119" t="s">
        <v>1262</v>
      </c>
      <c r="G10" s="130" t="s">
        <v>1375</v>
      </c>
      <c r="H10" s="119"/>
      <c r="I10" s="121"/>
      <c r="J10" s="121"/>
      <c r="K10" s="121"/>
      <c r="L10" s="121"/>
      <c r="M10" s="121"/>
      <c r="N10" s="121"/>
      <c r="O10" s="122"/>
      <c r="P10" s="119"/>
      <c r="Q10" s="123" t="s">
        <v>1051</v>
      </c>
      <c r="R10" s="125"/>
      <c r="S10" s="125"/>
      <c r="T10" s="125"/>
      <c r="U10" s="125"/>
      <c r="V10" s="125"/>
    </row>
    <row r="11" spans="1:22" ht="12.75">
      <c r="A11" s="120">
        <v>1</v>
      </c>
      <c r="B11" s="119" t="s">
        <v>1371</v>
      </c>
      <c r="C11" s="119" t="s">
        <v>1373</v>
      </c>
      <c r="D11" s="119" t="s">
        <v>1374</v>
      </c>
      <c r="E11" s="119" t="s">
        <v>1152</v>
      </c>
      <c r="F11" s="119" t="s">
        <v>1007</v>
      </c>
      <c r="G11" s="119" t="s">
        <v>1375</v>
      </c>
      <c r="H11" s="119" t="s">
        <v>1376</v>
      </c>
      <c r="I11" s="119" t="s">
        <v>1332</v>
      </c>
      <c r="J11" s="131" t="s">
        <v>1330</v>
      </c>
      <c r="K11" s="130" t="s">
        <v>1331</v>
      </c>
      <c r="L11" s="131"/>
      <c r="M11" s="131"/>
      <c r="N11" s="131"/>
      <c r="O11" s="104"/>
      <c r="P11" s="119" t="s">
        <v>1330</v>
      </c>
      <c r="Q11" s="123" t="s">
        <v>1377</v>
      </c>
      <c r="R11" s="125"/>
      <c r="S11" s="125"/>
      <c r="T11" s="125"/>
      <c r="U11" s="125"/>
      <c r="V11" s="125"/>
    </row>
    <row r="12" spans="1:22" ht="15.75">
      <c r="A12" s="125"/>
      <c r="B12" s="183" t="s">
        <v>1232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</row>
    <row r="13" spans="1:22" ht="12.75">
      <c r="A13" s="120">
        <v>1</v>
      </c>
      <c r="B13" s="119" t="s">
        <v>1381</v>
      </c>
      <c r="C13" s="119" t="s">
        <v>1382</v>
      </c>
      <c r="D13" s="119" t="s">
        <v>1383</v>
      </c>
      <c r="E13" s="119" t="s">
        <v>1152</v>
      </c>
      <c r="F13" s="119" t="s">
        <v>1370</v>
      </c>
      <c r="G13" s="119" t="s">
        <v>1332</v>
      </c>
      <c r="H13" s="119" t="s">
        <v>1342</v>
      </c>
      <c r="I13" s="119" t="s">
        <v>1350</v>
      </c>
      <c r="J13" s="119" t="s">
        <v>1352</v>
      </c>
      <c r="K13" s="130" t="s">
        <v>1345</v>
      </c>
      <c r="L13" s="119"/>
      <c r="M13" s="119"/>
      <c r="N13" s="119"/>
      <c r="O13" s="104"/>
      <c r="P13" s="119" t="s">
        <v>1352</v>
      </c>
      <c r="Q13" s="123" t="s">
        <v>1384</v>
      </c>
      <c r="R13" s="125"/>
      <c r="S13" s="125"/>
      <c r="T13" s="125"/>
      <c r="U13" s="125"/>
      <c r="V13" s="125"/>
    </row>
    <row r="14" spans="1:22" ht="12.75">
      <c r="A14" s="120">
        <v>2</v>
      </c>
      <c r="B14" s="119" t="s">
        <v>1385</v>
      </c>
      <c r="C14" s="119" t="s">
        <v>1386</v>
      </c>
      <c r="D14" s="119" t="s">
        <v>1387</v>
      </c>
      <c r="E14" s="119" t="s">
        <v>1152</v>
      </c>
      <c r="F14" s="119" t="s">
        <v>1388</v>
      </c>
      <c r="G14" s="119" t="s">
        <v>1332</v>
      </c>
      <c r="H14" s="119" t="s">
        <v>1330</v>
      </c>
      <c r="I14" s="119" t="s">
        <v>1331</v>
      </c>
      <c r="J14" s="130" t="s">
        <v>1342</v>
      </c>
      <c r="K14" s="130"/>
      <c r="L14" s="130"/>
      <c r="M14" s="130"/>
      <c r="N14" s="130"/>
      <c r="O14" s="122"/>
      <c r="P14" s="119" t="s">
        <v>1331</v>
      </c>
      <c r="Q14" s="123" t="s">
        <v>1389</v>
      </c>
      <c r="R14" s="125"/>
      <c r="S14" s="125"/>
      <c r="T14" s="125"/>
      <c r="U14" s="125"/>
      <c r="V14" s="125"/>
    </row>
    <row r="15" spans="1:22" ht="12.75">
      <c r="A15" s="120">
        <v>3</v>
      </c>
      <c r="B15" s="119" t="s">
        <v>1336</v>
      </c>
      <c r="C15" s="119" t="s">
        <v>1337</v>
      </c>
      <c r="D15" s="119" t="s">
        <v>1390</v>
      </c>
      <c r="E15" s="119" t="s">
        <v>1338</v>
      </c>
      <c r="F15" s="119" t="s">
        <v>1339</v>
      </c>
      <c r="G15" s="119" t="s">
        <v>1332</v>
      </c>
      <c r="H15" s="119" t="s">
        <v>1330</v>
      </c>
      <c r="I15" s="121" t="s">
        <v>1331</v>
      </c>
      <c r="J15" s="121"/>
      <c r="K15" s="121"/>
      <c r="L15" s="121"/>
      <c r="M15" s="121"/>
      <c r="N15" s="121"/>
      <c r="O15" s="122"/>
      <c r="P15" s="119" t="s">
        <v>1330</v>
      </c>
      <c r="Q15" s="123" t="s">
        <v>1340</v>
      </c>
      <c r="R15" s="125"/>
      <c r="S15" s="125"/>
      <c r="T15" s="125"/>
      <c r="U15" s="125"/>
      <c r="V15" s="125"/>
    </row>
    <row r="16" spans="1:22" ht="12.75">
      <c r="A16" s="115">
        <v>1</v>
      </c>
      <c r="B16" s="119" t="s">
        <v>1381</v>
      </c>
      <c r="C16" s="119" t="s">
        <v>1391</v>
      </c>
      <c r="D16" s="119" t="s">
        <v>1383</v>
      </c>
      <c r="E16" s="119" t="s">
        <v>1152</v>
      </c>
      <c r="F16" s="119" t="s">
        <v>1370</v>
      </c>
      <c r="G16" s="119" t="s">
        <v>1332</v>
      </c>
      <c r="H16" s="119" t="s">
        <v>1342</v>
      </c>
      <c r="I16" s="119" t="s">
        <v>1350</v>
      </c>
      <c r="J16" s="119" t="s">
        <v>1352</v>
      </c>
      <c r="K16" s="130" t="s">
        <v>1345</v>
      </c>
      <c r="L16" s="119"/>
      <c r="M16" s="119"/>
      <c r="N16" s="119"/>
      <c r="O16" s="104"/>
      <c r="P16" s="119" t="s">
        <v>1352</v>
      </c>
      <c r="Q16" s="123" t="s">
        <v>1384</v>
      </c>
      <c r="R16" s="125"/>
      <c r="S16" s="125"/>
      <c r="T16" s="125"/>
      <c r="U16" s="125"/>
      <c r="V16" s="125"/>
    </row>
    <row r="17" spans="1:22" ht="12.75">
      <c r="A17" s="120">
        <v>2</v>
      </c>
      <c r="B17" s="119" t="s">
        <v>1392</v>
      </c>
      <c r="C17" s="119" t="s">
        <v>1395</v>
      </c>
      <c r="D17" s="119" t="s">
        <v>1393</v>
      </c>
      <c r="E17" s="119" t="s">
        <v>1338</v>
      </c>
      <c r="F17" s="119" t="s">
        <v>95</v>
      </c>
      <c r="G17" s="119" t="s">
        <v>1332</v>
      </c>
      <c r="H17" s="119" t="s">
        <v>1330</v>
      </c>
      <c r="I17" s="119" t="s">
        <v>1331</v>
      </c>
      <c r="J17" s="131" t="s">
        <v>1342</v>
      </c>
      <c r="K17" s="131" t="s">
        <v>1350</v>
      </c>
      <c r="L17" s="130" t="s">
        <v>1352</v>
      </c>
      <c r="M17" s="131"/>
      <c r="N17" s="131"/>
      <c r="P17" s="119" t="s">
        <v>1350</v>
      </c>
      <c r="Q17" s="123" t="s">
        <v>1343</v>
      </c>
      <c r="R17" s="125"/>
      <c r="S17" s="125"/>
      <c r="T17" s="125"/>
      <c r="U17" s="125"/>
      <c r="V17" s="125"/>
    </row>
    <row r="18" spans="1:22" ht="12.75">
      <c r="A18" s="120">
        <v>3</v>
      </c>
      <c r="B18" s="119" t="s">
        <v>1394</v>
      </c>
      <c r="C18" s="119" t="s">
        <v>1396</v>
      </c>
      <c r="D18" s="119" t="s">
        <v>1397</v>
      </c>
      <c r="E18" s="119" t="s">
        <v>1398</v>
      </c>
      <c r="F18" s="119" t="s">
        <v>1399</v>
      </c>
      <c r="G18" s="119" t="s">
        <v>1332</v>
      </c>
      <c r="H18" s="119" t="s">
        <v>1330</v>
      </c>
      <c r="I18" s="119" t="s">
        <v>1331</v>
      </c>
      <c r="J18" s="131" t="s">
        <v>1342</v>
      </c>
      <c r="K18" s="130" t="s">
        <v>1350</v>
      </c>
      <c r="L18" s="130"/>
      <c r="M18" s="130"/>
      <c r="N18" s="130"/>
      <c r="O18" s="122"/>
      <c r="P18" s="119" t="s">
        <v>1342</v>
      </c>
      <c r="Q18" s="123" t="s">
        <v>1400</v>
      </c>
      <c r="R18" s="125"/>
      <c r="S18" s="125"/>
      <c r="T18" s="125"/>
      <c r="U18" s="125"/>
      <c r="V18" s="125"/>
    </row>
    <row r="19" spans="1:22" ht="12.75">
      <c r="A19" s="120">
        <v>4</v>
      </c>
      <c r="B19" s="119" t="s">
        <v>1377</v>
      </c>
      <c r="C19" s="119" t="s">
        <v>1401</v>
      </c>
      <c r="D19" s="119" t="s">
        <v>1402</v>
      </c>
      <c r="E19" s="119" t="s">
        <v>1403</v>
      </c>
      <c r="F19" s="119" t="s">
        <v>1007</v>
      </c>
      <c r="G19" s="119" t="s">
        <v>1332</v>
      </c>
      <c r="H19" s="119" t="s">
        <v>1330</v>
      </c>
      <c r="I19" s="119" t="s">
        <v>1331</v>
      </c>
      <c r="J19" s="130" t="s">
        <v>1342</v>
      </c>
      <c r="K19" s="121"/>
      <c r="L19" s="121"/>
      <c r="M19" s="121"/>
      <c r="N19" s="121"/>
      <c r="O19" s="122"/>
      <c r="P19" s="119" t="s">
        <v>1331</v>
      </c>
      <c r="Q19" s="123" t="s">
        <v>1051</v>
      </c>
      <c r="R19" s="125"/>
      <c r="S19" s="125"/>
      <c r="T19" s="125"/>
      <c r="U19" s="125"/>
      <c r="V19" s="125"/>
    </row>
    <row r="20" spans="1:22" ht="12.75">
      <c r="A20" s="120">
        <v>5</v>
      </c>
      <c r="B20" s="26" t="s">
        <v>1178</v>
      </c>
      <c r="C20" s="26" t="s">
        <v>1179</v>
      </c>
      <c r="D20" s="26" t="s">
        <v>1180</v>
      </c>
      <c r="E20" s="98" t="s">
        <v>1152</v>
      </c>
      <c r="F20" s="26" t="s">
        <v>1181</v>
      </c>
      <c r="G20" s="119" t="s">
        <v>1332</v>
      </c>
      <c r="H20" s="119" t="s">
        <v>1330</v>
      </c>
      <c r="I20" s="119" t="s">
        <v>1331</v>
      </c>
      <c r="J20" s="130" t="s">
        <v>1342</v>
      </c>
      <c r="K20" s="121"/>
      <c r="L20" s="121"/>
      <c r="M20" s="121"/>
      <c r="N20" s="121"/>
      <c r="O20" s="122"/>
      <c r="P20" s="119" t="s">
        <v>1331</v>
      </c>
      <c r="Q20" s="123" t="s">
        <v>1051</v>
      </c>
      <c r="R20" s="125"/>
      <c r="S20" s="125"/>
      <c r="T20" s="125"/>
      <c r="U20" s="125"/>
      <c r="V20" s="125"/>
    </row>
    <row r="21" spans="1:22" ht="12.75">
      <c r="A21" s="120">
        <v>6</v>
      </c>
      <c r="B21" s="119" t="s">
        <v>1333</v>
      </c>
      <c r="C21" s="119" t="s">
        <v>1404</v>
      </c>
      <c r="D21" s="119" t="s">
        <v>1405</v>
      </c>
      <c r="E21" s="119" t="s">
        <v>1152</v>
      </c>
      <c r="F21" s="119" t="s">
        <v>1334</v>
      </c>
      <c r="G21" s="119" t="s">
        <v>1332</v>
      </c>
      <c r="H21" s="119" t="s">
        <v>1330</v>
      </c>
      <c r="I21" s="121" t="s">
        <v>1331</v>
      </c>
      <c r="J21" s="121"/>
      <c r="K21" s="121"/>
      <c r="L21" s="121"/>
      <c r="M21" s="121"/>
      <c r="N21" s="121"/>
      <c r="O21" s="122"/>
      <c r="P21" s="119" t="s">
        <v>1330</v>
      </c>
      <c r="Q21" s="123" t="s">
        <v>1335</v>
      </c>
      <c r="R21" s="125"/>
      <c r="S21" s="125"/>
      <c r="T21" s="125"/>
      <c r="U21" s="125"/>
      <c r="V21" s="125"/>
    </row>
    <row r="22" spans="1:22" ht="15.75">
      <c r="A22" s="125"/>
      <c r="B22" s="183" t="s">
        <v>62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</row>
    <row r="23" spans="1:22" ht="12.75">
      <c r="A23" s="120">
        <v>1</v>
      </c>
      <c r="B23" s="119" t="s">
        <v>1341</v>
      </c>
      <c r="C23" s="119" t="s">
        <v>1406</v>
      </c>
      <c r="D23" s="119" t="s">
        <v>1407</v>
      </c>
      <c r="E23" s="119" t="s">
        <v>1338</v>
      </c>
      <c r="F23" s="119" t="s">
        <v>1339</v>
      </c>
      <c r="G23" s="119" t="s">
        <v>1332</v>
      </c>
      <c r="H23" s="119" t="s">
        <v>1330</v>
      </c>
      <c r="I23" s="119" t="s">
        <v>1331</v>
      </c>
      <c r="J23" s="131" t="s">
        <v>1342</v>
      </c>
      <c r="K23" s="130" t="s">
        <v>1350</v>
      </c>
      <c r="L23" s="130"/>
      <c r="M23" s="130"/>
      <c r="N23" s="130"/>
      <c r="O23" s="122"/>
      <c r="P23" s="119" t="s">
        <v>1342</v>
      </c>
      <c r="Q23" s="123" t="s">
        <v>1340</v>
      </c>
      <c r="R23" s="125"/>
      <c r="S23" s="125"/>
      <c r="T23" s="125"/>
      <c r="U23" s="125"/>
      <c r="V23" s="125"/>
    </row>
    <row r="24" spans="1:22" ht="12.75">
      <c r="A24" s="120">
        <v>1</v>
      </c>
      <c r="B24" s="119" t="s">
        <v>1343</v>
      </c>
      <c r="C24" s="119" t="s">
        <v>1344</v>
      </c>
      <c r="D24" s="119" t="s">
        <v>1408</v>
      </c>
      <c r="E24" s="119" t="s">
        <v>1338</v>
      </c>
      <c r="F24" s="119" t="s">
        <v>95</v>
      </c>
      <c r="G24" s="119" t="s">
        <v>1332</v>
      </c>
      <c r="H24" s="119" t="s">
        <v>1330</v>
      </c>
      <c r="I24" s="119" t="s">
        <v>1331</v>
      </c>
      <c r="J24" s="131" t="s">
        <v>1342</v>
      </c>
      <c r="K24" s="131" t="s">
        <v>1350</v>
      </c>
      <c r="L24" s="131" t="s">
        <v>1352</v>
      </c>
      <c r="M24" s="119" t="s">
        <v>1345</v>
      </c>
      <c r="N24" s="119" t="s">
        <v>1346</v>
      </c>
      <c r="O24" s="137">
        <v>103</v>
      </c>
      <c r="P24" s="119" t="s">
        <v>1346</v>
      </c>
      <c r="Q24" s="123" t="s">
        <v>1051</v>
      </c>
      <c r="R24" s="125"/>
      <c r="S24" s="125"/>
      <c r="T24" s="125"/>
      <c r="U24" s="125"/>
      <c r="V24" s="125"/>
    </row>
    <row r="25" spans="1:22" ht="12.75">
      <c r="A25" s="120">
        <v>2</v>
      </c>
      <c r="B25" s="119" t="s">
        <v>1400</v>
      </c>
      <c r="C25" s="119" t="s">
        <v>1409</v>
      </c>
      <c r="D25" s="119" t="s">
        <v>75</v>
      </c>
      <c r="E25" s="119" t="s">
        <v>1398</v>
      </c>
      <c r="F25" s="119" t="s">
        <v>1399</v>
      </c>
      <c r="G25" s="119" t="s">
        <v>1332</v>
      </c>
      <c r="H25" s="119" t="s">
        <v>1330</v>
      </c>
      <c r="I25" s="119" t="s">
        <v>1331</v>
      </c>
      <c r="J25" s="131" t="s">
        <v>1342</v>
      </c>
      <c r="K25" s="131" t="s">
        <v>1350</v>
      </c>
      <c r="L25" s="131" t="s">
        <v>1352</v>
      </c>
      <c r="M25" s="119" t="s">
        <v>1345</v>
      </c>
      <c r="N25" s="119" t="s">
        <v>1346</v>
      </c>
      <c r="O25" s="136">
        <v>103</v>
      </c>
      <c r="P25" s="119" t="s">
        <v>1346</v>
      </c>
      <c r="Q25" s="123" t="s">
        <v>1051</v>
      </c>
      <c r="R25" s="125"/>
      <c r="S25" s="125"/>
      <c r="T25" s="125"/>
      <c r="U25" s="125"/>
      <c r="V25" s="125"/>
    </row>
    <row r="26" spans="1:22" ht="12.75">
      <c r="A26" s="120">
        <v>3</v>
      </c>
      <c r="B26" s="119" t="s">
        <v>1335</v>
      </c>
      <c r="C26" s="119" t="s">
        <v>1351</v>
      </c>
      <c r="D26" s="119" t="s">
        <v>295</v>
      </c>
      <c r="E26" s="119" t="s">
        <v>1152</v>
      </c>
      <c r="F26" s="119" t="s">
        <v>1334</v>
      </c>
      <c r="G26" s="119" t="s">
        <v>1332</v>
      </c>
      <c r="H26" s="119" t="s">
        <v>1330</v>
      </c>
      <c r="I26" s="119" t="s">
        <v>1331</v>
      </c>
      <c r="J26" s="131" t="s">
        <v>1342</v>
      </c>
      <c r="K26" s="131" t="s">
        <v>1350</v>
      </c>
      <c r="L26" s="131" t="s">
        <v>1352</v>
      </c>
      <c r="M26" s="119" t="s">
        <v>1345</v>
      </c>
      <c r="N26" s="119" t="s">
        <v>1346</v>
      </c>
      <c r="O26" s="137">
        <v>103</v>
      </c>
      <c r="P26" s="119" t="s">
        <v>1346</v>
      </c>
      <c r="Q26" s="123" t="s">
        <v>1051</v>
      </c>
      <c r="R26" s="125"/>
      <c r="S26" s="125"/>
      <c r="T26" s="125"/>
      <c r="U26" s="125"/>
      <c r="V26" s="125"/>
    </row>
    <row r="27" spans="1:22" ht="12.75">
      <c r="A27" s="120">
        <v>4</v>
      </c>
      <c r="B27" s="119" t="s">
        <v>1410</v>
      </c>
      <c r="C27" s="119" t="s">
        <v>1411</v>
      </c>
      <c r="D27" s="119" t="s">
        <v>290</v>
      </c>
      <c r="E27" s="119" t="s">
        <v>1152</v>
      </c>
      <c r="F27" s="119" t="s">
        <v>1412</v>
      </c>
      <c r="G27" s="119" t="s">
        <v>1332</v>
      </c>
      <c r="H27" s="119" t="s">
        <v>1331</v>
      </c>
      <c r="I27" s="131" t="s">
        <v>1350</v>
      </c>
      <c r="J27" s="131" t="s">
        <v>1352</v>
      </c>
      <c r="K27" s="130" t="s">
        <v>1345</v>
      </c>
      <c r="L27" s="121"/>
      <c r="M27" s="121"/>
      <c r="N27" s="121"/>
      <c r="O27" s="122"/>
      <c r="P27" s="119" t="s">
        <v>1352</v>
      </c>
      <c r="Q27" s="123" t="s">
        <v>1051</v>
      </c>
      <c r="R27" s="125"/>
      <c r="S27" s="125"/>
      <c r="T27" s="125"/>
      <c r="U27" s="125"/>
      <c r="V27" s="125"/>
    </row>
    <row r="28" spans="1:22" ht="12.75">
      <c r="A28" s="120">
        <v>5</v>
      </c>
      <c r="B28" s="119" t="s">
        <v>1347</v>
      </c>
      <c r="C28" s="119" t="s">
        <v>1348</v>
      </c>
      <c r="D28" s="119" t="s">
        <v>295</v>
      </c>
      <c r="E28" s="119" t="s">
        <v>1338</v>
      </c>
      <c r="F28" s="119" t="s">
        <v>1339</v>
      </c>
      <c r="G28" s="119" t="s">
        <v>1332</v>
      </c>
      <c r="H28" s="119" t="s">
        <v>1330</v>
      </c>
      <c r="I28" s="119" t="s">
        <v>1331</v>
      </c>
      <c r="J28" s="131" t="s">
        <v>1342</v>
      </c>
      <c r="K28" s="131" t="s">
        <v>1350</v>
      </c>
      <c r="L28" s="131" t="s">
        <v>1352</v>
      </c>
      <c r="M28" s="130" t="s">
        <v>1345</v>
      </c>
      <c r="N28" s="119"/>
      <c r="O28" s="122"/>
      <c r="P28" s="119" t="s">
        <v>1352</v>
      </c>
      <c r="Q28" s="123" t="s">
        <v>1340</v>
      </c>
      <c r="R28" s="125"/>
      <c r="S28" s="125"/>
      <c r="T28" s="125"/>
      <c r="U28" s="125"/>
      <c r="V28" s="125"/>
    </row>
    <row r="29" spans="1:22" ht="12.75">
      <c r="A29" s="120">
        <v>6</v>
      </c>
      <c r="B29" s="119" t="s">
        <v>1413</v>
      </c>
      <c r="C29" s="119" t="s">
        <v>1414</v>
      </c>
      <c r="D29" s="119" t="s">
        <v>65</v>
      </c>
      <c r="E29" s="119" t="s">
        <v>1152</v>
      </c>
      <c r="F29" s="119" t="s">
        <v>1415</v>
      </c>
      <c r="G29" s="119" t="s">
        <v>1332</v>
      </c>
      <c r="H29" s="131" t="s">
        <v>1342</v>
      </c>
      <c r="I29" s="131" t="s">
        <v>1350</v>
      </c>
      <c r="J29" s="130" t="s">
        <v>1352</v>
      </c>
      <c r="K29" s="121"/>
      <c r="L29" s="121"/>
      <c r="M29" s="121"/>
      <c r="N29" s="121"/>
      <c r="O29" s="122"/>
      <c r="P29" s="131" t="s">
        <v>1350</v>
      </c>
      <c r="Q29" s="138" t="s">
        <v>1416</v>
      </c>
      <c r="R29" s="125"/>
      <c r="S29" s="125"/>
      <c r="T29" s="125"/>
      <c r="U29" s="125"/>
      <c r="V29" s="125"/>
    </row>
    <row r="30" spans="1:22" ht="12.75">
      <c r="A30" s="120">
        <v>7</v>
      </c>
      <c r="B30" s="119" t="s">
        <v>1417</v>
      </c>
      <c r="C30" s="119" t="s">
        <v>1418</v>
      </c>
      <c r="D30" s="119" t="s">
        <v>1419</v>
      </c>
      <c r="E30" s="119" t="s">
        <v>1152</v>
      </c>
      <c r="F30" s="119" t="s">
        <v>1370</v>
      </c>
      <c r="G30" s="119" t="s">
        <v>1332</v>
      </c>
      <c r="H30" s="131" t="s">
        <v>1342</v>
      </c>
      <c r="I30" s="131" t="s">
        <v>1350</v>
      </c>
      <c r="J30" s="130" t="s">
        <v>1352</v>
      </c>
      <c r="K30" s="121"/>
      <c r="L30" s="121"/>
      <c r="M30" s="121"/>
      <c r="N30" s="121"/>
      <c r="O30" s="122"/>
      <c r="P30" s="131" t="s">
        <v>1350</v>
      </c>
      <c r="Q30" s="138" t="s">
        <v>1051</v>
      </c>
      <c r="R30" s="125"/>
      <c r="S30" s="125"/>
      <c r="T30" s="125"/>
      <c r="U30" s="125"/>
      <c r="V30" s="125"/>
    </row>
    <row r="31" spans="1:22" ht="12.75">
      <c r="A31" s="120">
        <v>8</v>
      </c>
      <c r="B31" s="119" t="s">
        <v>1420</v>
      </c>
      <c r="C31" s="119" t="s">
        <v>1373</v>
      </c>
      <c r="D31" s="119" t="s">
        <v>1349</v>
      </c>
      <c r="E31" s="119" t="s">
        <v>1152</v>
      </c>
      <c r="F31" s="119" t="s">
        <v>1007</v>
      </c>
      <c r="G31" s="119" t="s">
        <v>1332</v>
      </c>
      <c r="H31" s="119" t="s">
        <v>1330</v>
      </c>
      <c r="I31" s="121" t="s">
        <v>1331</v>
      </c>
      <c r="J31" s="130"/>
      <c r="K31" s="121"/>
      <c r="L31" s="121"/>
      <c r="M31" s="121"/>
      <c r="N31" s="121"/>
      <c r="O31" s="122"/>
      <c r="P31" s="119" t="s">
        <v>1330</v>
      </c>
      <c r="Q31" s="138" t="s">
        <v>1421</v>
      </c>
      <c r="R31" s="125"/>
      <c r="S31" s="125"/>
      <c r="T31" s="125"/>
      <c r="U31" s="125"/>
      <c r="V31" s="125"/>
    </row>
    <row r="32" spans="1:22" ht="12.75">
      <c r="A32" s="120">
        <v>1</v>
      </c>
      <c r="B32" s="119" t="s">
        <v>1335</v>
      </c>
      <c r="C32" s="119" t="s">
        <v>1353</v>
      </c>
      <c r="D32" s="119" t="s">
        <v>295</v>
      </c>
      <c r="E32" s="119" t="s">
        <v>1152</v>
      </c>
      <c r="F32" s="119" t="s">
        <v>1334</v>
      </c>
      <c r="G32" s="119" t="s">
        <v>1332</v>
      </c>
      <c r="H32" s="119" t="s">
        <v>1330</v>
      </c>
      <c r="I32" s="119" t="s">
        <v>1331</v>
      </c>
      <c r="J32" s="131" t="s">
        <v>1342</v>
      </c>
      <c r="K32" s="131" t="s">
        <v>1350</v>
      </c>
      <c r="L32" s="131" t="s">
        <v>1352</v>
      </c>
      <c r="M32" s="119" t="s">
        <v>1345</v>
      </c>
      <c r="N32" s="119" t="s">
        <v>1346</v>
      </c>
      <c r="O32" s="137">
        <v>103</v>
      </c>
      <c r="P32" s="119" t="s">
        <v>1346</v>
      </c>
      <c r="Q32" s="123" t="s">
        <v>1051</v>
      </c>
      <c r="R32" s="125"/>
      <c r="S32" s="125"/>
      <c r="T32" s="125"/>
      <c r="U32" s="125"/>
      <c r="V32" s="125"/>
    </row>
    <row r="33" spans="1:22" ht="15.75">
      <c r="A33" s="125"/>
      <c r="B33" s="183" t="s">
        <v>206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</row>
    <row r="34" spans="1:22" ht="12.75">
      <c r="A34" s="120">
        <v>1</v>
      </c>
      <c r="B34" s="119" t="s">
        <v>1424</v>
      </c>
      <c r="C34" s="119" t="s">
        <v>1425</v>
      </c>
      <c r="D34" s="119" t="s">
        <v>1426</v>
      </c>
      <c r="E34" s="119" t="s">
        <v>1152</v>
      </c>
      <c r="F34" s="119" t="s">
        <v>1007</v>
      </c>
      <c r="G34" s="119" t="s">
        <v>1332</v>
      </c>
      <c r="H34" s="119" t="s">
        <v>1330</v>
      </c>
      <c r="I34" s="131" t="s">
        <v>1342</v>
      </c>
      <c r="J34" s="131" t="s">
        <v>1350</v>
      </c>
      <c r="K34" s="131" t="s">
        <v>1427</v>
      </c>
      <c r="L34" s="131" t="s">
        <v>1428</v>
      </c>
      <c r="M34" s="121" t="s">
        <v>1429</v>
      </c>
      <c r="N34" s="121"/>
      <c r="O34" s="122"/>
      <c r="P34" s="131" t="s">
        <v>1428</v>
      </c>
      <c r="Q34" s="123" t="s">
        <v>1051</v>
      </c>
      <c r="R34" s="125"/>
      <c r="S34" s="125"/>
      <c r="T34" s="125"/>
      <c r="U34" s="125"/>
      <c r="V34" s="125"/>
    </row>
    <row r="35" spans="1:22" ht="12.75">
      <c r="A35" s="120">
        <v>2</v>
      </c>
      <c r="B35" s="119" t="s">
        <v>1430</v>
      </c>
      <c r="C35" s="119" t="s">
        <v>1431</v>
      </c>
      <c r="D35" s="119" t="s">
        <v>684</v>
      </c>
      <c r="E35" s="119" t="s">
        <v>1152</v>
      </c>
      <c r="F35" s="119" t="s">
        <v>1432</v>
      </c>
      <c r="G35" s="119" t="s">
        <v>1332</v>
      </c>
      <c r="H35" s="119" t="s">
        <v>1330</v>
      </c>
      <c r="I35" s="131" t="s">
        <v>1342</v>
      </c>
      <c r="J35" s="131" t="s">
        <v>1352</v>
      </c>
      <c r="K35" s="131" t="s">
        <v>1345</v>
      </c>
      <c r="L35" s="131" t="s">
        <v>1346</v>
      </c>
      <c r="M35" s="121" t="s">
        <v>1427</v>
      </c>
      <c r="N35" s="121"/>
      <c r="O35" s="122"/>
      <c r="P35" s="131" t="s">
        <v>1346</v>
      </c>
      <c r="Q35" s="123" t="s">
        <v>1051</v>
      </c>
      <c r="R35" s="125"/>
      <c r="S35" s="125"/>
      <c r="T35" s="125"/>
      <c r="U35" s="125"/>
      <c r="V35" s="125"/>
    </row>
    <row r="36" spans="1:22" ht="12.75">
      <c r="A36" s="120">
        <v>3</v>
      </c>
      <c r="B36" s="119" t="s">
        <v>1433</v>
      </c>
      <c r="C36" s="119" t="s">
        <v>1434</v>
      </c>
      <c r="D36" s="119" t="s">
        <v>210</v>
      </c>
      <c r="E36" s="119" t="s">
        <v>1152</v>
      </c>
      <c r="F36" s="119" t="s">
        <v>1007</v>
      </c>
      <c r="G36" s="119" t="s">
        <v>1332</v>
      </c>
      <c r="H36" s="119" t="s">
        <v>1330</v>
      </c>
      <c r="I36" s="131" t="s">
        <v>1350</v>
      </c>
      <c r="J36" s="131" t="s">
        <v>1352</v>
      </c>
      <c r="K36" s="131" t="s">
        <v>1345</v>
      </c>
      <c r="L36" s="121" t="s">
        <v>1346</v>
      </c>
      <c r="M36" s="121"/>
      <c r="N36" s="121"/>
      <c r="O36" s="122"/>
      <c r="P36" s="119" t="s">
        <v>1345</v>
      </c>
      <c r="Q36" s="123" t="s">
        <v>1051</v>
      </c>
      <c r="R36" s="125"/>
      <c r="S36" s="125"/>
      <c r="T36" s="125"/>
      <c r="U36" s="125"/>
      <c r="V36" s="125"/>
    </row>
    <row r="37" spans="1:22" ht="12.75">
      <c r="A37" s="120">
        <v>4</v>
      </c>
      <c r="B37" s="119" t="s">
        <v>1435</v>
      </c>
      <c r="C37" s="119" t="s">
        <v>1436</v>
      </c>
      <c r="D37" s="119" t="s">
        <v>1437</v>
      </c>
      <c r="E37" s="119" t="s">
        <v>1152</v>
      </c>
      <c r="F37" s="119" t="s">
        <v>1007</v>
      </c>
      <c r="G37" s="119" t="s">
        <v>1332</v>
      </c>
      <c r="H37" s="119" t="s">
        <v>1330</v>
      </c>
      <c r="I37" s="119" t="s">
        <v>1331</v>
      </c>
      <c r="J37" s="130" t="s">
        <v>1350</v>
      </c>
      <c r="K37" s="121"/>
      <c r="L37" s="121"/>
      <c r="M37" s="121"/>
      <c r="N37" s="121"/>
      <c r="O37" s="122"/>
      <c r="P37" s="119" t="s">
        <v>1331</v>
      </c>
      <c r="Q37" s="123" t="s">
        <v>1051</v>
      </c>
      <c r="R37" s="125"/>
      <c r="S37" s="125"/>
      <c r="T37" s="125"/>
      <c r="U37" s="125"/>
      <c r="V37" s="125"/>
    </row>
    <row r="38" spans="1:22" ht="12.75">
      <c r="A38" s="120">
        <v>1</v>
      </c>
      <c r="B38" s="119" t="s">
        <v>1186</v>
      </c>
      <c r="C38" s="119" t="s">
        <v>1438</v>
      </c>
      <c r="D38" s="119" t="s">
        <v>1188</v>
      </c>
      <c r="E38" s="119" t="s">
        <v>1338</v>
      </c>
      <c r="F38" s="119" t="s">
        <v>95</v>
      </c>
      <c r="G38" s="119" t="s">
        <v>1332</v>
      </c>
      <c r="H38" s="119" t="s">
        <v>1330</v>
      </c>
      <c r="I38" s="119" t="s">
        <v>1331</v>
      </c>
      <c r="J38" s="131" t="s">
        <v>1342</v>
      </c>
      <c r="K38" s="131" t="s">
        <v>1350</v>
      </c>
      <c r="L38" s="130" t="s">
        <v>1352</v>
      </c>
      <c r="M38" s="121"/>
      <c r="N38" s="121"/>
      <c r="O38" s="122"/>
      <c r="P38" s="119" t="s">
        <v>1350</v>
      </c>
      <c r="Q38" s="123" t="s">
        <v>1051</v>
      </c>
      <c r="R38" s="125"/>
      <c r="S38" s="125"/>
      <c r="T38" s="125"/>
      <c r="U38" s="125"/>
      <c r="V38" s="125"/>
    </row>
    <row r="39" spans="1:22" ht="12.75">
      <c r="A39" s="120">
        <v>2</v>
      </c>
      <c r="B39" s="119" t="s">
        <v>1439</v>
      </c>
      <c r="C39" s="119" t="s">
        <v>1440</v>
      </c>
      <c r="D39" s="119" t="s">
        <v>1441</v>
      </c>
      <c r="E39" s="119" t="s">
        <v>1152</v>
      </c>
      <c r="F39" s="119" t="s">
        <v>843</v>
      </c>
      <c r="G39" s="119" t="s">
        <v>1332</v>
      </c>
      <c r="H39" s="119" t="s">
        <v>1330</v>
      </c>
      <c r="I39" s="119" t="s">
        <v>1331</v>
      </c>
      <c r="J39" s="131" t="s">
        <v>1342</v>
      </c>
      <c r="K39" s="130" t="s">
        <v>1350</v>
      </c>
      <c r="L39" s="130"/>
      <c r="M39" s="121"/>
      <c r="N39" s="121"/>
      <c r="O39" s="122"/>
      <c r="P39" s="119" t="s">
        <v>1342</v>
      </c>
      <c r="Q39" s="123" t="s">
        <v>1051</v>
      </c>
      <c r="R39" s="125"/>
      <c r="S39" s="125"/>
      <c r="T39" s="125"/>
      <c r="U39" s="125"/>
      <c r="V39" s="125"/>
    </row>
    <row r="40" spans="1:22" ht="12.75">
      <c r="A40" s="120">
        <v>3</v>
      </c>
      <c r="B40" s="119" t="s">
        <v>1442</v>
      </c>
      <c r="C40" s="119" t="s">
        <v>1443</v>
      </c>
      <c r="D40" s="119" t="s">
        <v>310</v>
      </c>
      <c r="E40" s="119" t="s">
        <v>1152</v>
      </c>
      <c r="F40" s="119" t="s">
        <v>1415</v>
      </c>
      <c r="G40" s="119" t="s">
        <v>1332</v>
      </c>
      <c r="H40" s="119" t="s">
        <v>1330</v>
      </c>
      <c r="I40" s="142" t="s">
        <v>1331</v>
      </c>
      <c r="J40" s="131"/>
      <c r="K40" s="131"/>
      <c r="L40" s="130"/>
      <c r="M40" s="121"/>
      <c r="N40" s="121"/>
      <c r="O40" s="122"/>
      <c r="P40" s="119" t="s">
        <v>1330</v>
      </c>
      <c r="Q40" s="123" t="s">
        <v>1051</v>
      </c>
      <c r="R40" s="125"/>
      <c r="S40" s="125"/>
      <c r="T40" s="125"/>
      <c r="U40" s="125"/>
      <c r="V40" s="125"/>
    </row>
    <row r="41" spans="1:22" ht="15.75">
      <c r="A41" s="125"/>
      <c r="B41" s="183" t="s">
        <v>82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</row>
    <row r="42" spans="1:22" ht="12.75">
      <c r="A42" s="120">
        <v>1</v>
      </c>
      <c r="B42" s="119" t="s">
        <v>1354</v>
      </c>
      <c r="C42" s="119" t="s">
        <v>1355</v>
      </c>
      <c r="D42" s="119" t="s">
        <v>1444</v>
      </c>
      <c r="E42" s="119" t="s">
        <v>1152</v>
      </c>
      <c r="F42" s="119" t="s">
        <v>1007</v>
      </c>
      <c r="G42" s="119" t="s">
        <v>1332</v>
      </c>
      <c r="H42" s="119" t="s">
        <v>1330</v>
      </c>
      <c r="I42" s="119" t="s">
        <v>1345</v>
      </c>
      <c r="J42" s="131" t="s">
        <v>1427</v>
      </c>
      <c r="K42" s="131" t="s">
        <v>1356</v>
      </c>
      <c r="L42" s="131" t="s">
        <v>1428</v>
      </c>
      <c r="M42" s="131" t="s">
        <v>1429</v>
      </c>
      <c r="N42" s="121" t="s">
        <v>1445</v>
      </c>
      <c r="O42" s="122"/>
      <c r="P42" s="131" t="s">
        <v>1429</v>
      </c>
      <c r="Q42" s="123" t="s">
        <v>1357</v>
      </c>
      <c r="R42" s="125"/>
      <c r="S42" s="125"/>
      <c r="T42" s="125"/>
      <c r="U42" s="125"/>
      <c r="V42" s="125"/>
    </row>
    <row r="43" spans="1:22" ht="12.75">
      <c r="A43" s="120">
        <v>1</v>
      </c>
      <c r="B43" s="119" t="s">
        <v>1354</v>
      </c>
      <c r="C43" s="119" t="s">
        <v>1358</v>
      </c>
      <c r="D43" s="119" t="s">
        <v>1444</v>
      </c>
      <c r="E43" s="119" t="s">
        <v>1152</v>
      </c>
      <c r="F43" s="119" t="s">
        <v>1007</v>
      </c>
      <c r="G43" s="119" t="s">
        <v>1332</v>
      </c>
      <c r="H43" s="119" t="s">
        <v>1330</v>
      </c>
      <c r="I43" s="119" t="s">
        <v>1345</v>
      </c>
      <c r="J43" s="131" t="s">
        <v>1427</v>
      </c>
      <c r="K43" s="131" t="s">
        <v>1356</v>
      </c>
      <c r="L43" s="131" t="s">
        <v>1428</v>
      </c>
      <c r="M43" s="131" t="s">
        <v>1429</v>
      </c>
      <c r="N43" s="121" t="s">
        <v>1445</v>
      </c>
      <c r="O43" s="122"/>
      <c r="P43" s="131" t="s">
        <v>1429</v>
      </c>
      <c r="Q43" s="123" t="s">
        <v>1357</v>
      </c>
      <c r="R43" s="125"/>
      <c r="S43" s="125"/>
      <c r="T43" s="125"/>
      <c r="U43" s="125"/>
      <c r="V43" s="125"/>
    </row>
    <row r="44" spans="1:22" ht="12.75">
      <c r="A44" s="120">
        <v>2</v>
      </c>
      <c r="B44" s="119" t="s">
        <v>1446</v>
      </c>
      <c r="C44" s="119" t="s">
        <v>1447</v>
      </c>
      <c r="D44" s="119" t="s">
        <v>1448</v>
      </c>
      <c r="E44" s="119" t="s">
        <v>1152</v>
      </c>
      <c r="F44" s="119" t="s">
        <v>1007</v>
      </c>
      <c r="G44" s="119" t="s">
        <v>1332</v>
      </c>
      <c r="H44" s="119" t="s">
        <v>1330</v>
      </c>
      <c r="I44" s="131" t="s">
        <v>1350</v>
      </c>
      <c r="J44" s="131" t="s">
        <v>1352</v>
      </c>
      <c r="K44" s="131" t="s">
        <v>1345</v>
      </c>
      <c r="L44" s="131" t="s">
        <v>1346</v>
      </c>
      <c r="M44" s="121" t="s">
        <v>1427</v>
      </c>
      <c r="N44" s="121"/>
      <c r="O44" s="122"/>
      <c r="P44" s="119" t="s">
        <v>1346</v>
      </c>
      <c r="Q44" s="123" t="s">
        <v>1051</v>
      </c>
      <c r="R44" s="125"/>
      <c r="S44" s="125"/>
      <c r="T44" s="125"/>
      <c r="U44" s="125"/>
      <c r="V44" s="125"/>
    </row>
    <row r="45" spans="1:22" ht="12.75">
      <c r="A45" s="120">
        <v>3</v>
      </c>
      <c r="B45" s="119" t="s">
        <v>1449</v>
      </c>
      <c r="C45" s="119" t="s">
        <v>1450</v>
      </c>
      <c r="D45" s="119" t="s">
        <v>1451</v>
      </c>
      <c r="E45" s="119" t="s">
        <v>1152</v>
      </c>
      <c r="F45" s="119" t="s">
        <v>1452</v>
      </c>
      <c r="G45" s="119" t="s">
        <v>1332</v>
      </c>
      <c r="H45" s="119" t="s">
        <v>1330</v>
      </c>
      <c r="I45" s="119" t="s">
        <v>1331</v>
      </c>
      <c r="J45" s="131" t="s">
        <v>1342</v>
      </c>
      <c r="K45" s="131" t="s">
        <v>1350</v>
      </c>
      <c r="L45" s="130" t="s">
        <v>1352</v>
      </c>
      <c r="M45" s="121"/>
      <c r="N45" s="121"/>
      <c r="O45" s="122"/>
      <c r="P45" s="131" t="s">
        <v>1350</v>
      </c>
      <c r="Q45" s="123" t="s">
        <v>1051</v>
      </c>
      <c r="R45" s="125"/>
      <c r="S45" s="125"/>
      <c r="T45" s="125"/>
      <c r="U45" s="125"/>
      <c r="V45" s="125"/>
    </row>
    <row r="46" spans="1:22" ht="12.75">
      <c r="A46" s="120">
        <v>1</v>
      </c>
      <c r="B46" s="119" t="s">
        <v>1359</v>
      </c>
      <c r="C46" s="119" t="s">
        <v>1455</v>
      </c>
      <c r="D46" s="119" t="s">
        <v>690</v>
      </c>
      <c r="E46" s="119" t="s">
        <v>1152</v>
      </c>
      <c r="F46" s="119" t="s">
        <v>1360</v>
      </c>
      <c r="G46" s="119" t="s">
        <v>1332</v>
      </c>
      <c r="H46" s="119" t="s">
        <v>1330</v>
      </c>
      <c r="I46" s="131" t="s">
        <v>1342</v>
      </c>
      <c r="J46" s="131" t="s">
        <v>1350</v>
      </c>
      <c r="K46" s="131" t="s">
        <v>1352</v>
      </c>
      <c r="L46" s="145">
        <v>93</v>
      </c>
      <c r="M46" s="121"/>
      <c r="N46" s="121"/>
      <c r="O46" s="122"/>
      <c r="P46" s="119" t="s">
        <v>1352</v>
      </c>
      <c r="Q46" s="123" t="s">
        <v>1453</v>
      </c>
      <c r="R46" s="125"/>
      <c r="S46" s="125"/>
      <c r="T46" s="125"/>
      <c r="U46" s="125"/>
      <c r="V46" s="125"/>
    </row>
    <row r="47" spans="1:22" ht="12.75">
      <c r="A47" s="120">
        <v>2</v>
      </c>
      <c r="B47" s="119" t="s">
        <v>1454</v>
      </c>
      <c r="C47" s="119" t="s">
        <v>1456</v>
      </c>
      <c r="D47" s="119" t="s">
        <v>1457</v>
      </c>
      <c r="E47" s="119" t="s">
        <v>1152</v>
      </c>
      <c r="F47" s="119" t="s">
        <v>734</v>
      </c>
      <c r="G47" s="119" t="s">
        <v>1375</v>
      </c>
      <c r="H47" s="119" t="s">
        <v>1376</v>
      </c>
      <c r="I47" s="121" t="s">
        <v>1332</v>
      </c>
      <c r="J47" s="121"/>
      <c r="K47" s="121"/>
      <c r="L47" s="121"/>
      <c r="M47" s="121"/>
      <c r="N47" s="121"/>
      <c r="O47" s="122"/>
      <c r="P47" s="119" t="s">
        <v>1376</v>
      </c>
      <c r="Q47" s="123" t="s">
        <v>1051</v>
      </c>
      <c r="R47" s="125"/>
      <c r="S47" s="125"/>
      <c r="T47" s="125"/>
      <c r="U47" s="125"/>
      <c r="V47" s="125"/>
    </row>
    <row r="48" spans="1:22" ht="15.75">
      <c r="A48" s="125"/>
      <c r="B48" s="183" t="s">
        <v>222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</row>
    <row r="49" spans="1:22" ht="12.75">
      <c r="A49" s="120">
        <v>1</v>
      </c>
      <c r="B49" s="119" t="s">
        <v>1458</v>
      </c>
      <c r="C49" s="119" t="s">
        <v>1459</v>
      </c>
      <c r="D49" s="119" t="s">
        <v>1460</v>
      </c>
      <c r="E49" s="119" t="s">
        <v>1152</v>
      </c>
      <c r="F49" s="119" t="s">
        <v>1007</v>
      </c>
      <c r="G49" s="119" t="s">
        <v>1332</v>
      </c>
      <c r="H49" s="119" t="s">
        <v>1330</v>
      </c>
      <c r="I49" s="131" t="s">
        <v>1350</v>
      </c>
      <c r="J49" s="131" t="s">
        <v>1352</v>
      </c>
      <c r="K49" s="131" t="s">
        <v>1345</v>
      </c>
      <c r="L49" s="131" t="s">
        <v>1346</v>
      </c>
      <c r="M49" s="121" t="s">
        <v>1427</v>
      </c>
      <c r="N49" s="121"/>
      <c r="O49" s="122"/>
      <c r="P49" s="119" t="s">
        <v>1346</v>
      </c>
      <c r="Q49" s="123" t="s">
        <v>1051</v>
      </c>
      <c r="R49" s="125"/>
      <c r="S49" s="125"/>
      <c r="T49" s="125"/>
      <c r="U49" s="125"/>
      <c r="V49" s="125"/>
    </row>
    <row r="50" spans="1:22" ht="12.75">
      <c r="A50" s="120">
        <v>2</v>
      </c>
      <c r="B50" s="119" t="s">
        <v>1461</v>
      </c>
      <c r="C50" s="119" t="s">
        <v>1462</v>
      </c>
      <c r="D50" s="119" t="s">
        <v>1463</v>
      </c>
      <c r="E50" s="119" t="s">
        <v>1152</v>
      </c>
      <c r="F50" s="119" t="s">
        <v>1007</v>
      </c>
      <c r="G50" s="119" t="s">
        <v>1332</v>
      </c>
      <c r="H50" s="119" t="s">
        <v>1330</v>
      </c>
      <c r="I50" s="131" t="s">
        <v>1342</v>
      </c>
      <c r="J50" s="131" t="s">
        <v>1352</v>
      </c>
      <c r="K50" s="131" t="s">
        <v>1345</v>
      </c>
      <c r="L50" s="121" t="s">
        <v>1346</v>
      </c>
      <c r="M50" s="121"/>
      <c r="N50" s="121"/>
      <c r="O50" s="122"/>
      <c r="P50" s="119" t="s">
        <v>1345</v>
      </c>
      <c r="Q50" s="123" t="s">
        <v>1051</v>
      </c>
      <c r="R50" s="125"/>
      <c r="S50" s="125"/>
      <c r="T50" s="125"/>
      <c r="U50" s="125"/>
      <c r="V50" s="125"/>
    </row>
    <row r="51" spans="1:22" ht="12.75">
      <c r="A51" s="120">
        <v>3</v>
      </c>
      <c r="B51" s="119" t="s">
        <v>1111</v>
      </c>
      <c r="C51" s="119" t="s">
        <v>1112</v>
      </c>
      <c r="D51" s="119" t="s">
        <v>1113</v>
      </c>
      <c r="E51" s="119" t="s">
        <v>1095</v>
      </c>
      <c r="F51" s="119" t="s">
        <v>1007</v>
      </c>
      <c r="G51" s="119" t="s">
        <v>1332</v>
      </c>
      <c r="H51" s="119" t="s">
        <v>1330</v>
      </c>
      <c r="I51" s="131" t="s">
        <v>1342</v>
      </c>
      <c r="J51" s="131" t="s">
        <v>1350</v>
      </c>
      <c r="K51" s="130" t="s">
        <v>1352</v>
      </c>
      <c r="L51" s="121"/>
      <c r="M51" s="121"/>
      <c r="N51" s="121"/>
      <c r="O51" s="122"/>
      <c r="P51" s="119" t="s">
        <v>1350</v>
      </c>
      <c r="Q51" s="123" t="s">
        <v>1051</v>
      </c>
      <c r="R51" s="125"/>
      <c r="S51" s="125"/>
      <c r="T51" s="125"/>
      <c r="U51" s="125"/>
      <c r="V51" s="125"/>
    </row>
    <row r="52" spans="1:17" ht="12.75">
      <c r="A52" s="120">
        <v>1</v>
      </c>
      <c r="B52" s="119" t="s">
        <v>1111</v>
      </c>
      <c r="C52" s="119" t="s">
        <v>1464</v>
      </c>
      <c r="D52" s="119" t="s">
        <v>1113</v>
      </c>
      <c r="E52" s="119" t="s">
        <v>1095</v>
      </c>
      <c r="F52" s="119" t="s">
        <v>1007</v>
      </c>
      <c r="G52" s="119" t="s">
        <v>1332</v>
      </c>
      <c r="H52" s="119" t="s">
        <v>1330</v>
      </c>
      <c r="I52" s="131" t="s">
        <v>1342</v>
      </c>
      <c r="J52" s="131" t="s">
        <v>1350</v>
      </c>
      <c r="K52" s="130" t="s">
        <v>1352</v>
      </c>
      <c r="L52" s="121"/>
      <c r="M52" s="121"/>
      <c r="N52" s="121"/>
      <c r="O52" s="122"/>
      <c r="P52" s="119" t="s">
        <v>1350</v>
      </c>
      <c r="Q52" s="123" t="s">
        <v>1051</v>
      </c>
    </row>
    <row r="53" spans="1:17" ht="12.75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</row>
    <row r="54" spans="2:5" ht="18">
      <c r="B54" s="19" t="s">
        <v>117</v>
      </c>
      <c r="C54" s="20"/>
      <c r="D54" s="100"/>
      <c r="E54" s="49"/>
    </row>
    <row r="56" spans="1:5" ht="15.75">
      <c r="A56" s="43"/>
      <c r="B56" s="113" t="s">
        <v>129</v>
      </c>
      <c r="C56" s="22"/>
      <c r="D56" s="1"/>
      <c r="E56" s="1"/>
    </row>
    <row r="57" spans="1:5" ht="13.5">
      <c r="A57" s="43"/>
      <c r="B57" s="84" t="s">
        <v>1361</v>
      </c>
      <c r="C57" s="23"/>
      <c r="D57" s="1"/>
      <c r="E57" s="1"/>
    </row>
    <row r="58" spans="1:5" ht="13.5">
      <c r="A58" s="43"/>
      <c r="B58" s="24" t="s">
        <v>120</v>
      </c>
      <c r="C58" s="24" t="s">
        <v>121</v>
      </c>
      <c r="D58" s="24" t="s">
        <v>122</v>
      </c>
      <c r="E58" s="24" t="s">
        <v>123</v>
      </c>
    </row>
    <row r="59" spans="1:5" ht="12.75">
      <c r="A59" s="91" t="s">
        <v>932</v>
      </c>
      <c r="B59" s="57" t="s">
        <v>1354</v>
      </c>
      <c r="C59" s="1" t="s">
        <v>1362</v>
      </c>
      <c r="D59" s="1" t="s">
        <v>1085</v>
      </c>
      <c r="E59" s="43" t="s">
        <v>1429</v>
      </c>
    </row>
    <row r="60" spans="1:5" ht="12.75">
      <c r="A60" s="89">
        <v>2</v>
      </c>
      <c r="B60" t="s">
        <v>1424</v>
      </c>
      <c r="C60" s="100" t="s">
        <v>1362</v>
      </c>
      <c r="D60" s="100">
        <v>100</v>
      </c>
      <c r="E60" s="118">
        <v>113</v>
      </c>
    </row>
    <row r="61" spans="1:5" ht="12.75">
      <c r="A61" s="89">
        <v>3</v>
      </c>
      <c r="B61" t="s">
        <v>1343</v>
      </c>
      <c r="C61" s="100" t="s">
        <v>1362</v>
      </c>
      <c r="D61" s="100">
        <v>90</v>
      </c>
      <c r="E61" s="118">
        <v>98</v>
      </c>
    </row>
    <row r="62" spans="1:5" ht="12.75">
      <c r="A62" s="89"/>
      <c r="B62" t="s">
        <v>1400</v>
      </c>
      <c r="C62" s="1" t="s">
        <v>1362</v>
      </c>
      <c r="D62" s="100">
        <v>90</v>
      </c>
      <c r="E62" s="118">
        <v>98</v>
      </c>
    </row>
    <row r="63" spans="1:5" ht="12.75">
      <c r="A63" s="89"/>
      <c r="B63" t="s">
        <v>1335</v>
      </c>
      <c r="C63" s="100" t="s">
        <v>1362</v>
      </c>
      <c r="D63" s="143">
        <v>90</v>
      </c>
      <c r="E63" s="144">
        <v>98</v>
      </c>
    </row>
    <row r="64" spans="1:5" ht="12.75">
      <c r="A64" s="89"/>
      <c r="B64" t="s">
        <v>1430</v>
      </c>
      <c r="C64" s="100" t="s">
        <v>1362</v>
      </c>
      <c r="D64" s="143">
        <v>100</v>
      </c>
      <c r="E64" s="144">
        <v>98</v>
      </c>
    </row>
    <row r="65" spans="1:5" ht="12.75">
      <c r="A65" s="89"/>
      <c r="B65" t="s">
        <v>1446</v>
      </c>
      <c r="C65" s="100" t="s">
        <v>1362</v>
      </c>
      <c r="D65" s="143">
        <v>110</v>
      </c>
      <c r="E65" s="144">
        <v>98</v>
      </c>
    </row>
    <row r="66" spans="1:5" ht="12.75">
      <c r="A66" s="89"/>
      <c r="B66" t="s">
        <v>1458</v>
      </c>
      <c r="C66" s="100" t="s">
        <v>1362</v>
      </c>
      <c r="D66" s="143">
        <v>125</v>
      </c>
      <c r="E66" s="144">
        <v>98</v>
      </c>
    </row>
    <row r="67" spans="1:5" ht="12.75">
      <c r="A67" s="89"/>
      <c r="B67" t="s">
        <v>1433</v>
      </c>
      <c r="C67" s="100" t="s">
        <v>1362</v>
      </c>
      <c r="D67" s="143">
        <v>100</v>
      </c>
      <c r="E67" s="144">
        <v>93</v>
      </c>
    </row>
    <row r="68" spans="1:5" ht="12.75">
      <c r="A68" s="89"/>
      <c r="B68" t="s">
        <v>1461</v>
      </c>
      <c r="C68" s="100" t="s">
        <v>1362</v>
      </c>
      <c r="D68" s="143">
        <v>125</v>
      </c>
      <c r="E68" s="144">
        <v>93</v>
      </c>
    </row>
    <row r="69" spans="1:5" ht="12.75">
      <c r="A69" s="89"/>
      <c r="B69" t="s">
        <v>1381</v>
      </c>
      <c r="C69" s="100" t="s">
        <v>1362</v>
      </c>
      <c r="D69" s="143">
        <v>80</v>
      </c>
      <c r="E69" s="144">
        <v>88</v>
      </c>
    </row>
    <row r="70" spans="1:5" ht="12.75">
      <c r="A70" s="89"/>
      <c r="B70" t="s">
        <v>1410</v>
      </c>
      <c r="C70" s="100" t="s">
        <v>1362</v>
      </c>
      <c r="D70" s="143">
        <v>90</v>
      </c>
      <c r="E70" s="144">
        <v>88</v>
      </c>
    </row>
    <row r="71" spans="1:5" ht="12.75">
      <c r="A71" s="89"/>
      <c r="B71" t="s">
        <v>1347</v>
      </c>
      <c r="C71" s="100" t="s">
        <v>1362</v>
      </c>
      <c r="D71" s="143">
        <v>90</v>
      </c>
      <c r="E71" s="144">
        <v>88</v>
      </c>
    </row>
    <row r="72" spans="2:5" ht="12.75">
      <c r="B72" t="s">
        <v>1392</v>
      </c>
      <c r="C72" s="100" t="s">
        <v>1362</v>
      </c>
      <c r="D72" s="143">
        <v>80</v>
      </c>
      <c r="E72" s="144">
        <v>83</v>
      </c>
    </row>
    <row r="73" spans="2:5" ht="12.75">
      <c r="B73" t="s">
        <v>1413</v>
      </c>
      <c r="C73" s="100" t="s">
        <v>1362</v>
      </c>
      <c r="D73" s="143">
        <v>90</v>
      </c>
      <c r="E73" s="144">
        <v>83</v>
      </c>
    </row>
    <row r="74" spans="2:5" ht="12.75">
      <c r="B74" t="s">
        <v>1417</v>
      </c>
      <c r="C74" s="100" t="s">
        <v>1362</v>
      </c>
      <c r="D74" s="143">
        <v>90</v>
      </c>
      <c r="E74" s="144">
        <v>83</v>
      </c>
    </row>
    <row r="75" spans="2:5" ht="12.75">
      <c r="B75" t="s">
        <v>1449</v>
      </c>
      <c r="C75" s="100" t="s">
        <v>1362</v>
      </c>
      <c r="D75" s="143">
        <v>110</v>
      </c>
      <c r="E75" s="144">
        <v>83</v>
      </c>
    </row>
    <row r="76" spans="2:5" ht="12.75">
      <c r="B76" t="s">
        <v>1111</v>
      </c>
      <c r="C76" s="100" t="s">
        <v>1362</v>
      </c>
      <c r="D76" s="143">
        <v>125</v>
      </c>
      <c r="E76" s="144">
        <v>83</v>
      </c>
    </row>
    <row r="77" spans="2:5" ht="12.75">
      <c r="B77" t="s">
        <v>1394</v>
      </c>
      <c r="C77" s="100" t="s">
        <v>1362</v>
      </c>
      <c r="D77" s="143">
        <v>80</v>
      </c>
      <c r="E77" s="144">
        <v>78</v>
      </c>
    </row>
    <row r="78" spans="2:5" ht="12.75">
      <c r="B78" s="146" t="s">
        <v>1377</v>
      </c>
      <c r="C78" s="100" t="s">
        <v>1362</v>
      </c>
      <c r="D78" s="143">
        <v>80</v>
      </c>
      <c r="E78" s="144">
        <v>73</v>
      </c>
    </row>
    <row r="79" spans="2:5" ht="12.75">
      <c r="B79" s="57" t="s">
        <v>1178</v>
      </c>
      <c r="C79" s="100" t="s">
        <v>1362</v>
      </c>
      <c r="D79" s="143">
        <v>80</v>
      </c>
      <c r="E79" s="144">
        <v>73</v>
      </c>
    </row>
    <row r="80" spans="2:5" ht="12.75">
      <c r="B80" t="s">
        <v>1435</v>
      </c>
      <c r="C80" s="100" t="s">
        <v>1362</v>
      </c>
      <c r="D80" s="143">
        <v>100</v>
      </c>
      <c r="E80" s="144">
        <v>73</v>
      </c>
    </row>
    <row r="81" spans="2:5" ht="12.75">
      <c r="B81" t="s">
        <v>1371</v>
      </c>
      <c r="C81" s="100" t="s">
        <v>1362</v>
      </c>
      <c r="D81" s="143">
        <v>70</v>
      </c>
      <c r="E81" s="144">
        <v>68</v>
      </c>
    </row>
    <row r="82" spans="2:5" ht="12.75">
      <c r="B82" t="s">
        <v>1333</v>
      </c>
      <c r="C82" s="100" t="s">
        <v>1362</v>
      </c>
      <c r="D82" s="143">
        <v>80</v>
      </c>
      <c r="E82" s="144">
        <v>68</v>
      </c>
    </row>
    <row r="83" spans="2:5" ht="12.75">
      <c r="B83" t="s">
        <v>1420</v>
      </c>
      <c r="C83" s="100" t="s">
        <v>1362</v>
      </c>
      <c r="D83" s="143">
        <v>90</v>
      </c>
      <c r="E83" s="144">
        <v>68</v>
      </c>
    </row>
  </sheetData>
  <sheetProtection/>
  <mergeCells count="11">
    <mergeCell ref="A8:U8"/>
    <mergeCell ref="B9:V9"/>
    <mergeCell ref="B48:V48"/>
    <mergeCell ref="B1:Q2"/>
    <mergeCell ref="G3:O3"/>
    <mergeCell ref="B12:V12"/>
    <mergeCell ref="B22:V22"/>
    <mergeCell ref="B33:V33"/>
    <mergeCell ref="B41:V41"/>
    <mergeCell ref="B4:V4"/>
    <mergeCell ref="B5:V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B5" sqref="B5:M5"/>
    </sheetView>
  </sheetViews>
  <sheetFormatPr defaultColWidth="8.75390625" defaultRowHeight="12.75"/>
  <cols>
    <col min="1" max="1" width="5.125" style="49" customWidth="1"/>
    <col min="2" max="2" width="31.875" style="25" bestFit="1" customWidth="1"/>
    <col min="3" max="3" width="25.875" style="25" customWidth="1"/>
    <col min="4" max="4" width="12.25390625" style="25" customWidth="1"/>
    <col min="5" max="5" width="9.25390625" style="25" customWidth="1"/>
    <col min="6" max="6" width="22.75390625" style="25" bestFit="1" customWidth="1"/>
    <col min="7" max="7" width="33.625" style="25" bestFit="1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9.625" style="25" customWidth="1"/>
    <col min="14" max="14" width="15.00390625" style="25" customWidth="1"/>
  </cols>
  <sheetData>
    <row r="1" spans="1:14" s="1" customFormat="1" ht="15" customHeight="1">
      <c r="A1" s="43"/>
      <c r="B1" s="157" t="s">
        <v>1076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3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156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740</v>
      </c>
      <c r="C6" s="26" t="s">
        <v>741</v>
      </c>
      <c r="D6" s="26" t="s">
        <v>915</v>
      </c>
      <c r="E6" s="26" t="str">
        <f>"1,3910"</f>
        <v>1,3910</v>
      </c>
      <c r="F6" s="26" t="s">
        <v>468</v>
      </c>
      <c r="G6" s="26" t="s">
        <v>439</v>
      </c>
      <c r="H6" s="26" t="s">
        <v>482</v>
      </c>
      <c r="I6" s="26" t="s">
        <v>189</v>
      </c>
      <c r="J6" s="50" t="s">
        <v>262</v>
      </c>
      <c r="K6" s="27"/>
      <c r="L6" s="55">
        <v>117.5</v>
      </c>
      <c r="M6" s="26" t="str">
        <f>"163,4425"</f>
        <v>163,4425</v>
      </c>
      <c r="N6" s="26" t="s">
        <v>998</v>
      </c>
    </row>
  </sheetData>
  <sheetProtection/>
  <mergeCells count="12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3">
      <selection activeCell="E37" sqref="E37"/>
    </sheetView>
  </sheetViews>
  <sheetFormatPr defaultColWidth="8.75390625" defaultRowHeight="12.75"/>
  <cols>
    <col min="1" max="1" width="3.625" style="0" customWidth="1"/>
    <col min="2" max="2" width="24.875" style="0" customWidth="1"/>
    <col min="3" max="3" width="25.25390625" style="0" customWidth="1"/>
    <col min="4" max="4" width="12.375" style="0" customWidth="1"/>
    <col min="5" max="5" width="25.625" style="0" customWidth="1"/>
    <col min="6" max="6" width="38.625" style="0" customWidth="1"/>
    <col min="7" max="15" width="8.75390625" style="0" customWidth="1"/>
    <col min="16" max="16" width="12.25390625" style="0" customWidth="1"/>
    <col min="17" max="17" width="20.375" style="0" customWidth="1"/>
  </cols>
  <sheetData>
    <row r="1" spans="1:22" ht="12.75">
      <c r="A1" s="43"/>
      <c r="B1" s="157" t="s">
        <v>1478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1"/>
      <c r="S1" s="1"/>
      <c r="T1" s="1"/>
      <c r="U1" s="1"/>
      <c r="V1" s="1"/>
    </row>
    <row r="2" spans="1:22" ht="60.75" customHeight="1" thickBot="1">
      <c r="A2" s="43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R2" s="1"/>
      <c r="S2" s="1"/>
      <c r="T2" s="1"/>
      <c r="U2" s="1"/>
      <c r="V2" s="1"/>
    </row>
    <row r="3" spans="1:22" ht="46.5" customHeight="1" thickBot="1">
      <c r="A3" s="2"/>
      <c r="B3" s="126" t="s">
        <v>0</v>
      </c>
      <c r="C3" s="127" t="s">
        <v>1077</v>
      </c>
      <c r="D3" s="128" t="s">
        <v>936</v>
      </c>
      <c r="E3" s="128" t="s">
        <v>6</v>
      </c>
      <c r="F3" s="128" t="s">
        <v>940</v>
      </c>
      <c r="G3" s="187" t="s">
        <v>1513</v>
      </c>
      <c r="H3" s="188"/>
      <c r="I3" s="188"/>
      <c r="J3" s="188"/>
      <c r="K3" s="188"/>
      <c r="L3" s="188"/>
      <c r="M3" s="188"/>
      <c r="N3" s="188"/>
      <c r="O3" s="189"/>
      <c r="P3" s="128" t="s">
        <v>1228</v>
      </c>
      <c r="Q3" s="129" t="s">
        <v>5</v>
      </c>
      <c r="R3" s="2"/>
      <c r="S3" s="2"/>
      <c r="T3" s="2"/>
      <c r="U3" s="2"/>
      <c r="V3" s="2"/>
    </row>
    <row r="4" spans="1:22" ht="15.75">
      <c r="A4" s="89"/>
      <c r="B4" s="156" t="s">
        <v>1327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2" ht="15.75">
      <c r="A5" s="89"/>
      <c r="B5" s="156" t="s">
        <v>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2.75">
      <c r="A6" s="120">
        <v>1</v>
      </c>
      <c r="B6" s="119" t="s">
        <v>1364</v>
      </c>
      <c r="C6" s="119" t="s">
        <v>1365</v>
      </c>
      <c r="D6" s="119" t="s">
        <v>798</v>
      </c>
      <c r="E6" s="119" t="s">
        <v>1338</v>
      </c>
      <c r="F6" s="119" t="s">
        <v>1366</v>
      </c>
      <c r="G6" s="119" t="s">
        <v>28</v>
      </c>
      <c r="H6" s="119" t="s">
        <v>159</v>
      </c>
      <c r="I6" s="121" t="s">
        <v>27</v>
      </c>
      <c r="J6" s="121"/>
      <c r="K6" s="121"/>
      <c r="L6" s="121"/>
      <c r="M6" s="121"/>
      <c r="N6" s="121"/>
      <c r="O6" s="122"/>
      <c r="P6" s="119" t="s">
        <v>159</v>
      </c>
      <c r="Q6" s="123" t="s">
        <v>1340</v>
      </c>
      <c r="R6" s="124"/>
      <c r="S6" s="124"/>
      <c r="T6" s="124"/>
      <c r="U6" s="124"/>
      <c r="V6" s="124"/>
    </row>
    <row r="7" spans="1:22" ht="12.75">
      <c r="A7" s="120">
        <v>1</v>
      </c>
      <c r="B7" s="119" t="s">
        <v>1368</v>
      </c>
      <c r="C7" s="119" t="s">
        <v>1372</v>
      </c>
      <c r="D7" s="119" t="s">
        <v>1369</v>
      </c>
      <c r="E7" s="119" t="s">
        <v>1152</v>
      </c>
      <c r="F7" s="119" t="s">
        <v>1370</v>
      </c>
      <c r="G7" s="119" t="s">
        <v>28</v>
      </c>
      <c r="H7" s="119" t="s">
        <v>159</v>
      </c>
      <c r="I7" s="131" t="s">
        <v>27</v>
      </c>
      <c r="J7" s="121" t="s">
        <v>13</v>
      </c>
      <c r="K7" s="121"/>
      <c r="L7" s="121"/>
      <c r="M7" s="121"/>
      <c r="N7" s="121"/>
      <c r="O7" s="122"/>
      <c r="P7" s="131" t="s">
        <v>27</v>
      </c>
      <c r="Q7" s="123" t="s">
        <v>1051</v>
      </c>
      <c r="R7" s="125"/>
      <c r="S7" s="125"/>
      <c r="T7" s="125"/>
      <c r="U7" s="125"/>
      <c r="V7" s="125"/>
    </row>
    <row r="8" spans="1:22" ht="12.75">
      <c r="A8" s="120">
        <v>2</v>
      </c>
      <c r="B8" s="119" t="s">
        <v>1479</v>
      </c>
      <c r="C8" s="119" t="s">
        <v>1481</v>
      </c>
      <c r="D8" s="119" t="s">
        <v>1482</v>
      </c>
      <c r="E8" s="119" t="s">
        <v>1152</v>
      </c>
      <c r="F8" s="119" t="s">
        <v>1452</v>
      </c>
      <c r="G8" s="119" t="s">
        <v>28</v>
      </c>
      <c r="H8" s="119" t="s">
        <v>159</v>
      </c>
      <c r="I8" s="121" t="s">
        <v>27</v>
      </c>
      <c r="J8" s="121"/>
      <c r="K8" s="121"/>
      <c r="L8" s="121"/>
      <c r="M8" s="121"/>
      <c r="N8" s="121"/>
      <c r="O8" s="122"/>
      <c r="P8" s="119" t="s">
        <v>159</v>
      </c>
      <c r="Q8" s="123" t="s">
        <v>1051</v>
      </c>
      <c r="R8" s="125"/>
      <c r="S8" s="125"/>
      <c r="T8" s="125"/>
      <c r="U8" s="125"/>
      <c r="V8" s="125"/>
    </row>
    <row r="9" spans="1:22" ht="12.75">
      <c r="A9" s="120">
        <v>3</v>
      </c>
      <c r="B9" s="119" t="s">
        <v>1480</v>
      </c>
      <c r="C9" s="119" t="s">
        <v>1483</v>
      </c>
      <c r="D9" s="119" t="s">
        <v>1484</v>
      </c>
      <c r="E9" s="119" t="s">
        <v>1152</v>
      </c>
      <c r="F9" s="119" t="s">
        <v>1007</v>
      </c>
      <c r="G9" s="119" t="s">
        <v>28</v>
      </c>
      <c r="H9" s="130" t="s">
        <v>159</v>
      </c>
      <c r="I9" s="131"/>
      <c r="J9" s="121"/>
      <c r="K9" s="121"/>
      <c r="L9" s="121"/>
      <c r="M9" s="121"/>
      <c r="N9" s="121"/>
      <c r="O9" s="122"/>
      <c r="P9" s="119" t="s">
        <v>28</v>
      </c>
      <c r="Q9" s="123" t="s">
        <v>1485</v>
      </c>
      <c r="R9" s="125"/>
      <c r="S9" s="125"/>
      <c r="T9" s="125"/>
      <c r="U9" s="125"/>
      <c r="V9" s="125"/>
    </row>
    <row r="10" spans="1:22" ht="15.75">
      <c r="A10" s="183" t="s">
        <v>1038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25"/>
    </row>
    <row r="11" spans="1:22" ht="15.75">
      <c r="A11" s="125"/>
      <c r="B11" s="183" t="s">
        <v>1232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</row>
    <row r="12" spans="1:22" ht="12.75">
      <c r="A12" s="120">
        <v>1</v>
      </c>
      <c r="B12" s="119" t="s">
        <v>1486</v>
      </c>
      <c r="C12" s="119" t="s">
        <v>1487</v>
      </c>
      <c r="D12" s="119" t="s">
        <v>470</v>
      </c>
      <c r="E12" s="119" t="s">
        <v>1488</v>
      </c>
      <c r="F12" s="26" t="s">
        <v>244</v>
      </c>
      <c r="G12" s="119" t="s">
        <v>15</v>
      </c>
      <c r="H12" s="119" t="s">
        <v>31</v>
      </c>
      <c r="I12" s="119" t="s">
        <v>173</v>
      </c>
      <c r="J12" s="119" t="s">
        <v>42</v>
      </c>
      <c r="K12" s="131" t="s">
        <v>39</v>
      </c>
      <c r="L12" s="119"/>
      <c r="M12" s="119"/>
      <c r="N12" s="119"/>
      <c r="O12" s="104"/>
      <c r="P12" s="119" t="s">
        <v>39</v>
      </c>
      <c r="Q12" s="123" t="s">
        <v>667</v>
      </c>
      <c r="R12" s="125"/>
      <c r="S12" s="125"/>
      <c r="T12" s="125"/>
      <c r="U12" s="125"/>
      <c r="V12" s="125"/>
    </row>
    <row r="13" spans="1:22" ht="12.75">
      <c r="A13" s="120">
        <v>2</v>
      </c>
      <c r="B13" s="119" t="s">
        <v>1385</v>
      </c>
      <c r="C13" s="119" t="s">
        <v>1386</v>
      </c>
      <c r="D13" s="119" t="s">
        <v>1387</v>
      </c>
      <c r="E13" s="119" t="s">
        <v>1152</v>
      </c>
      <c r="F13" s="119" t="s">
        <v>1388</v>
      </c>
      <c r="G13" s="119" t="s">
        <v>15</v>
      </c>
      <c r="H13" s="119" t="s">
        <v>31</v>
      </c>
      <c r="I13" s="121" t="s">
        <v>173</v>
      </c>
      <c r="J13" s="119"/>
      <c r="K13" s="131"/>
      <c r="L13" s="119"/>
      <c r="M13" s="119"/>
      <c r="N13" s="119"/>
      <c r="O13" s="104"/>
      <c r="P13" s="119" t="s">
        <v>31</v>
      </c>
      <c r="Q13" s="123" t="s">
        <v>1389</v>
      </c>
      <c r="R13" s="125"/>
      <c r="S13" s="125"/>
      <c r="T13" s="125"/>
      <c r="U13" s="125"/>
      <c r="V13" s="125"/>
    </row>
    <row r="14" spans="1:22" ht="12.75">
      <c r="A14" s="120">
        <v>3</v>
      </c>
      <c r="B14" s="119" t="s">
        <v>1336</v>
      </c>
      <c r="C14" s="119" t="s">
        <v>1337</v>
      </c>
      <c r="D14" s="119" t="s">
        <v>1390</v>
      </c>
      <c r="E14" s="119" t="s">
        <v>1338</v>
      </c>
      <c r="F14" s="119" t="s">
        <v>1339</v>
      </c>
      <c r="G14" s="119" t="s">
        <v>15</v>
      </c>
      <c r="H14" s="119" t="s">
        <v>149</v>
      </c>
      <c r="I14" s="131" t="s">
        <v>31</v>
      </c>
      <c r="J14" s="121" t="s">
        <v>173</v>
      </c>
      <c r="K14" s="121"/>
      <c r="L14" s="121"/>
      <c r="M14" s="121"/>
      <c r="N14" s="121"/>
      <c r="O14" s="122"/>
      <c r="P14" s="119" t="s">
        <v>31</v>
      </c>
      <c r="Q14" s="123" t="s">
        <v>1340</v>
      </c>
      <c r="R14" s="125"/>
      <c r="S14" s="125"/>
      <c r="T14" s="125"/>
      <c r="U14" s="125"/>
      <c r="V14" s="125"/>
    </row>
    <row r="15" spans="1:22" ht="12.75">
      <c r="A15" s="120">
        <v>4</v>
      </c>
      <c r="B15" s="119" t="s">
        <v>1381</v>
      </c>
      <c r="C15" s="119" t="s">
        <v>1382</v>
      </c>
      <c r="D15" s="119" t="s">
        <v>1383</v>
      </c>
      <c r="E15" s="119" t="s">
        <v>1152</v>
      </c>
      <c r="F15" s="119" t="s">
        <v>1370</v>
      </c>
      <c r="G15" s="119" t="s">
        <v>15</v>
      </c>
      <c r="H15" s="119" t="s">
        <v>149</v>
      </c>
      <c r="I15" s="130" t="s">
        <v>42</v>
      </c>
      <c r="J15" s="119"/>
      <c r="K15" s="130"/>
      <c r="L15" s="119"/>
      <c r="M15" s="119"/>
      <c r="N15" s="119"/>
      <c r="O15" s="104"/>
      <c r="P15" s="119" t="s">
        <v>149</v>
      </c>
      <c r="Q15" s="123" t="s">
        <v>1384</v>
      </c>
      <c r="R15" s="125"/>
      <c r="S15" s="125"/>
      <c r="T15" s="125"/>
      <c r="U15" s="125"/>
      <c r="V15" s="125"/>
    </row>
    <row r="16" spans="1:22" ht="12.75">
      <c r="A16" s="115">
        <v>1</v>
      </c>
      <c r="B16" s="119" t="s">
        <v>1486</v>
      </c>
      <c r="C16" s="119" t="s">
        <v>1490</v>
      </c>
      <c r="D16" s="119" t="s">
        <v>470</v>
      </c>
      <c r="E16" s="119" t="s">
        <v>1488</v>
      </c>
      <c r="F16" s="26" t="s">
        <v>244</v>
      </c>
      <c r="G16" s="119" t="s">
        <v>15</v>
      </c>
      <c r="H16" s="119" t="s">
        <v>31</v>
      </c>
      <c r="I16" s="119" t="s">
        <v>173</v>
      </c>
      <c r="J16" s="119" t="s">
        <v>42</v>
      </c>
      <c r="K16" s="131" t="s">
        <v>39</v>
      </c>
      <c r="L16" s="119"/>
      <c r="M16" s="119"/>
      <c r="N16" s="119"/>
      <c r="O16" s="104"/>
      <c r="P16" s="119" t="s">
        <v>39</v>
      </c>
      <c r="Q16" s="123" t="s">
        <v>667</v>
      </c>
      <c r="R16" s="125"/>
      <c r="S16" s="125"/>
      <c r="T16" s="125"/>
      <c r="U16" s="125"/>
      <c r="V16" s="125"/>
    </row>
    <row r="17" spans="1:22" ht="12.75">
      <c r="A17" s="120">
        <v>2</v>
      </c>
      <c r="B17" s="119" t="s">
        <v>1392</v>
      </c>
      <c r="C17" s="119" t="s">
        <v>1395</v>
      </c>
      <c r="D17" s="119" t="s">
        <v>1393</v>
      </c>
      <c r="E17" s="119" t="s">
        <v>1338</v>
      </c>
      <c r="F17" s="119" t="s">
        <v>95</v>
      </c>
      <c r="G17" s="119" t="s">
        <v>15</v>
      </c>
      <c r="H17" s="119" t="s">
        <v>149</v>
      </c>
      <c r="I17" s="119" t="s">
        <v>31</v>
      </c>
      <c r="J17" s="119" t="s">
        <v>173</v>
      </c>
      <c r="K17" s="119" t="s">
        <v>42</v>
      </c>
      <c r="L17" s="131" t="s">
        <v>39</v>
      </c>
      <c r="M17" s="130" t="s">
        <v>44</v>
      </c>
      <c r="N17" s="131"/>
      <c r="P17" s="119" t="s">
        <v>39</v>
      </c>
      <c r="Q17" s="123" t="s">
        <v>1343</v>
      </c>
      <c r="R17" s="125"/>
      <c r="S17" s="125"/>
      <c r="T17" s="125"/>
      <c r="U17" s="125"/>
      <c r="V17" s="125"/>
    </row>
    <row r="18" spans="1:22" ht="12.75">
      <c r="A18" s="120">
        <v>3</v>
      </c>
      <c r="B18" s="119" t="s">
        <v>1333</v>
      </c>
      <c r="C18" s="119" t="s">
        <v>1404</v>
      </c>
      <c r="D18" s="119" t="s">
        <v>1405</v>
      </c>
      <c r="E18" s="119" t="s">
        <v>1152</v>
      </c>
      <c r="F18" s="119" t="s">
        <v>1334</v>
      </c>
      <c r="G18" s="119" t="s">
        <v>15</v>
      </c>
      <c r="H18" s="119" t="s">
        <v>31</v>
      </c>
      <c r="I18" s="119" t="s">
        <v>173</v>
      </c>
      <c r="J18" s="119" t="s">
        <v>42</v>
      </c>
      <c r="K18" s="130" t="s">
        <v>39</v>
      </c>
      <c r="L18" s="130"/>
      <c r="M18" s="130"/>
      <c r="N18" s="130"/>
      <c r="O18" s="122"/>
      <c r="P18" s="119" t="s">
        <v>42</v>
      </c>
      <c r="Q18" s="123" t="s">
        <v>1335</v>
      </c>
      <c r="R18" s="125"/>
      <c r="S18" s="125"/>
      <c r="T18" s="125"/>
      <c r="U18" s="125"/>
      <c r="V18" s="125"/>
    </row>
    <row r="19" spans="1:22" ht="12.75">
      <c r="A19" s="120">
        <v>4</v>
      </c>
      <c r="B19" s="26" t="s">
        <v>1178</v>
      </c>
      <c r="C19" s="26" t="s">
        <v>1179</v>
      </c>
      <c r="D19" s="26" t="s">
        <v>1180</v>
      </c>
      <c r="E19" s="98" t="s">
        <v>1152</v>
      </c>
      <c r="F19" s="26" t="s">
        <v>1181</v>
      </c>
      <c r="G19" s="119" t="s">
        <v>15</v>
      </c>
      <c r="H19" s="119" t="s">
        <v>31</v>
      </c>
      <c r="I19" s="119" t="s">
        <v>42</v>
      </c>
      <c r="J19" s="130" t="s">
        <v>39</v>
      </c>
      <c r="K19" s="121"/>
      <c r="L19" s="121"/>
      <c r="M19" s="121"/>
      <c r="N19" s="121"/>
      <c r="O19" s="122"/>
      <c r="P19" s="119" t="s">
        <v>42</v>
      </c>
      <c r="Q19" s="123" t="s">
        <v>1051</v>
      </c>
      <c r="R19" s="125"/>
      <c r="S19" s="125"/>
      <c r="T19" s="125"/>
      <c r="U19" s="125"/>
      <c r="V19" s="125"/>
    </row>
    <row r="20" spans="1:22" ht="12.75">
      <c r="A20" s="120">
        <v>5</v>
      </c>
      <c r="B20" s="119" t="s">
        <v>1491</v>
      </c>
      <c r="C20" s="119" t="s">
        <v>1492</v>
      </c>
      <c r="D20" s="119" t="s">
        <v>1493</v>
      </c>
      <c r="E20" s="119" t="s">
        <v>1338</v>
      </c>
      <c r="F20" s="119" t="s">
        <v>1339</v>
      </c>
      <c r="G20" s="119" t="s">
        <v>15</v>
      </c>
      <c r="H20" s="119" t="s">
        <v>31</v>
      </c>
      <c r="I20" s="119" t="s">
        <v>42</v>
      </c>
      <c r="J20" s="130" t="s">
        <v>39</v>
      </c>
      <c r="K20" s="121"/>
      <c r="L20" s="121"/>
      <c r="M20" s="121"/>
      <c r="N20" s="121"/>
      <c r="O20" s="122"/>
      <c r="P20" s="119" t="s">
        <v>42</v>
      </c>
      <c r="Q20" s="123" t="s">
        <v>1051</v>
      </c>
      <c r="R20" s="125"/>
      <c r="S20" s="125"/>
      <c r="T20" s="125"/>
      <c r="U20" s="125"/>
      <c r="V20" s="125"/>
    </row>
    <row r="21" spans="1:22" ht="12.75">
      <c r="A21" s="120">
        <v>6</v>
      </c>
      <c r="B21" s="119" t="s">
        <v>1494</v>
      </c>
      <c r="C21" s="119" t="s">
        <v>1495</v>
      </c>
      <c r="D21" s="119" t="s">
        <v>1496</v>
      </c>
      <c r="E21" s="119" t="s">
        <v>1152</v>
      </c>
      <c r="F21" s="119" t="s">
        <v>1360</v>
      </c>
      <c r="G21" s="119" t="s">
        <v>15</v>
      </c>
      <c r="H21" s="130" t="s">
        <v>31</v>
      </c>
      <c r="I21" s="119"/>
      <c r="J21" s="130"/>
      <c r="K21" s="121"/>
      <c r="L21" s="121"/>
      <c r="M21" s="121"/>
      <c r="N21" s="121"/>
      <c r="O21" s="122"/>
      <c r="P21" s="119" t="s">
        <v>15</v>
      </c>
      <c r="Q21" s="123" t="s">
        <v>1497</v>
      </c>
      <c r="R21" s="125"/>
      <c r="S21" s="125"/>
      <c r="T21" s="125"/>
      <c r="U21" s="125"/>
      <c r="V21" s="125"/>
    </row>
    <row r="22" spans="1:22" ht="15.75">
      <c r="A22" s="125"/>
      <c r="B22" s="183" t="s">
        <v>62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</row>
    <row r="23" spans="1:22" ht="12.75">
      <c r="A23" s="120">
        <v>1</v>
      </c>
      <c r="B23" s="119" t="s">
        <v>1341</v>
      </c>
      <c r="C23" s="119" t="s">
        <v>1406</v>
      </c>
      <c r="D23" s="119" t="s">
        <v>1407</v>
      </c>
      <c r="E23" s="119" t="s">
        <v>1338</v>
      </c>
      <c r="F23" s="119" t="s">
        <v>1339</v>
      </c>
      <c r="G23" s="119" t="s">
        <v>15</v>
      </c>
      <c r="H23" s="119" t="s">
        <v>173</v>
      </c>
      <c r="I23" s="119" t="s">
        <v>42</v>
      </c>
      <c r="J23" s="130" t="s">
        <v>39</v>
      </c>
      <c r="K23" s="130"/>
      <c r="L23" s="130"/>
      <c r="M23" s="130"/>
      <c r="N23" s="130"/>
      <c r="O23" s="122"/>
      <c r="P23" s="119" t="s">
        <v>42</v>
      </c>
      <c r="Q23" s="123" t="s">
        <v>1340</v>
      </c>
      <c r="R23" s="125"/>
      <c r="S23" s="125"/>
      <c r="T23" s="125"/>
      <c r="U23" s="125"/>
      <c r="V23" s="125"/>
    </row>
    <row r="24" spans="1:22" ht="12.75">
      <c r="A24" s="120">
        <v>2</v>
      </c>
      <c r="B24" s="119" t="s">
        <v>1498</v>
      </c>
      <c r="C24" s="119" t="s">
        <v>1499</v>
      </c>
      <c r="D24" s="119" t="s">
        <v>1500</v>
      </c>
      <c r="E24" s="119" t="s">
        <v>1338</v>
      </c>
      <c r="F24" s="119" t="s">
        <v>1339</v>
      </c>
      <c r="G24" s="119" t="s">
        <v>15</v>
      </c>
      <c r="H24" s="119" t="s">
        <v>31</v>
      </c>
      <c r="I24" s="119" t="s">
        <v>173</v>
      </c>
      <c r="J24" s="130" t="s">
        <v>42</v>
      </c>
      <c r="K24" s="130"/>
      <c r="L24" s="130"/>
      <c r="M24" s="130"/>
      <c r="N24" s="130"/>
      <c r="O24" s="122"/>
      <c r="P24" s="119" t="s">
        <v>173</v>
      </c>
      <c r="Q24" s="123" t="s">
        <v>1340</v>
      </c>
      <c r="R24" s="125"/>
      <c r="S24" s="125"/>
      <c r="T24" s="125"/>
      <c r="U24" s="125"/>
      <c r="V24" s="125"/>
    </row>
    <row r="25" spans="1:22" ht="12.75">
      <c r="A25" s="120">
        <v>1</v>
      </c>
      <c r="B25" s="119" t="s">
        <v>1343</v>
      </c>
      <c r="C25" s="119" t="s">
        <v>1344</v>
      </c>
      <c r="D25" s="119" t="s">
        <v>1408</v>
      </c>
      <c r="E25" s="119" t="s">
        <v>1338</v>
      </c>
      <c r="F25" s="119" t="s">
        <v>95</v>
      </c>
      <c r="G25" s="119" t="s">
        <v>15</v>
      </c>
      <c r="H25" s="119" t="s">
        <v>31</v>
      </c>
      <c r="I25" s="119" t="s">
        <v>173</v>
      </c>
      <c r="J25" s="119" t="s">
        <v>39</v>
      </c>
      <c r="K25" s="119" t="s">
        <v>44</v>
      </c>
      <c r="L25" s="119" t="s">
        <v>77</v>
      </c>
      <c r="M25" s="119" t="s">
        <v>423</v>
      </c>
      <c r="N25" s="119" t="s">
        <v>111</v>
      </c>
      <c r="O25" s="137"/>
      <c r="P25" s="119" t="s">
        <v>111</v>
      </c>
      <c r="Q25" s="123" t="s">
        <v>1051</v>
      </c>
      <c r="R25" s="125"/>
      <c r="S25" s="125"/>
      <c r="T25" s="125"/>
      <c r="U25" s="125"/>
      <c r="V25" s="125"/>
    </row>
    <row r="26" spans="1:22" ht="12.75">
      <c r="A26" s="120">
        <v>2</v>
      </c>
      <c r="B26" s="119" t="s">
        <v>1335</v>
      </c>
      <c r="C26" s="119" t="s">
        <v>1351</v>
      </c>
      <c r="D26" s="119" t="s">
        <v>295</v>
      </c>
      <c r="E26" s="119" t="s">
        <v>1152</v>
      </c>
      <c r="F26" s="119" t="s">
        <v>1334</v>
      </c>
      <c r="G26" s="119" t="s">
        <v>15</v>
      </c>
      <c r="H26" s="119" t="s">
        <v>31</v>
      </c>
      <c r="I26" s="119" t="s">
        <v>173</v>
      </c>
      <c r="J26" s="119" t="s">
        <v>42</v>
      </c>
      <c r="K26" s="119" t="s">
        <v>39</v>
      </c>
      <c r="L26" s="119" t="s">
        <v>44</v>
      </c>
      <c r="M26" s="119" t="s">
        <v>77</v>
      </c>
      <c r="N26" s="119" t="s">
        <v>110</v>
      </c>
      <c r="O26" s="136"/>
      <c r="P26" s="119" t="s">
        <v>110</v>
      </c>
      <c r="Q26" s="123" t="s">
        <v>1051</v>
      </c>
      <c r="R26" s="125"/>
      <c r="S26" s="125"/>
      <c r="T26" s="125"/>
      <c r="U26" s="125"/>
      <c r="V26" s="125"/>
    </row>
    <row r="27" spans="1:22" ht="12.75">
      <c r="A27" s="120">
        <v>3</v>
      </c>
      <c r="B27" s="119" t="s">
        <v>1497</v>
      </c>
      <c r="C27" s="119" t="s">
        <v>1501</v>
      </c>
      <c r="D27" s="119" t="s">
        <v>295</v>
      </c>
      <c r="E27" s="119" t="s">
        <v>1152</v>
      </c>
      <c r="F27" s="119" t="s">
        <v>1360</v>
      </c>
      <c r="G27" s="119" t="s">
        <v>15</v>
      </c>
      <c r="H27" s="119" t="s">
        <v>31</v>
      </c>
      <c r="I27" s="119" t="s">
        <v>173</v>
      </c>
      <c r="J27" s="119" t="s">
        <v>42</v>
      </c>
      <c r="K27" s="119" t="s">
        <v>39</v>
      </c>
      <c r="L27" s="119" t="s">
        <v>44</v>
      </c>
      <c r="M27" s="130" t="s">
        <v>77</v>
      </c>
      <c r="N27" s="119"/>
      <c r="O27" s="137"/>
      <c r="P27" s="119" t="s">
        <v>44</v>
      </c>
      <c r="Q27" s="123" t="s">
        <v>1051</v>
      </c>
      <c r="R27" s="125"/>
      <c r="S27" s="125"/>
      <c r="T27" s="125"/>
      <c r="U27" s="125"/>
      <c r="V27" s="125"/>
    </row>
    <row r="28" spans="1:22" ht="12.75">
      <c r="A28" s="120">
        <v>4</v>
      </c>
      <c r="B28" s="119" t="s">
        <v>1347</v>
      </c>
      <c r="C28" s="119" t="s">
        <v>1348</v>
      </c>
      <c r="D28" s="119" t="s">
        <v>295</v>
      </c>
      <c r="E28" s="119" t="s">
        <v>1338</v>
      </c>
      <c r="F28" s="119" t="s">
        <v>1339</v>
      </c>
      <c r="G28" s="119" t="s">
        <v>15</v>
      </c>
      <c r="H28" s="119" t="s">
        <v>149</v>
      </c>
      <c r="I28" s="119" t="s">
        <v>39</v>
      </c>
      <c r="J28" s="119" t="s">
        <v>44</v>
      </c>
      <c r="K28" s="130" t="s">
        <v>77</v>
      </c>
      <c r="L28" s="121"/>
      <c r="M28" s="121"/>
      <c r="N28" s="121"/>
      <c r="O28" s="122"/>
      <c r="P28" s="119" t="s">
        <v>44</v>
      </c>
      <c r="Q28" s="123" t="s">
        <v>1340</v>
      </c>
      <c r="R28" s="125"/>
      <c r="S28" s="125"/>
      <c r="T28" s="125"/>
      <c r="U28" s="125"/>
      <c r="V28" s="125"/>
    </row>
    <row r="29" spans="1:22" ht="12.75">
      <c r="A29" s="120">
        <v>5</v>
      </c>
      <c r="B29" s="119" t="s">
        <v>1410</v>
      </c>
      <c r="C29" s="119" t="s">
        <v>1411</v>
      </c>
      <c r="D29" s="119" t="s">
        <v>290</v>
      </c>
      <c r="E29" s="119" t="s">
        <v>1152</v>
      </c>
      <c r="F29" s="119" t="s">
        <v>1412</v>
      </c>
      <c r="G29" s="119" t="s">
        <v>15</v>
      </c>
      <c r="H29" s="119" t="s">
        <v>39</v>
      </c>
      <c r="I29" s="130" t="s">
        <v>44</v>
      </c>
      <c r="J29" s="131"/>
      <c r="K29" s="131"/>
      <c r="L29" s="131"/>
      <c r="M29" s="130"/>
      <c r="N29" s="119"/>
      <c r="O29" s="122"/>
      <c r="P29" s="119" t="s">
        <v>39</v>
      </c>
      <c r="Q29" s="123" t="s">
        <v>1051</v>
      </c>
      <c r="R29" s="125"/>
      <c r="S29" s="125"/>
      <c r="T29" s="125"/>
      <c r="U29" s="125"/>
      <c r="V29" s="125"/>
    </row>
    <row r="30" spans="1:22" ht="12.75">
      <c r="A30" s="120">
        <v>6</v>
      </c>
      <c r="B30" s="119" t="s">
        <v>1417</v>
      </c>
      <c r="C30" s="119" t="s">
        <v>1418</v>
      </c>
      <c r="D30" s="119" t="s">
        <v>1419</v>
      </c>
      <c r="E30" s="119" t="s">
        <v>1152</v>
      </c>
      <c r="F30" s="119" t="s">
        <v>1370</v>
      </c>
      <c r="G30" s="119" t="s">
        <v>15</v>
      </c>
      <c r="H30" s="119" t="s">
        <v>42</v>
      </c>
      <c r="I30" s="130" t="s">
        <v>39</v>
      </c>
      <c r="J30" s="130"/>
      <c r="K30" s="121"/>
      <c r="L30" s="121"/>
      <c r="M30" s="121"/>
      <c r="N30" s="121"/>
      <c r="O30" s="122"/>
      <c r="P30" s="119" t="s">
        <v>42</v>
      </c>
      <c r="Q30" s="138" t="s">
        <v>1051</v>
      </c>
      <c r="R30" s="125"/>
      <c r="S30" s="125"/>
      <c r="T30" s="125"/>
      <c r="U30" s="125"/>
      <c r="V30" s="125"/>
    </row>
    <row r="31" spans="1:22" ht="12.75">
      <c r="A31" s="120">
        <v>7</v>
      </c>
      <c r="B31" s="119" t="s">
        <v>1413</v>
      </c>
      <c r="C31" s="119" t="s">
        <v>1414</v>
      </c>
      <c r="D31" s="119" t="s">
        <v>65</v>
      </c>
      <c r="E31" s="119" t="s">
        <v>1152</v>
      </c>
      <c r="F31" s="119" t="s">
        <v>1415</v>
      </c>
      <c r="G31" s="119" t="s">
        <v>15</v>
      </c>
      <c r="H31" s="119" t="s">
        <v>173</v>
      </c>
      <c r="I31" s="130" t="s">
        <v>39</v>
      </c>
      <c r="J31" s="130"/>
      <c r="K31" s="121"/>
      <c r="L31" s="121"/>
      <c r="M31" s="121"/>
      <c r="N31" s="121"/>
      <c r="O31" s="122"/>
      <c r="P31" s="119" t="s">
        <v>173</v>
      </c>
      <c r="Q31" s="138" t="s">
        <v>1416</v>
      </c>
      <c r="R31" s="125"/>
      <c r="S31" s="125"/>
      <c r="T31" s="125"/>
      <c r="U31" s="125"/>
      <c r="V31" s="125"/>
    </row>
    <row r="32" spans="1:22" ht="12.75">
      <c r="A32" s="120">
        <v>8</v>
      </c>
      <c r="B32" s="119" t="s">
        <v>1502</v>
      </c>
      <c r="C32" s="119" t="s">
        <v>1503</v>
      </c>
      <c r="D32" s="119" t="s">
        <v>516</v>
      </c>
      <c r="E32" s="119" t="s">
        <v>1338</v>
      </c>
      <c r="F32" s="119" t="s">
        <v>1339</v>
      </c>
      <c r="G32" s="119" t="s">
        <v>15</v>
      </c>
      <c r="H32" s="119" t="s">
        <v>31</v>
      </c>
      <c r="I32" s="119" t="s">
        <v>173</v>
      </c>
      <c r="J32" s="130" t="s">
        <v>42</v>
      </c>
      <c r="K32" s="121"/>
      <c r="L32" s="121"/>
      <c r="M32" s="121"/>
      <c r="N32" s="121"/>
      <c r="O32" s="122"/>
      <c r="P32" s="119" t="s">
        <v>173</v>
      </c>
      <c r="Q32" s="138" t="s">
        <v>1340</v>
      </c>
      <c r="R32" s="125"/>
      <c r="S32" s="125"/>
      <c r="T32" s="125"/>
      <c r="U32" s="125"/>
      <c r="V32" s="125"/>
    </row>
    <row r="33" spans="1:22" ht="12.75">
      <c r="A33" s="120">
        <v>1</v>
      </c>
      <c r="B33" s="119" t="s">
        <v>1335</v>
      </c>
      <c r="C33" s="119" t="s">
        <v>1353</v>
      </c>
      <c r="D33" s="119" t="s">
        <v>295</v>
      </c>
      <c r="E33" s="119" t="s">
        <v>1152</v>
      </c>
      <c r="F33" s="119" t="s">
        <v>1334</v>
      </c>
      <c r="G33" s="119" t="s">
        <v>15</v>
      </c>
      <c r="H33" s="119" t="s">
        <v>31</v>
      </c>
      <c r="I33" s="119" t="s">
        <v>173</v>
      </c>
      <c r="J33" s="119" t="s">
        <v>42</v>
      </c>
      <c r="K33" s="119" t="s">
        <v>39</v>
      </c>
      <c r="L33" s="119" t="s">
        <v>44</v>
      </c>
      <c r="M33" s="119" t="s">
        <v>77</v>
      </c>
      <c r="N33" s="119" t="s">
        <v>110</v>
      </c>
      <c r="O33" s="137"/>
      <c r="P33" s="119" t="s">
        <v>110</v>
      </c>
      <c r="Q33" s="123" t="s">
        <v>1051</v>
      </c>
      <c r="R33" s="125"/>
      <c r="S33" s="125"/>
      <c r="T33" s="125"/>
      <c r="U33" s="125"/>
      <c r="V33" s="125"/>
    </row>
    <row r="34" spans="1:22" ht="15.75">
      <c r="A34" s="125"/>
      <c r="B34" s="183" t="s">
        <v>206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</row>
    <row r="35" spans="1:22" ht="12.75">
      <c r="A35" s="120">
        <v>1</v>
      </c>
      <c r="B35" s="119" t="s">
        <v>1424</v>
      </c>
      <c r="C35" s="119" t="s">
        <v>1425</v>
      </c>
      <c r="D35" s="119" t="s">
        <v>1426</v>
      </c>
      <c r="E35" s="119" t="s">
        <v>1152</v>
      </c>
      <c r="F35" s="119" t="s">
        <v>1007</v>
      </c>
      <c r="G35" s="119" t="s">
        <v>15</v>
      </c>
      <c r="H35" s="119" t="s">
        <v>39</v>
      </c>
      <c r="I35" s="119" t="s">
        <v>67</v>
      </c>
      <c r="J35" s="130" t="s">
        <v>59</v>
      </c>
      <c r="K35" s="131"/>
      <c r="L35" s="131"/>
      <c r="M35" s="121"/>
      <c r="N35" s="121"/>
      <c r="O35" s="122"/>
      <c r="P35" s="119" t="s">
        <v>67</v>
      </c>
      <c r="Q35" s="123" t="s">
        <v>1051</v>
      </c>
      <c r="R35" s="125"/>
      <c r="S35" s="125"/>
      <c r="T35" s="125"/>
      <c r="U35" s="125"/>
      <c r="V35" s="125"/>
    </row>
    <row r="36" spans="1:22" ht="12.75">
      <c r="A36" s="120">
        <v>2</v>
      </c>
      <c r="B36" s="119" t="s">
        <v>1504</v>
      </c>
      <c r="C36" s="119" t="s">
        <v>1505</v>
      </c>
      <c r="D36" s="119" t="s">
        <v>310</v>
      </c>
      <c r="E36" s="119" t="s">
        <v>1152</v>
      </c>
      <c r="F36" s="119" t="s">
        <v>1506</v>
      </c>
      <c r="G36" s="119" t="s">
        <v>15</v>
      </c>
      <c r="H36" s="119" t="s">
        <v>77</v>
      </c>
      <c r="I36" s="130" t="s">
        <v>67</v>
      </c>
      <c r="J36" s="131"/>
      <c r="K36" s="131"/>
      <c r="L36" s="131"/>
      <c r="M36" s="121"/>
      <c r="N36" s="121"/>
      <c r="O36" s="122"/>
      <c r="P36" s="119" t="s">
        <v>77</v>
      </c>
      <c r="Q36" s="123" t="s">
        <v>1051</v>
      </c>
      <c r="R36" s="125"/>
      <c r="S36" s="125"/>
      <c r="T36" s="125"/>
      <c r="U36" s="125"/>
      <c r="V36" s="125"/>
    </row>
    <row r="37" spans="1:22" ht="12.75">
      <c r="A37" s="120">
        <v>1</v>
      </c>
      <c r="B37" s="119" t="s">
        <v>1186</v>
      </c>
      <c r="C37" s="119" t="s">
        <v>1438</v>
      </c>
      <c r="D37" s="119" t="s">
        <v>1188</v>
      </c>
      <c r="E37" s="119" t="s">
        <v>1338</v>
      </c>
      <c r="F37" s="119" t="s">
        <v>95</v>
      </c>
      <c r="G37" s="119" t="s">
        <v>15</v>
      </c>
      <c r="H37" s="119" t="s">
        <v>31</v>
      </c>
      <c r="I37" s="119" t="s">
        <v>42</v>
      </c>
      <c r="J37" s="119" t="s">
        <v>39</v>
      </c>
      <c r="K37" s="119" t="s">
        <v>44</v>
      </c>
      <c r="L37" s="121" t="s">
        <v>77</v>
      </c>
      <c r="M37" s="121"/>
      <c r="N37" s="121"/>
      <c r="O37" s="122"/>
      <c r="P37" s="119" t="s">
        <v>44</v>
      </c>
      <c r="Q37" s="123" t="s">
        <v>1051</v>
      </c>
      <c r="R37" s="125"/>
      <c r="S37" s="125"/>
      <c r="T37" s="125"/>
      <c r="U37" s="125"/>
      <c r="V37" s="125"/>
    </row>
    <row r="38" spans="1:22" ht="15.75">
      <c r="A38" s="125"/>
      <c r="B38" s="183" t="s">
        <v>82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</row>
    <row r="39" spans="1:22" ht="12.75">
      <c r="A39" s="120">
        <v>1</v>
      </c>
      <c r="B39" s="119" t="s">
        <v>1354</v>
      </c>
      <c r="C39" s="119" t="s">
        <v>1355</v>
      </c>
      <c r="D39" s="119" t="s">
        <v>1444</v>
      </c>
      <c r="E39" s="119" t="s">
        <v>1152</v>
      </c>
      <c r="F39" s="119" t="s">
        <v>1007</v>
      </c>
      <c r="G39" s="119" t="s">
        <v>15</v>
      </c>
      <c r="H39" s="119" t="s">
        <v>67</v>
      </c>
      <c r="I39" s="119" t="s">
        <v>68</v>
      </c>
      <c r="J39" s="119" t="s">
        <v>59</v>
      </c>
      <c r="K39" s="130" t="s">
        <v>199</v>
      </c>
      <c r="L39" s="131"/>
      <c r="M39" s="131"/>
      <c r="N39" s="121"/>
      <c r="O39" s="122"/>
      <c r="P39" s="119" t="s">
        <v>59</v>
      </c>
      <c r="Q39" s="123" t="s">
        <v>1357</v>
      </c>
      <c r="R39" s="125"/>
      <c r="S39" s="125"/>
      <c r="T39" s="125"/>
      <c r="U39" s="125"/>
      <c r="V39" s="125"/>
    </row>
    <row r="40" spans="1:22" ht="12.75">
      <c r="A40" s="120">
        <v>1</v>
      </c>
      <c r="B40" s="119" t="s">
        <v>1354</v>
      </c>
      <c r="C40" s="119" t="s">
        <v>1358</v>
      </c>
      <c r="D40" s="119" t="s">
        <v>1444</v>
      </c>
      <c r="E40" s="119" t="s">
        <v>1152</v>
      </c>
      <c r="F40" s="119" t="s">
        <v>1007</v>
      </c>
      <c r="G40" s="119" t="s">
        <v>15</v>
      </c>
      <c r="H40" s="119" t="s">
        <v>67</v>
      </c>
      <c r="I40" s="119" t="s">
        <v>68</v>
      </c>
      <c r="J40" s="119" t="s">
        <v>59</v>
      </c>
      <c r="K40" s="130" t="s">
        <v>199</v>
      </c>
      <c r="L40" s="131"/>
      <c r="M40" s="131"/>
      <c r="N40" s="121"/>
      <c r="O40" s="122"/>
      <c r="P40" s="119" t="s">
        <v>59</v>
      </c>
      <c r="Q40" s="123" t="s">
        <v>1357</v>
      </c>
      <c r="R40" s="125"/>
      <c r="S40" s="125"/>
      <c r="T40" s="125"/>
      <c r="U40" s="125"/>
      <c r="V40" s="125"/>
    </row>
    <row r="41" spans="1:22" ht="12.75">
      <c r="A41" s="120">
        <v>2</v>
      </c>
      <c r="B41" s="119" t="s">
        <v>1446</v>
      </c>
      <c r="C41" s="119" t="s">
        <v>1447</v>
      </c>
      <c r="D41" s="119" t="s">
        <v>1448</v>
      </c>
      <c r="E41" s="119" t="s">
        <v>1152</v>
      </c>
      <c r="F41" s="119" t="s">
        <v>1007</v>
      </c>
      <c r="G41" s="119" t="s">
        <v>15</v>
      </c>
      <c r="H41" s="119" t="s">
        <v>39</v>
      </c>
      <c r="I41" s="119" t="s">
        <v>44</v>
      </c>
      <c r="J41" s="121" t="s">
        <v>77</v>
      </c>
      <c r="K41" s="131"/>
      <c r="L41" s="131"/>
      <c r="M41" s="121"/>
      <c r="N41" s="121"/>
      <c r="O41" s="122"/>
      <c r="P41" s="119" t="s">
        <v>44</v>
      </c>
      <c r="Q41" s="123" t="s">
        <v>1051</v>
      </c>
      <c r="R41" s="125"/>
      <c r="S41" s="125"/>
      <c r="T41" s="125"/>
      <c r="U41" s="125"/>
      <c r="V41" s="125"/>
    </row>
    <row r="42" spans="1:22" ht="12.75">
      <c r="A42" s="120">
        <v>1</v>
      </c>
      <c r="B42" s="119" t="s">
        <v>1359</v>
      </c>
      <c r="C42" s="119" t="s">
        <v>1455</v>
      </c>
      <c r="D42" s="119" t="s">
        <v>690</v>
      </c>
      <c r="E42" s="119" t="s">
        <v>1152</v>
      </c>
      <c r="F42" s="119" t="s">
        <v>1360</v>
      </c>
      <c r="G42" s="119" t="s">
        <v>15</v>
      </c>
      <c r="H42" s="119" t="s">
        <v>42</v>
      </c>
      <c r="I42" s="119" t="s">
        <v>39</v>
      </c>
      <c r="J42" s="119" t="s">
        <v>44</v>
      </c>
      <c r="K42" s="121" t="s">
        <v>77</v>
      </c>
      <c r="L42" s="145"/>
      <c r="M42" s="121"/>
      <c r="N42" s="121"/>
      <c r="O42" s="122"/>
      <c r="P42" s="119" t="s">
        <v>44</v>
      </c>
      <c r="Q42" s="123" t="s">
        <v>1453</v>
      </c>
      <c r="R42" s="125"/>
      <c r="S42" s="125"/>
      <c r="T42" s="125"/>
      <c r="U42" s="125"/>
      <c r="V42" s="125"/>
    </row>
    <row r="43" spans="1:22" ht="12.75">
      <c r="A43" s="120">
        <v>2</v>
      </c>
      <c r="B43" s="119" t="s">
        <v>930</v>
      </c>
      <c r="C43" s="119" t="s">
        <v>1507</v>
      </c>
      <c r="D43" s="119" t="s">
        <v>1508</v>
      </c>
      <c r="E43" s="119" t="s">
        <v>1152</v>
      </c>
      <c r="F43" s="119" t="s">
        <v>734</v>
      </c>
      <c r="G43" s="119" t="s">
        <v>31</v>
      </c>
      <c r="H43" s="130" t="s">
        <v>173</v>
      </c>
      <c r="I43" s="121"/>
      <c r="J43" s="121"/>
      <c r="K43" s="121"/>
      <c r="L43" s="121"/>
      <c r="M43" s="121"/>
      <c r="N43" s="121"/>
      <c r="O43" s="122"/>
      <c r="P43" s="119" t="s">
        <v>31</v>
      </c>
      <c r="Q43" s="123" t="s">
        <v>1051</v>
      </c>
      <c r="R43" s="125"/>
      <c r="S43" s="125"/>
      <c r="T43" s="125"/>
      <c r="U43" s="125"/>
      <c r="V43" s="125"/>
    </row>
    <row r="44" spans="1:22" ht="15.75">
      <c r="A44" s="125"/>
      <c r="B44" s="183" t="s">
        <v>1510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</row>
    <row r="45" spans="1:22" ht="12.75">
      <c r="A45" s="120">
        <v>1</v>
      </c>
      <c r="B45" s="119" t="s">
        <v>845</v>
      </c>
      <c r="C45" s="119" t="s">
        <v>1509</v>
      </c>
      <c r="D45" s="119" t="s">
        <v>847</v>
      </c>
      <c r="E45" s="119" t="s">
        <v>1152</v>
      </c>
      <c r="F45" s="119" t="s">
        <v>486</v>
      </c>
      <c r="G45" s="119" t="s">
        <v>15</v>
      </c>
      <c r="H45" s="119" t="s">
        <v>44</v>
      </c>
      <c r="I45" s="119" t="s">
        <v>77</v>
      </c>
      <c r="J45" s="119" t="s">
        <v>67</v>
      </c>
      <c r="K45" s="130" t="s">
        <v>68</v>
      </c>
      <c r="L45" s="131"/>
      <c r="M45" s="121"/>
      <c r="N45" s="121"/>
      <c r="O45" s="122"/>
      <c r="P45" s="119" t="s">
        <v>67</v>
      </c>
      <c r="Q45" s="123" t="s">
        <v>1051</v>
      </c>
      <c r="R45" s="125"/>
      <c r="S45" s="125"/>
      <c r="T45" s="125"/>
      <c r="U45" s="125"/>
      <c r="V45" s="125"/>
    </row>
    <row r="46" spans="1:17" ht="12.7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2:5" ht="18">
      <c r="B47" s="19" t="s">
        <v>117</v>
      </c>
      <c r="C47" s="20"/>
      <c r="D47" s="100"/>
      <c r="E47" s="49"/>
    </row>
    <row r="49" spans="1:5" ht="15.75">
      <c r="A49" s="43"/>
      <c r="B49" s="113" t="s">
        <v>129</v>
      </c>
      <c r="C49" s="22"/>
      <c r="D49" s="1"/>
      <c r="E49" s="1"/>
    </row>
    <row r="50" spans="1:5" ht="13.5">
      <c r="A50" s="43"/>
      <c r="B50" s="84" t="s">
        <v>1361</v>
      </c>
      <c r="C50" s="23"/>
      <c r="D50" s="1"/>
      <c r="E50" s="1"/>
    </row>
    <row r="51" spans="1:5" ht="13.5">
      <c r="A51" s="43"/>
      <c r="B51" s="24" t="s">
        <v>120</v>
      </c>
      <c r="C51" s="24" t="s">
        <v>121</v>
      </c>
      <c r="D51" s="24" t="s">
        <v>122</v>
      </c>
      <c r="E51" s="24" t="s">
        <v>123</v>
      </c>
    </row>
    <row r="52" spans="1:5" ht="12.75">
      <c r="A52" s="91" t="s">
        <v>932</v>
      </c>
      <c r="B52" s="57" t="s">
        <v>1354</v>
      </c>
      <c r="C52" s="1" t="s">
        <v>1362</v>
      </c>
      <c r="D52" s="1" t="s">
        <v>1085</v>
      </c>
      <c r="E52" s="43" t="s">
        <v>59</v>
      </c>
    </row>
    <row r="53" spans="1:5" ht="12.75">
      <c r="A53" s="89">
        <v>2</v>
      </c>
      <c r="B53" t="s">
        <v>1343</v>
      </c>
      <c r="C53" s="100" t="s">
        <v>1362</v>
      </c>
      <c r="D53" s="100">
        <v>90</v>
      </c>
      <c r="E53" s="118">
        <v>185</v>
      </c>
    </row>
    <row r="54" spans="1:5" ht="12.75">
      <c r="A54" s="89">
        <v>3</v>
      </c>
      <c r="B54" t="s">
        <v>1424</v>
      </c>
      <c r="C54" s="100" t="s">
        <v>1362</v>
      </c>
      <c r="D54" s="100">
        <v>100</v>
      </c>
      <c r="E54" s="118">
        <v>180</v>
      </c>
    </row>
    <row r="55" spans="1:5" ht="12.75">
      <c r="A55" s="89"/>
      <c r="B55" t="s">
        <v>845</v>
      </c>
      <c r="C55" s="1" t="s">
        <v>1362</v>
      </c>
      <c r="D55" s="100" t="s">
        <v>1511</v>
      </c>
      <c r="E55" s="118">
        <v>180</v>
      </c>
    </row>
    <row r="56" spans="1:5" ht="12.75">
      <c r="A56" s="89"/>
      <c r="B56" t="s">
        <v>1335</v>
      </c>
      <c r="C56" s="100" t="s">
        <v>1362</v>
      </c>
      <c r="D56" s="143">
        <v>90</v>
      </c>
      <c r="E56" s="144">
        <v>177.5</v>
      </c>
    </row>
    <row r="57" spans="1:5" ht="12.75">
      <c r="A57" s="89"/>
      <c r="B57" t="s">
        <v>1504</v>
      </c>
      <c r="C57" s="100" t="s">
        <v>1362</v>
      </c>
      <c r="D57" s="143">
        <v>100</v>
      </c>
      <c r="E57" s="144">
        <v>170</v>
      </c>
    </row>
    <row r="58" spans="1:5" ht="12.75">
      <c r="A58" s="89"/>
      <c r="B58" s="146" t="s">
        <v>1497</v>
      </c>
      <c r="C58" s="100" t="s">
        <v>1362</v>
      </c>
      <c r="D58" s="143">
        <v>90</v>
      </c>
      <c r="E58" s="144">
        <v>160</v>
      </c>
    </row>
    <row r="59" spans="1:5" ht="12.75">
      <c r="A59" s="89"/>
      <c r="B59" s="146" t="s">
        <v>1347</v>
      </c>
      <c r="C59" s="100" t="s">
        <v>1362</v>
      </c>
      <c r="D59" s="143">
        <v>90</v>
      </c>
      <c r="E59" s="144">
        <v>160</v>
      </c>
    </row>
    <row r="60" spans="1:5" ht="12.75">
      <c r="A60" s="89"/>
      <c r="B60" t="s">
        <v>1186</v>
      </c>
      <c r="C60" s="100" t="s">
        <v>1362</v>
      </c>
      <c r="D60" s="143">
        <v>100</v>
      </c>
      <c r="E60" s="144">
        <v>160</v>
      </c>
    </row>
    <row r="61" spans="1:5" ht="12.75">
      <c r="A61" s="89"/>
      <c r="B61" s="146" t="s">
        <v>1446</v>
      </c>
      <c r="C61" s="100" t="s">
        <v>1362</v>
      </c>
      <c r="D61" s="143">
        <v>110</v>
      </c>
      <c r="E61" s="144">
        <v>160</v>
      </c>
    </row>
    <row r="62" spans="1:5" ht="12.75">
      <c r="A62" s="89"/>
      <c r="B62" s="146" t="s">
        <v>1359</v>
      </c>
      <c r="C62" s="100" t="s">
        <v>1362</v>
      </c>
      <c r="D62" s="143">
        <v>110</v>
      </c>
      <c r="E62" s="144">
        <v>160</v>
      </c>
    </row>
    <row r="63" spans="1:5" ht="12.75">
      <c r="A63" s="89"/>
      <c r="B63" t="s">
        <v>1486</v>
      </c>
      <c r="C63" s="100" t="s">
        <v>1362</v>
      </c>
      <c r="D63" s="143">
        <v>80</v>
      </c>
      <c r="E63" s="144">
        <v>150</v>
      </c>
    </row>
    <row r="64" spans="1:5" ht="12.75">
      <c r="A64" s="89"/>
      <c r="B64" t="s">
        <v>1392</v>
      </c>
      <c r="C64" s="100" t="s">
        <v>1362</v>
      </c>
      <c r="D64" s="143">
        <v>80</v>
      </c>
      <c r="E64" s="144">
        <v>150</v>
      </c>
    </row>
    <row r="65" spans="2:5" ht="12.75">
      <c r="B65" t="s">
        <v>1410</v>
      </c>
      <c r="C65" s="100" t="s">
        <v>1362</v>
      </c>
      <c r="D65" s="143">
        <v>90</v>
      </c>
      <c r="E65" s="144">
        <v>150</v>
      </c>
    </row>
    <row r="66" spans="2:5" ht="12.75">
      <c r="B66" s="146" t="s">
        <v>1333</v>
      </c>
      <c r="C66" s="100" t="s">
        <v>1362</v>
      </c>
      <c r="D66" s="143">
        <v>80</v>
      </c>
      <c r="E66" s="144">
        <v>140</v>
      </c>
    </row>
    <row r="67" spans="2:5" ht="12.75">
      <c r="B67" s="57" t="s">
        <v>1178</v>
      </c>
      <c r="C67" s="100" t="s">
        <v>1362</v>
      </c>
      <c r="D67" s="143">
        <v>80</v>
      </c>
      <c r="E67" s="144">
        <v>140</v>
      </c>
    </row>
    <row r="68" spans="2:5" ht="12.75">
      <c r="B68" s="146" t="s">
        <v>1491</v>
      </c>
      <c r="C68" s="100" t="s">
        <v>1362</v>
      </c>
      <c r="D68" s="143">
        <v>80</v>
      </c>
      <c r="E68" s="144">
        <v>140</v>
      </c>
    </row>
    <row r="69" spans="2:5" ht="12.75">
      <c r="B69" s="146" t="s">
        <v>1417</v>
      </c>
      <c r="C69" s="100" t="s">
        <v>1362</v>
      </c>
      <c r="D69" s="143">
        <v>90</v>
      </c>
      <c r="E69" s="144">
        <v>140</v>
      </c>
    </row>
    <row r="70" spans="2:5" ht="12.75">
      <c r="B70" s="146" t="s">
        <v>1413</v>
      </c>
      <c r="C70" s="100" t="s">
        <v>1362</v>
      </c>
      <c r="D70" s="143">
        <v>90</v>
      </c>
      <c r="E70" s="144">
        <v>130</v>
      </c>
    </row>
    <row r="71" spans="2:5" ht="12.75">
      <c r="B71" s="146" t="s">
        <v>1502</v>
      </c>
      <c r="C71" s="100" t="s">
        <v>1362</v>
      </c>
      <c r="D71" s="143">
        <v>90</v>
      </c>
      <c r="E71" s="144">
        <v>130</v>
      </c>
    </row>
    <row r="72" spans="2:5" ht="12.75">
      <c r="B72" s="146" t="s">
        <v>1494</v>
      </c>
      <c r="C72" s="100" t="s">
        <v>1362</v>
      </c>
      <c r="D72" s="143">
        <v>80</v>
      </c>
      <c r="E72" s="144">
        <v>100</v>
      </c>
    </row>
  </sheetData>
  <sheetProtection/>
  <mergeCells count="10">
    <mergeCell ref="B11:V11"/>
    <mergeCell ref="B22:V22"/>
    <mergeCell ref="B34:V34"/>
    <mergeCell ref="B38:V38"/>
    <mergeCell ref="B44:V44"/>
    <mergeCell ref="B1:Q2"/>
    <mergeCell ref="G3:O3"/>
    <mergeCell ref="B4:V4"/>
    <mergeCell ref="B5:V5"/>
    <mergeCell ref="A10:U10"/>
  </mergeCells>
  <printOptions/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P15" sqref="P15"/>
    </sheetView>
  </sheetViews>
  <sheetFormatPr defaultColWidth="8.75390625" defaultRowHeight="12.75"/>
  <cols>
    <col min="1" max="1" width="3.875" style="0" customWidth="1"/>
    <col min="2" max="2" width="22.75390625" style="0" customWidth="1"/>
    <col min="3" max="3" width="27.625" style="0" customWidth="1"/>
    <col min="4" max="4" width="11.00390625" style="0" customWidth="1"/>
    <col min="5" max="5" width="25.75390625" style="0" customWidth="1"/>
    <col min="6" max="6" width="28.75390625" style="0" customWidth="1"/>
    <col min="7" max="7" width="9.375" style="0" customWidth="1"/>
    <col min="8" max="15" width="8.75390625" style="0" customWidth="1"/>
    <col min="16" max="16" width="11.75390625" style="0" customWidth="1"/>
    <col min="17" max="17" width="22.375" style="0" customWidth="1"/>
  </cols>
  <sheetData>
    <row r="1" spans="1:22" ht="12.75">
      <c r="A1" s="43"/>
      <c r="B1" s="157" t="s">
        <v>1512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1"/>
      <c r="S1" s="1"/>
      <c r="T1" s="1"/>
      <c r="U1" s="1"/>
      <c r="V1" s="1"/>
    </row>
    <row r="2" spans="1:22" ht="66.75" customHeight="1" thickBot="1">
      <c r="A2" s="43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R2" s="1"/>
      <c r="S2" s="1"/>
      <c r="T2" s="1"/>
      <c r="U2" s="1"/>
      <c r="V2" s="1"/>
    </row>
    <row r="3" spans="1:22" ht="53.25" customHeight="1" thickBot="1">
      <c r="A3" s="2"/>
      <c r="B3" s="126" t="s">
        <v>0</v>
      </c>
      <c r="C3" s="127" t="s">
        <v>1077</v>
      </c>
      <c r="D3" s="128" t="s">
        <v>936</v>
      </c>
      <c r="E3" s="128" t="s">
        <v>6</v>
      </c>
      <c r="F3" s="128" t="s">
        <v>940</v>
      </c>
      <c r="G3" s="187" t="s">
        <v>1514</v>
      </c>
      <c r="H3" s="188"/>
      <c r="I3" s="188"/>
      <c r="J3" s="188"/>
      <c r="K3" s="188"/>
      <c r="L3" s="188"/>
      <c r="M3" s="188"/>
      <c r="N3" s="188"/>
      <c r="O3" s="189"/>
      <c r="P3" s="128" t="s">
        <v>1228</v>
      </c>
      <c r="Q3" s="129" t="s">
        <v>5</v>
      </c>
      <c r="R3" s="2"/>
      <c r="S3" s="2"/>
      <c r="T3" s="2"/>
      <c r="U3" s="2"/>
      <c r="V3" s="2"/>
    </row>
    <row r="4" spans="1:22" ht="15.75">
      <c r="A4" s="89"/>
      <c r="B4" s="156" t="s">
        <v>1327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2" ht="15.75">
      <c r="A5" s="89"/>
      <c r="B5" s="156" t="s">
        <v>1515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2.75">
      <c r="A6" s="120">
        <v>1</v>
      </c>
      <c r="B6" s="119" t="s">
        <v>1368</v>
      </c>
      <c r="C6" s="119" t="s">
        <v>1372</v>
      </c>
      <c r="D6" s="119" t="s">
        <v>1369</v>
      </c>
      <c r="E6" s="119" t="s">
        <v>1152</v>
      </c>
      <c r="F6" s="119" t="s">
        <v>1370</v>
      </c>
      <c r="G6" s="119" t="s">
        <v>1516</v>
      </c>
      <c r="H6" s="119" t="s">
        <v>1517</v>
      </c>
      <c r="I6" s="119" t="s">
        <v>1518</v>
      </c>
      <c r="J6" s="131" t="s">
        <v>1519</v>
      </c>
      <c r="K6" s="131" t="s">
        <v>1520</v>
      </c>
      <c r="L6" s="121" t="s">
        <v>1521</v>
      </c>
      <c r="M6" s="121"/>
      <c r="N6" s="121"/>
      <c r="O6" s="122"/>
      <c r="P6" s="119" t="s">
        <v>1520</v>
      </c>
      <c r="Q6" s="123" t="s">
        <v>1051</v>
      </c>
      <c r="R6" s="125"/>
      <c r="S6" s="125"/>
      <c r="T6" s="125"/>
      <c r="U6" s="125"/>
      <c r="V6" s="125"/>
    </row>
    <row r="7" spans="1:22" ht="15.75">
      <c r="A7" s="183" t="s">
        <v>1038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25"/>
    </row>
    <row r="8" spans="1:22" ht="15.75">
      <c r="A8" s="125"/>
      <c r="B8" s="183" t="s">
        <v>1515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</row>
    <row r="9" spans="1:22" ht="12.75">
      <c r="A9" s="120">
        <v>1</v>
      </c>
      <c r="B9" s="119" t="s">
        <v>1343</v>
      </c>
      <c r="C9" s="119" t="s">
        <v>1344</v>
      </c>
      <c r="D9" s="119" t="s">
        <v>1408</v>
      </c>
      <c r="E9" s="119" t="s">
        <v>1338</v>
      </c>
      <c r="F9" s="119" t="s">
        <v>95</v>
      </c>
      <c r="G9" s="119" t="s">
        <v>1524</v>
      </c>
      <c r="H9" s="119" t="s">
        <v>1525</v>
      </c>
      <c r="I9" s="119" t="s">
        <v>1526</v>
      </c>
      <c r="J9" s="119" t="s">
        <v>1527</v>
      </c>
      <c r="K9" s="119" t="s">
        <v>1528</v>
      </c>
      <c r="L9" s="119" t="s">
        <v>1529</v>
      </c>
      <c r="M9" s="119" t="s">
        <v>1530</v>
      </c>
      <c r="N9" s="119"/>
      <c r="O9" s="104"/>
      <c r="P9" s="119" t="s">
        <v>1530</v>
      </c>
      <c r="Q9" s="123" t="s">
        <v>1051</v>
      </c>
      <c r="R9" s="125"/>
      <c r="S9" s="125"/>
      <c r="T9" s="125"/>
      <c r="U9" s="125"/>
      <c r="V9" s="125"/>
    </row>
    <row r="10" spans="1:22" ht="12.75">
      <c r="A10" s="120">
        <v>2</v>
      </c>
      <c r="B10" s="119" t="s">
        <v>1446</v>
      </c>
      <c r="C10" s="119" t="s">
        <v>1447</v>
      </c>
      <c r="D10" s="119" t="s">
        <v>1448</v>
      </c>
      <c r="E10" s="119" t="s">
        <v>1152</v>
      </c>
      <c r="F10" s="119" t="s">
        <v>1007</v>
      </c>
      <c r="G10" s="119" t="s">
        <v>1524</v>
      </c>
      <c r="H10" s="119" t="s">
        <v>1526</v>
      </c>
      <c r="I10" s="119" t="s">
        <v>1527</v>
      </c>
      <c r="J10" s="119" t="s">
        <v>1528</v>
      </c>
      <c r="K10" s="119" t="s">
        <v>1529</v>
      </c>
      <c r="L10" s="119" t="s">
        <v>1530</v>
      </c>
      <c r="M10" s="130" t="s">
        <v>1531</v>
      </c>
      <c r="N10" s="119"/>
      <c r="O10" s="104"/>
      <c r="P10" s="119" t="s">
        <v>1530</v>
      </c>
      <c r="Q10" s="123" t="s">
        <v>1051</v>
      </c>
      <c r="R10" s="125"/>
      <c r="S10" s="125"/>
      <c r="T10" s="125"/>
      <c r="U10" s="125"/>
      <c r="V10" s="125"/>
    </row>
    <row r="11" spans="1:22" ht="12.75">
      <c r="A11" s="120">
        <v>3</v>
      </c>
      <c r="B11" s="119" t="s">
        <v>1413</v>
      </c>
      <c r="C11" s="119" t="s">
        <v>1414</v>
      </c>
      <c r="D11" s="119" t="s">
        <v>65</v>
      </c>
      <c r="E11" s="119" t="s">
        <v>1152</v>
      </c>
      <c r="F11" s="119" t="s">
        <v>1415</v>
      </c>
      <c r="G11" s="119" t="s">
        <v>1524</v>
      </c>
      <c r="H11" s="119" t="s">
        <v>1532</v>
      </c>
      <c r="I11" s="119" t="s">
        <v>1526</v>
      </c>
      <c r="J11" s="119" t="s">
        <v>1527</v>
      </c>
      <c r="K11" s="119" t="s">
        <v>1528</v>
      </c>
      <c r="L11" s="119" t="s">
        <v>1529</v>
      </c>
      <c r="M11" s="130" t="s">
        <v>1530</v>
      </c>
      <c r="N11" s="121"/>
      <c r="O11" s="122"/>
      <c r="P11" s="119" t="s">
        <v>1529</v>
      </c>
      <c r="Q11" s="123" t="s">
        <v>1051</v>
      </c>
      <c r="R11" s="125"/>
      <c r="S11" s="125"/>
      <c r="T11" s="125"/>
      <c r="U11" s="125"/>
      <c r="V11" s="125"/>
    </row>
    <row r="12" spans="1:22" ht="12.75">
      <c r="A12" s="120">
        <v>4</v>
      </c>
      <c r="B12" s="119" t="s">
        <v>1458</v>
      </c>
      <c r="C12" s="119" t="s">
        <v>1459</v>
      </c>
      <c r="D12" s="119" t="s">
        <v>1460</v>
      </c>
      <c r="E12" s="119" t="s">
        <v>1152</v>
      </c>
      <c r="F12" s="119" t="s">
        <v>1007</v>
      </c>
      <c r="G12" s="119" t="s">
        <v>1524</v>
      </c>
      <c r="H12" s="119" t="s">
        <v>1525</v>
      </c>
      <c r="I12" s="119" t="s">
        <v>1526</v>
      </c>
      <c r="J12" s="119" t="s">
        <v>1527</v>
      </c>
      <c r="K12" s="119" t="s">
        <v>1528</v>
      </c>
      <c r="L12" s="119"/>
      <c r="M12" s="119"/>
      <c r="N12" s="119"/>
      <c r="O12" s="104"/>
      <c r="P12" s="119" t="s">
        <v>1528</v>
      </c>
      <c r="Q12" s="123" t="s">
        <v>1051</v>
      </c>
      <c r="R12" s="125"/>
      <c r="S12" s="125"/>
      <c r="T12" s="125"/>
      <c r="U12" s="125"/>
      <c r="V12" s="125"/>
    </row>
    <row r="13" spans="1:22" ht="12.75">
      <c r="A13" s="115">
        <v>5</v>
      </c>
      <c r="B13" s="119" t="s">
        <v>1392</v>
      </c>
      <c r="C13" s="119" t="s">
        <v>1395</v>
      </c>
      <c r="D13" s="119" t="s">
        <v>1393</v>
      </c>
      <c r="E13" s="119" t="s">
        <v>1338</v>
      </c>
      <c r="F13" s="119" t="s">
        <v>95</v>
      </c>
      <c r="G13" s="119" t="s">
        <v>1524</v>
      </c>
      <c r="H13" s="119" t="s">
        <v>1525</v>
      </c>
      <c r="I13" s="119" t="s">
        <v>1532</v>
      </c>
      <c r="J13" s="119" t="s">
        <v>1526</v>
      </c>
      <c r="K13" s="131"/>
      <c r="L13" s="119"/>
      <c r="M13" s="119"/>
      <c r="N13" s="119"/>
      <c r="O13" s="104"/>
      <c r="P13" s="119" t="s">
        <v>1526</v>
      </c>
      <c r="Q13" s="123" t="s">
        <v>1340</v>
      </c>
      <c r="R13" s="125"/>
      <c r="S13" s="125"/>
      <c r="T13" s="125"/>
      <c r="U13" s="125"/>
      <c r="V13" s="125"/>
    </row>
    <row r="14" spans="1:22" ht="12.75">
      <c r="A14" s="120">
        <v>6</v>
      </c>
      <c r="B14" s="119" t="s">
        <v>1359</v>
      </c>
      <c r="C14" s="119" t="s">
        <v>1522</v>
      </c>
      <c r="D14" s="119" t="s">
        <v>690</v>
      </c>
      <c r="E14" s="119" t="s">
        <v>1152</v>
      </c>
      <c r="F14" s="119" t="s">
        <v>1360</v>
      </c>
      <c r="G14" s="119" t="s">
        <v>1524</v>
      </c>
      <c r="H14" s="119" t="s">
        <v>1525</v>
      </c>
      <c r="I14" s="119" t="s">
        <v>1532</v>
      </c>
      <c r="J14" s="119" t="s">
        <v>1526</v>
      </c>
      <c r="K14" s="119"/>
      <c r="L14" s="131"/>
      <c r="M14" s="130"/>
      <c r="N14" s="131"/>
      <c r="P14" s="119" t="s">
        <v>1526</v>
      </c>
      <c r="Q14" s="123" t="s">
        <v>1453</v>
      </c>
      <c r="R14" s="125"/>
      <c r="S14" s="125"/>
      <c r="T14" s="125"/>
      <c r="U14" s="125"/>
      <c r="V14" s="125"/>
    </row>
    <row r="15" spans="1:22" ht="12.75">
      <c r="A15" s="120"/>
      <c r="B15" s="119" t="s">
        <v>1442</v>
      </c>
      <c r="C15" s="119" t="s">
        <v>1523</v>
      </c>
      <c r="D15" s="119" t="s">
        <v>310</v>
      </c>
      <c r="E15" s="119" t="s">
        <v>1152</v>
      </c>
      <c r="F15" s="119" t="s">
        <v>1415</v>
      </c>
      <c r="G15" s="130" t="s">
        <v>1524</v>
      </c>
      <c r="H15" s="119"/>
      <c r="I15" s="119"/>
      <c r="J15" s="119"/>
      <c r="K15" s="130"/>
      <c r="L15" s="130"/>
      <c r="M15" s="130"/>
      <c r="N15" s="130"/>
      <c r="O15" s="122"/>
      <c r="P15" s="149" t="s">
        <v>1544</v>
      </c>
      <c r="Q15" s="123" t="s">
        <v>1051</v>
      </c>
      <c r="R15" s="125"/>
      <c r="S15" s="125"/>
      <c r="T15" s="125"/>
      <c r="U15" s="125"/>
      <c r="V15" s="125"/>
    </row>
  </sheetData>
  <sheetProtection/>
  <mergeCells count="6">
    <mergeCell ref="B1:Q2"/>
    <mergeCell ref="G3:O3"/>
    <mergeCell ref="B4:V4"/>
    <mergeCell ref="B5:V5"/>
    <mergeCell ref="A7:U7"/>
    <mergeCell ref="B8:V8"/>
  </mergeCells>
  <printOptions/>
  <pageMargins left="0.7" right="0.7" top="0.75" bottom="0.75" header="0.3" footer="0.3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P13" sqref="P13"/>
    </sheetView>
  </sheetViews>
  <sheetFormatPr defaultColWidth="8.75390625" defaultRowHeight="12.75"/>
  <cols>
    <col min="1" max="1" width="3.25390625" style="0" customWidth="1"/>
    <col min="2" max="2" width="22.75390625" style="0" customWidth="1"/>
    <col min="3" max="3" width="27.875" style="0" customWidth="1"/>
    <col min="4" max="4" width="11.875" style="0" customWidth="1"/>
    <col min="5" max="5" width="28.625" style="0" customWidth="1"/>
    <col min="6" max="6" width="31.625" style="0" customWidth="1"/>
    <col min="7" max="15" width="8.75390625" style="0" customWidth="1"/>
    <col min="16" max="16" width="11.75390625" style="0" customWidth="1"/>
    <col min="17" max="17" width="18.75390625" style="0" customWidth="1"/>
  </cols>
  <sheetData>
    <row r="1" spans="1:22" ht="12.75">
      <c r="A1" s="43"/>
      <c r="B1" s="157" t="s">
        <v>1534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9"/>
      <c r="R1" s="1"/>
      <c r="S1" s="1"/>
      <c r="T1" s="1"/>
      <c r="U1" s="1"/>
      <c r="V1" s="1"/>
    </row>
    <row r="2" spans="1:22" ht="53.25" customHeight="1" thickBot="1">
      <c r="A2" s="43"/>
      <c r="B2" s="184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R2" s="1"/>
      <c r="S2" s="1"/>
      <c r="T2" s="1"/>
      <c r="U2" s="1"/>
      <c r="V2" s="1"/>
    </row>
    <row r="3" spans="1:22" ht="54.75" customHeight="1" thickBot="1">
      <c r="A3" s="2"/>
      <c r="B3" s="126" t="s">
        <v>0</v>
      </c>
      <c r="C3" s="127" t="s">
        <v>1077</v>
      </c>
      <c r="D3" s="128" t="s">
        <v>936</v>
      </c>
      <c r="E3" s="128" t="s">
        <v>6</v>
      </c>
      <c r="F3" s="128" t="s">
        <v>940</v>
      </c>
      <c r="G3" s="187" t="s">
        <v>1533</v>
      </c>
      <c r="H3" s="188"/>
      <c r="I3" s="188"/>
      <c r="J3" s="188"/>
      <c r="K3" s="188"/>
      <c r="L3" s="188"/>
      <c r="M3" s="188"/>
      <c r="N3" s="188"/>
      <c r="O3" s="189"/>
      <c r="P3" s="128" t="s">
        <v>1228</v>
      </c>
      <c r="Q3" s="129" t="s">
        <v>5</v>
      </c>
      <c r="R3" s="2"/>
      <c r="S3" s="2"/>
      <c r="T3" s="2"/>
      <c r="U3" s="2"/>
      <c r="V3" s="2"/>
    </row>
    <row r="4" spans="1:22" ht="15.75">
      <c r="A4" s="89"/>
      <c r="B4" s="156" t="s">
        <v>1327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1:22" ht="15.75">
      <c r="A5" s="89"/>
      <c r="B5" s="156" t="s">
        <v>1515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ht="12.75">
      <c r="A6" s="120">
        <v>1</v>
      </c>
      <c r="B6" s="119" t="s">
        <v>1368</v>
      </c>
      <c r="C6" s="119" t="s">
        <v>1372</v>
      </c>
      <c r="D6" s="119" t="s">
        <v>1369</v>
      </c>
      <c r="E6" s="119" t="s">
        <v>1152</v>
      </c>
      <c r="F6" s="119" t="s">
        <v>1370</v>
      </c>
      <c r="G6" s="119" t="s">
        <v>1535</v>
      </c>
      <c r="H6" s="121" t="s">
        <v>1536</v>
      </c>
      <c r="I6" s="119"/>
      <c r="J6" s="131"/>
      <c r="K6" s="131"/>
      <c r="L6" s="104"/>
      <c r="M6" s="121"/>
      <c r="N6" s="121"/>
      <c r="O6" s="122"/>
      <c r="P6" s="119" t="s">
        <v>1535</v>
      </c>
      <c r="Q6" s="123" t="s">
        <v>1051</v>
      </c>
      <c r="R6" s="125"/>
      <c r="S6" s="125"/>
      <c r="T6" s="125"/>
      <c r="U6" s="125"/>
      <c r="V6" s="125"/>
    </row>
    <row r="7" spans="1:22" ht="15.75">
      <c r="A7" s="183" t="s">
        <v>1038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25"/>
    </row>
    <row r="8" spans="1:22" ht="15.75">
      <c r="A8" s="125"/>
      <c r="B8" s="183" t="s">
        <v>1515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</row>
    <row r="9" spans="1:22" ht="12.75">
      <c r="A9" s="120">
        <v>1</v>
      </c>
      <c r="B9" s="119" t="s">
        <v>1537</v>
      </c>
      <c r="C9" s="119" t="s">
        <v>1538</v>
      </c>
      <c r="D9" s="119" t="s">
        <v>1441</v>
      </c>
      <c r="E9" s="119" t="s">
        <v>1152</v>
      </c>
      <c r="F9" s="119" t="s">
        <v>1539</v>
      </c>
      <c r="G9" s="119" t="s">
        <v>1540</v>
      </c>
      <c r="H9" s="119" t="s">
        <v>1200</v>
      </c>
      <c r="I9" s="119" t="s">
        <v>1541</v>
      </c>
      <c r="J9" s="119" t="s">
        <v>1201</v>
      </c>
      <c r="K9" s="130" t="s">
        <v>1542</v>
      </c>
      <c r="L9" s="119"/>
      <c r="M9" s="119"/>
      <c r="N9" s="119"/>
      <c r="O9" s="104"/>
      <c r="P9" s="119" t="s">
        <v>1201</v>
      </c>
      <c r="Q9" s="123" t="s">
        <v>1543</v>
      </c>
      <c r="R9" s="125"/>
      <c r="S9" s="125"/>
      <c r="T9" s="125"/>
      <c r="U9" s="125"/>
      <c r="V9" s="125"/>
    </row>
    <row r="10" spans="1:22" ht="12.75">
      <c r="A10" s="120">
        <v>2</v>
      </c>
      <c r="B10" s="119" t="s">
        <v>1458</v>
      </c>
      <c r="C10" s="119" t="s">
        <v>1459</v>
      </c>
      <c r="D10" s="119" t="s">
        <v>1460</v>
      </c>
      <c r="E10" s="119" t="s">
        <v>1152</v>
      </c>
      <c r="F10" s="119" t="s">
        <v>1007</v>
      </c>
      <c r="G10" s="119" t="s">
        <v>1540</v>
      </c>
      <c r="H10" s="119" t="s">
        <v>1200</v>
      </c>
      <c r="I10" s="119" t="s">
        <v>1541</v>
      </c>
      <c r="J10" s="119" t="s">
        <v>1201</v>
      </c>
      <c r="K10" s="130" t="s">
        <v>1542</v>
      </c>
      <c r="L10" s="119"/>
      <c r="M10" s="130"/>
      <c r="N10" s="119"/>
      <c r="O10" s="104"/>
      <c r="P10" s="119" t="s">
        <v>1201</v>
      </c>
      <c r="Q10" s="123" t="s">
        <v>1051</v>
      </c>
      <c r="R10" s="125"/>
      <c r="S10" s="125"/>
      <c r="T10" s="125"/>
      <c r="U10" s="125"/>
      <c r="V10" s="125"/>
    </row>
    <row r="11" spans="1:22" ht="12.75">
      <c r="A11" s="120">
        <v>3</v>
      </c>
      <c r="B11" s="119" t="s">
        <v>1446</v>
      </c>
      <c r="C11" s="119" t="s">
        <v>1447</v>
      </c>
      <c r="D11" s="119" t="s">
        <v>1448</v>
      </c>
      <c r="E11" s="119" t="s">
        <v>1152</v>
      </c>
      <c r="F11" s="119" t="s">
        <v>1007</v>
      </c>
      <c r="G11" s="119" t="s">
        <v>1540</v>
      </c>
      <c r="H11" s="119" t="s">
        <v>1200</v>
      </c>
      <c r="I11" s="119" t="s">
        <v>1541</v>
      </c>
      <c r="J11" s="130" t="s">
        <v>1201</v>
      </c>
      <c r="K11" s="119"/>
      <c r="L11" s="119"/>
      <c r="M11" s="130"/>
      <c r="N11" s="121"/>
      <c r="O11" s="122"/>
      <c r="P11" s="119" t="s">
        <v>1541</v>
      </c>
      <c r="Q11" s="123" t="s">
        <v>1051</v>
      </c>
      <c r="R11" s="125"/>
      <c r="S11" s="125"/>
      <c r="T11" s="125"/>
      <c r="U11" s="125"/>
      <c r="V11" s="125"/>
    </row>
    <row r="12" spans="1:22" ht="12.75">
      <c r="A12" s="120">
        <v>4</v>
      </c>
      <c r="B12" s="119" t="s">
        <v>1359</v>
      </c>
      <c r="C12" s="119" t="s">
        <v>1522</v>
      </c>
      <c r="D12" s="119" t="s">
        <v>690</v>
      </c>
      <c r="E12" s="119" t="s">
        <v>1152</v>
      </c>
      <c r="F12" s="119" t="s">
        <v>1360</v>
      </c>
      <c r="G12" s="119" t="s">
        <v>1540</v>
      </c>
      <c r="H12" s="130" t="s">
        <v>1200</v>
      </c>
      <c r="I12" s="119"/>
      <c r="J12" s="119"/>
      <c r="K12" s="119"/>
      <c r="L12" s="119"/>
      <c r="M12" s="119"/>
      <c r="N12" s="119"/>
      <c r="O12" s="104"/>
      <c r="P12" s="119" t="s">
        <v>1540</v>
      </c>
      <c r="Q12" s="123" t="s">
        <v>1453</v>
      </c>
      <c r="R12" s="125"/>
      <c r="S12" s="125"/>
      <c r="T12" s="125"/>
      <c r="U12" s="125"/>
      <c r="V12" s="125"/>
    </row>
    <row r="13" spans="1:22" ht="12.75">
      <c r="A13" s="115"/>
      <c r="B13" s="119" t="s">
        <v>1442</v>
      </c>
      <c r="C13" s="119" t="s">
        <v>1523</v>
      </c>
      <c r="D13" s="119" t="s">
        <v>310</v>
      </c>
      <c r="E13" s="119" t="s">
        <v>1152</v>
      </c>
      <c r="F13" s="119" t="s">
        <v>1415</v>
      </c>
      <c r="G13" s="130" t="s">
        <v>1540</v>
      </c>
      <c r="H13" s="119"/>
      <c r="I13" s="119"/>
      <c r="J13" s="119"/>
      <c r="K13" s="131"/>
      <c r="L13" s="119"/>
      <c r="M13" s="119"/>
      <c r="N13" s="119"/>
      <c r="O13" s="104"/>
      <c r="P13" s="149" t="s">
        <v>1544</v>
      </c>
      <c r="Q13" s="123" t="s">
        <v>1051</v>
      </c>
      <c r="R13" s="125"/>
      <c r="S13" s="125"/>
      <c r="T13" s="125"/>
      <c r="U13" s="125"/>
      <c r="V13" s="125"/>
    </row>
  </sheetData>
  <sheetProtection/>
  <mergeCells count="6">
    <mergeCell ref="B1:Q2"/>
    <mergeCell ref="G3:O3"/>
    <mergeCell ref="B4:V4"/>
    <mergeCell ref="B5:V5"/>
    <mergeCell ref="A7:U7"/>
    <mergeCell ref="B8:V8"/>
  </mergeCells>
  <printOptions/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3">
      <selection activeCell="H23" sqref="H23"/>
    </sheetView>
  </sheetViews>
  <sheetFormatPr defaultColWidth="8.75390625" defaultRowHeight="12.75"/>
  <cols>
    <col min="1" max="12" width="8.75390625" style="0" customWidth="1"/>
    <col min="13" max="13" width="101.25390625" style="0" customWidth="1"/>
  </cols>
  <sheetData>
    <row r="1" spans="1:13" ht="12.75">
      <c r="A1" s="157" t="s">
        <v>1548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84.7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4" spans="1:14" ht="15.75">
      <c r="A4" s="150" t="s">
        <v>1545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ht="15.75">
      <c r="A5" s="150" t="s">
        <v>1549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5.75">
      <c r="A6" s="150" t="s">
        <v>1555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ht="15.75">
      <c r="A7" s="150" t="s">
        <v>1547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</row>
    <row r="8" spans="1:14" ht="15.75">
      <c r="A8" s="150" t="s">
        <v>1550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ht="15.75">
      <c r="A9" s="150" t="s">
        <v>1551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ht="15.75">
      <c r="A10" s="150" t="s">
        <v>1568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ht="15.75">
      <c r="A11" s="150" t="s">
        <v>1569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ht="15.75">
      <c r="A12" s="150"/>
    </row>
    <row r="13" ht="13.5" thickBot="1"/>
    <row r="14" spans="1:13" ht="12.75" customHeight="1">
      <c r="A14" s="157" t="s">
        <v>1552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</row>
    <row r="15" spans="1:13" ht="65.25" customHeight="1" thickBot="1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4"/>
    </row>
    <row r="17" spans="1:12" ht="15.75">
      <c r="A17" s="150" t="s">
        <v>1545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ht="15.75">
      <c r="A18" s="150" t="s">
        <v>1546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</row>
    <row r="19" spans="1:12" ht="15.75">
      <c r="A19" s="150" t="s">
        <v>1553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</row>
    <row r="20" ht="15.75">
      <c r="A20" s="150" t="s">
        <v>1554</v>
      </c>
    </row>
  </sheetData>
  <sheetProtection/>
  <mergeCells count="2">
    <mergeCell ref="A1:M2"/>
    <mergeCell ref="A14:M15"/>
  </mergeCells>
  <printOptions/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25" sqref="E25"/>
    </sheetView>
  </sheetViews>
  <sheetFormatPr defaultColWidth="8.75390625" defaultRowHeight="12.75"/>
  <cols>
    <col min="1" max="12" width="8.75390625" style="0" customWidth="1"/>
    <col min="13" max="13" width="43.75390625" style="0" customWidth="1"/>
  </cols>
  <sheetData>
    <row r="1" spans="1:13" ht="12.75">
      <c r="A1" s="157" t="s">
        <v>1556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123.75" customHeight="1" thickBo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5" spans="1:4" ht="12.75">
      <c r="A5" t="s">
        <v>1557</v>
      </c>
      <c r="D5">
        <v>50</v>
      </c>
    </row>
    <row r="6" spans="1:4" ht="12.75">
      <c r="A6" t="s">
        <v>1558</v>
      </c>
      <c r="D6">
        <v>35</v>
      </c>
    </row>
    <row r="7" spans="1:4" ht="12.75">
      <c r="A7" t="s">
        <v>1559</v>
      </c>
      <c r="D7">
        <v>25</v>
      </c>
    </row>
    <row r="8" spans="1:4" ht="12.75">
      <c r="A8" t="s">
        <v>1560</v>
      </c>
      <c r="D8">
        <v>23</v>
      </c>
    </row>
    <row r="9" spans="1:4" ht="12.75">
      <c r="A9" t="s">
        <v>1047</v>
      </c>
      <c r="D9">
        <v>20</v>
      </c>
    </row>
    <row r="10" spans="1:4" ht="12.75">
      <c r="A10" t="s">
        <v>1567</v>
      </c>
      <c r="D10">
        <v>20</v>
      </c>
    </row>
    <row r="11" spans="1:4" ht="12.75">
      <c r="A11" t="s">
        <v>1028</v>
      </c>
      <c r="D11">
        <v>18</v>
      </c>
    </row>
    <row r="12" spans="1:4" ht="12.75">
      <c r="A12" t="s">
        <v>1488</v>
      </c>
      <c r="D12">
        <v>17</v>
      </c>
    </row>
    <row r="13" spans="1:4" ht="12.75">
      <c r="A13" t="s">
        <v>1206</v>
      </c>
      <c r="D13">
        <v>17</v>
      </c>
    </row>
    <row r="14" spans="1:4" ht="12.75">
      <c r="A14" t="s">
        <v>1564</v>
      </c>
      <c r="D14">
        <v>13</v>
      </c>
    </row>
    <row r="15" spans="1:4" ht="12.75">
      <c r="A15" t="s">
        <v>1565</v>
      </c>
      <c r="D15">
        <v>9</v>
      </c>
    </row>
    <row r="16" spans="1:4" ht="12.75">
      <c r="A16" t="s">
        <v>1037</v>
      </c>
      <c r="D16">
        <v>6</v>
      </c>
    </row>
    <row r="17" spans="1:4" ht="12.75">
      <c r="A17" t="s">
        <v>1561</v>
      </c>
      <c r="D17">
        <v>3</v>
      </c>
    </row>
    <row r="18" spans="1:4" ht="12.75">
      <c r="A18" t="s">
        <v>1398</v>
      </c>
      <c r="D18">
        <v>3</v>
      </c>
    </row>
    <row r="19" spans="1:4" ht="12.75">
      <c r="A19" t="s">
        <v>1563</v>
      </c>
      <c r="D19">
        <v>2</v>
      </c>
    </row>
    <row r="20" spans="1:4" ht="12.75">
      <c r="A20" t="s">
        <v>1562</v>
      </c>
      <c r="D20">
        <v>1</v>
      </c>
    </row>
  </sheetData>
  <sheetProtection/>
  <mergeCells count="1">
    <mergeCell ref="A1:M2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B5" sqref="B5:M5"/>
    </sheetView>
  </sheetViews>
  <sheetFormatPr defaultColWidth="8.75390625" defaultRowHeight="12.75"/>
  <cols>
    <col min="1" max="1" width="5.75390625" style="49" customWidth="1"/>
    <col min="2" max="2" width="26.75390625" style="25" customWidth="1"/>
    <col min="3" max="3" width="28.00390625" style="25" customWidth="1"/>
    <col min="4" max="4" width="13.00390625" style="25" customWidth="1"/>
    <col min="5" max="5" width="10.00390625" style="25" customWidth="1"/>
    <col min="6" max="6" width="22.75390625" style="25" bestFit="1" customWidth="1"/>
    <col min="7" max="7" width="26.75390625" style="25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9.375" style="25" customWidth="1"/>
    <col min="14" max="14" width="16.375" style="25" customWidth="1"/>
  </cols>
  <sheetData>
    <row r="1" spans="1:14" s="1" customFormat="1" ht="15" customHeight="1">
      <c r="A1" s="43"/>
      <c r="B1" s="157" t="s">
        <v>1072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3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222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8" t="s">
        <v>1073</v>
      </c>
      <c r="C6" s="28" t="s">
        <v>912</v>
      </c>
      <c r="D6" s="28" t="s">
        <v>699</v>
      </c>
      <c r="E6" s="28" t="str">
        <f>"0,8610"</f>
        <v>0,8610</v>
      </c>
      <c r="F6" s="28" t="s">
        <v>12</v>
      </c>
      <c r="G6" s="26" t="s">
        <v>988</v>
      </c>
      <c r="H6" s="28" t="s">
        <v>220</v>
      </c>
      <c r="I6" s="28" t="s">
        <v>88</v>
      </c>
      <c r="J6" s="28" t="s">
        <v>89</v>
      </c>
      <c r="K6" s="29"/>
      <c r="L6" s="65">
        <v>320</v>
      </c>
      <c r="M6" s="28" t="str">
        <f>"275,5200"</f>
        <v>275,5200</v>
      </c>
      <c r="N6" s="28" t="s">
        <v>1074</v>
      </c>
    </row>
    <row r="7" spans="1:14" ht="12.75">
      <c r="A7" s="49">
        <v>1</v>
      </c>
      <c r="B7" s="26" t="s">
        <v>1063</v>
      </c>
      <c r="C7" s="26" t="s">
        <v>834</v>
      </c>
      <c r="D7" s="26" t="s">
        <v>913</v>
      </c>
      <c r="E7" s="26" t="str">
        <f>"0,8678"</f>
        <v>0,8678</v>
      </c>
      <c r="F7" s="26" t="s">
        <v>12</v>
      </c>
      <c r="G7" s="26" t="s">
        <v>182</v>
      </c>
      <c r="H7" s="26" t="s">
        <v>78</v>
      </c>
      <c r="I7" s="26" t="s">
        <v>88</v>
      </c>
      <c r="J7" s="26" t="s">
        <v>735</v>
      </c>
      <c r="K7" s="27"/>
      <c r="L7" s="66">
        <v>322.5</v>
      </c>
      <c r="M7" s="26" t="str">
        <f>"279,8655"</f>
        <v>279,8655</v>
      </c>
      <c r="N7" s="26" t="s">
        <v>72</v>
      </c>
    </row>
    <row r="8" spans="1:14" ht="12.75">
      <c r="A8" s="49">
        <v>2</v>
      </c>
      <c r="B8" s="32" t="s">
        <v>911</v>
      </c>
      <c r="C8" s="32" t="s">
        <v>914</v>
      </c>
      <c r="D8" s="32" t="s">
        <v>699</v>
      </c>
      <c r="E8" s="32" t="str">
        <f>"0,8610"</f>
        <v>0,8610</v>
      </c>
      <c r="F8" s="32" t="s">
        <v>12</v>
      </c>
      <c r="G8" s="26" t="s">
        <v>988</v>
      </c>
      <c r="H8" s="32" t="s">
        <v>220</v>
      </c>
      <c r="I8" s="32" t="s">
        <v>88</v>
      </c>
      <c r="J8" s="32" t="s">
        <v>89</v>
      </c>
      <c r="K8" s="33"/>
      <c r="L8" s="67">
        <v>320</v>
      </c>
      <c r="M8" s="32" t="str">
        <f>"275,5200"</f>
        <v>275,5200</v>
      </c>
      <c r="N8" s="32" t="s">
        <v>1075</v>
      </c>
    </row>
  </sheetData>
  <sheetProtection/>
  <mergeCells count="12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18">
      <selection activeCell="G30" sqref="G30"/>
    </sheetView>
  </sheetViews>
  <sheetFormatPr defaultColWidth="8.75390625" defaultRowHeight="12.75"/>
  <cols>
    <col min="1" max="1" width="4.875" style="49" customWidth="1"/>
    <col min="2" max="2" width="22.625" style="25" customWidth="1"/>
    <col min="3" max="3" width="26.875" style="25" bestFit="1" customWidth="1"/>
    <col min="4" max="4" width="13.625" style="25" customWidth="1"/>
    <col min="5" max="5" width="9.875" style="25" customWidth="1"/>
    <col min="6" max="6" width="22.75390625" style="25" bestFit="1" customWidth="1"/>
    <col min="7" max="7" width="36.25390625" style="25" customWidth="1"/>
    <col min="8" max="11" width="5.625" style="25" bestFit="1" customWidth="1"/>
    <col min="12" max="12" width="7.875" style="48" bestFit="1" customWidth="1"/>
    <col min="13" max="13" width="8.625" style="25" bestFit="1" customWidth="1"/>
    <col min="14" max="14" width="19.125" style="25" customWidth="1"/>
  </cols>
  <sheetData>
    <row r="1" spans="1:14" s="1" customFormat="1" ht="15" customHeight="1">
      <c r="A1" s="43"/>
      <c r="B1" s="157" t="s">
        <v>1069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3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591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592</v>
      </c>
      <c r="C6" s="26" t="s">
        <v>593</v>
      </c>
      <c r="D6" s="26" t="s">
        <v>594</v>
      </c>
      <c r="E6" s="26" t="str">
        <f>"2,6512"</f>
        <v>2,6512</v>
      </c>
      <c r="F6" s="26" t="s">
        <v>12</v>
      </c>
      <c r="G6" s="26" t="s">
        <v>595</v>
      </c>
      <c r="H6" s="26" t="s">
        <v>40</v>
      </c>
      <c r="I6" s="26" t="s">
        <v>13</v>
      </c>
      <c r="J6" s="50" t="s">
        <v>152</v>
      </c>
      <c r="K6" s="27"/>
      <c r="L6" s="66">
        <v>90</v>
      </c>
      <c r="M6" s="26" t="str">
        <f>"238,6080"</f>
        <v>238,6080</v>
      </c>
      <c r="N6" s="26" t="s">
        <v>1032</v>
      </c>
    </row>
    <row r="8" spans="2:13" ht="15.75">
      <c r="B8" s="156" t="s">
        <v>142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>
      <c r="A9" s="49">
        <v>1</v>
      </c>
      <c r="B9" s="26" t="s">
        <v>143</v>
      </c>
      <c r="C9" s="26" t="s">
        <v>144</v>
      </c>
      <c r="D9" s="26" t="s">
        <v>145</v>
      </c>
      <c r="E9" s="26" t="str">
        <f>"2,3214"</f>
        <v>2,3214</v>
      </c>
      <c r="F9" s="26" t="s">
        <v>12</v>
      </c>
      <c r="G9" s="26" t="s">
        <v>988</v>
      </c>
      <c r="H9" s="26" t="s">
        <v>15</v>
      </c>
      <c r="I9" s="27"/>
      <c r="J9" s="27"/>
      <c r="K9" s="27"/>
      <c r="L9" s="66">
        <v>100</v>
      </c>
      <c r="M9" s="26" t="str">
        <f>"258,3718"</f>
        <v>258,3718</v>
      </c>
      <c r="N9" s="26" t="s">
        <v>952</v>
      </c>
    </row>
    <row r="11" spans="2:13" ht="15.75">
      <c r="B11" s="156" t="s">
        <v>156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4" ht="12.75">
      <c r="A12" s="49">
        <v>1</v>
      </c>
      <c r="B12" s="28" t="s">
        <v>874</v>
      </c>
      <c r="C12" s="28" t="s">
        <v>875</v>
      </c>
      <c r="D12" s="28" t="s">
        <v>742</v>
      </c>
      <c r="E12" s="28" t="str">
        <f>"1,7522"</f>
        <v>1,7522</v>
      </c>
      <c r="F12" s="26" t="s">
        <v>970</v>
      </c>
      <c r="G12" s="28" t="s">
        <v>244</v>
      </c>
      <c r="H12" s="28" t="s">
        <v>15</v>
      </c>
      <c r="I12" s="28" t="s">
        <v>262</v>
      </c>
      <c r="J12" s="53" t="s">
        <v>173</v>
      </c>
      <c r="K12" s="29"/>
      <c r="L12" s="88">
        <v>122.5</v>
      </c>
      <c r="M12" s="28" t="str">
        <f>"214,6445"</f>
        <v>214,6445</v>
      </c>
      <c r="N12" s="28" t="s">
        <v>667</v>
      </c>
    </row>
    <row r="13" spans="1:14" ht="12.75">
      <c r="A13" s="49">
        <v>1</v>
      </c>
      <c r="B13" s="26" t="s">
        <v>162</v>
      </c>
      <c r="C13" s="26" t="s">
        <v>163</v>
      </c>
      <c r="D13" s="26" t="s">
        <v>164</v>
      </c>
      <c r="E13" s="26" t="str">
        <f>"1,6454"</f>
        <v>1,6454</v>
      </c>
      <c r="F13" s="26" t="s">
        <v>12</v>
      </c>
      <c r="G13" s="26" t="s">
        <v>988</v>
      </c>
      <c r="H13" s="26" t="s">
        <v>166</v>
      </c>
      <c r="I13" s="27"/>
      <c r="J13" s="27"/>
      <c r="K13" s="27"/>
      <c r="L13" s="64">
        <v>147.5</v>
      </c>
      <c r="M13" s="26" t="str">
        <f>"242,6965"</f>
        <v>242,6965</v>
      </c>
      <c r="N13" s="26" t="s">
        <v>966</v>
      </c>
    </row>
    <row r="15" spans="2:13" ht="15.75">
      <c r="B15" s="156" t="s">
        <v>156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</row>
    <row r="16" spans="1:14" ht="12.75">
      <c r="A16" s="49">
        <v>1</v>
      </c>
      <c r="B16" s="28" t="s">
        <v>876</v>
      </c>
      <c r="C16" s="28" t="s">
        <v>877</v>
      </c>
      <c r="D16" s="28" t="s">
        <v>878</v>
      </c>
      <c r="E16" s="28" t="str">
        <f>"1,2530"</f>
        <v>1,2530</v>
      </c>
      <c r="F16" s="28" t="s">
        <v>12</v>
      </c>
      <c r="G16" s="28" t="s">
        <v>988</v>
      </c>
      <c r="H16" s="28" t="s">
        <v>311</v>
      </c>
      <c r="I16" s="28" t="s">
        <v>423</v>
      </c>
      <c r="J16" s="28" t="s">
        <v>112</v>
      </c>
      <c r="K16" s="29"/>
      <c r="L16" s="65">
        <v>195</v>
      </c>
      <c r="M16" s="28" t="str">
        <f>"244,3350"</f>
        <v>244,3350</v>
      </c>
      <c r="N16" s="28" t="s">
        <v>72</v>
      </c>
    </row>
    <row r="17" spans="1:14" ht="12.75">
      <c r="A17" s="49">
        <v>1</v>
      </c>
      <c r="B17" s="26" t="s">
        <v>627</v>
      </c>
      <c r="C17" s="26" t="s">
        <v>628</v>
      </c>
      <c r="D17" s="26" t="s">
        <v>629</v>
      </c>
      <c r="E17" s="26" t="str">
        <f>"1,2852"</f>
        <v>1,2852</v>
      </c>
      <c r="F17" s="26" t="s">
        <v>946</v>
      </c>
      <c r="G17" s="26" t="s">
        <v>595</v>
      </c>
      <c r="H17" s="26" t="s">
        <v>216</v>
      </c>
      <c r="I17" s="50" t="s">
        <v>440</v>
      </c>
      <c r="J17" s="26" t="s">
        <v>440</v>
      </c>
      <c r="K17" s="26" t="s">
        <v>79</v>
      </c>
      <c r="L17" s="66">
        <v>252.5</v>
      </c>
      <c r="M17" s="26" t="str">
        <f>"324,5130"</f>
        <v>324,5130</v>
      </c>
      <c r="N17" s="26" t="s">
        <v>968</v>
      </c>
    </row>
    <row r="18" spans="1:14" ht="12.75">
      <c r="A18" s="49">
        <v>2</v>
      </c>
      <c r="B18" s="32" t="s">
        <v>179</v>
      </c>
      <c r="C18" s="32" t="s">
        <v>180</v>
      </c>
      <c r="D18" s="32" t="s">
        <v>181</v>
      </c>
      <c r="E18" s="32" t="str">
        <f>"1,2790"</f>
        <v>1,2790</v>
      </c>
      <c r="F18" s="32" t="s">
        <v>12</v>
      </c>
      <c r="G18" s="32" t="s">
        <v>182</v>
      </c>
      <c r="H18" s="32" t="s">
        <v>112</v>
      </c>
      <c r="I18" s="33"/>
      <c r="J18" s="33"/>
      <c r="K18" s="33"/>
      <c r="L18" s="67">
        <v>195</v>
      </c>
      <c r="M18" s="32" t="str">
        <f>"249,4050"</f>
        <v>249,4050</v>
      </c>
      <c r="N18" s="32" t="s">
        <v>72</v>
      </c>
    </row>
    <row r="20" spans="2:13" ht="15.75">
      <c r="B20" s="156" t="s">
        <v>54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4" ht="12.75">
      <c r="A21" s="49">
        <v>1</v>
      </c>
      <c r="B21" s="26" t="s">
        <v>879</v>
      </c>
      <c r="C21" s="26" t="s">
        <v>880</v>
      </c>
      <c r="D21" s="26" t="s">
        <v>411</v>
      </c>
      <c r="E21" s="26" t="str">
        <f>"1,0756"</f>
        <v>1,0756</v>
      </c>
      <c r="F21" s="26" t="s">
        <v>12</v>
      </c>
      <c r="G21" s="26" t="s">
        <v>1005</v>
      </c>
      <c r="H21" s="26" t="s">
        <v>68</v>
      </c>
      <c r="I21" s="26" t="s">
        <v>194</v>
      </c>
      <c r="J21" s="26" t="s">
        <v>227</v>
      </c>
      <c r="K21" s="27"/>
      <c r="L21" s="64">
        <v>222.5</v>
      </c>
      <c r="M21" s="26" t="str">
        <f>"239,3210"</f>
        <v>239,3210</v>
      </c>
      <c r="N21" s="26" t="s">
        <v>72</v>
      </c>
    </row>
    <row r="23" spans="2:13" ht="15.75">
      <c r="B23" s="156" t="s">
        <v>62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</row>
    <row r="24" spans="1:14" ht="12.75">
      <c r="A24" s="49">
        <v>1</v>
      </c>
      <c r="B24" s="28" t="s">
        <v>881</v>
      </c>
      <c r="C24" s="28" t="s">
        <v>882</v>
      </c>
      <c r="D24" s="28" t="s">
        <v>883</v>
      </c>
      <c r="E24" s="28" t="str">
        <f>"0,9760"</f>
        <v>0,9760</v>
      </c>
      <c r="F24" s="28" t="s">
        <v>12</v>
      </c>
      <c r="G24" s="28" t="s">
        <v>988</v>
      </c>
      <c r="H24" s="28" t="s">
        <v>220</v>
      </c>
      <c r="I24" s="28" t="s">
        <v>221</v>
      </c>
      <c r="J24" s="53" t="s">
        <v>353</v>
      </c>
      <c r="K24" s="29"/>
      <c r="L24" s="65">
        <v>295</v>
      </c>
      <c r="M24" s="28" t="str">
        <f>"287,9200"</f>
        <v>287,9200</v>
      </c>
      <c r="N24" s="28" t="s">
        <v>72</v>
      </c>
    </row>
    <row r="25" spans="1:14" ht="12.75">
      <c r="A25" s="49">
        <v>2</v>
      </c>
      <c r="B25" s="26" t="s">
        <v>884</v>
      </c>
      <c r="C25" s="26" t="s">
        <v>885</v>
      </c>
      <c r="D25" s="26" t="s">
        <v>886</v>
      </c>
      <c r="E25" s="26" t="str">
        <f>"0,9846"</f>
        <v>0,9846</v>
      </c>
      <c r="F25" s="26" t="s">
        <v>970</v>
      </c>
      <c r="G25" s="26" t="s">
        <v>244</v>
      </c>
      <c r="H25" s="26" t="s">
        <v>59</v>
      </c>
      <c r="I25" s="26" t="s">
        <v>99</v>
      </c>
      <c r="J25" s="26" t="s">
        <v>70</v>
      </c>
      <c r="K25" s="27"/>
      <c r="L25" s="66">
        <v>240</v>
      </c>
      <c r="M25" s="26" t="str">
        <f>"236,3040"</f>
        <v>236,3040</v>
      </c>
      <c r="N25" s="26" t="s">
        <v>72</v>
      </c>
    </row>
    <row r="26" spans="1:14" ht="12.75">
      <c r="A26" s="49">
        <v>1</v>
      </c>
      <c r="B26" s="32" t="s">
        <v>667</v>
      </c>
      <c r="C26" s="32" t="s">
        <v>668</v>
      </c>
      <c r="D26" s="32" t="s">
        <v>669</v>
      </c>
      <c r="E26" s="32" t="str">
        <f>"1,0012"</f>
        <v>1,0012</v>
      </c>
      <c r="F26" s="26" t="s">
        <v>970</v>
      </c>
      <c r="G26" s="32" t="s">
        <v>244</v>
      </c>
      <c r="H26" s="32" t="s">
        <v>67</v>
      </c>
      <c r="I26" s="32" t="s">
        <v>199</v>
      </c>
      <c r="J26" s="32" t="s">
        <v>99</v>
      </c>
      <c r="K26" s="33"/>
      <c r="L26" s="67">
        <v>230</v>
      </c>
      <c r="M26" s="32" t="str">
        <f>"232,5788"</f>
        <v>232,5788</v>
      </c>
      <c r="N26" s="32" t="s">
        <v>72</v>
      </c>
    </row>
    <row r="28" spans="2:13" ht="15.75">
      <c r="B28" s="156" t="s">
        <v>206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4" ht="12.75">
      <c r="A29" s="49">
        <v>1</v>
      </c>
      <c r="B29" s="28" t="s">
        <v>747</v>
      </c>
      <c r="C29" s="28" t="s">
        <v>748</v>
      </c>
      <c r="D29" s="28" t="s">
        <v>887</v>
      </c>
      <c r="E29" s="28" t="str">
        <f>"0,9524"</f>
        <v>0,9524</v>
      </c>
      <c r="F29" s="28" t="s">
        <v>291</v>
      </c>
      <c r="G29" s="28" t="s">
        <v>606</v>
      </c>
      <c r="H29" s="28" t="s">
        <v>102</v>
      </c>
      <c r="I29" s="28" t="s">
        <v>228</v>
      </c>
      <c r="J29" s="28" t="s">
        <v>109</v>
      </c>
      <c r="K29" s="29"/>
      <c r="L29" s="65">
        <v>292.5</v>
      </c>
      <c r="M29" s="28" t="str">
        <f>"278,5770"</f>
        <v>278,5770</v>
      </c>
      <c r="N29" s="28" t="s">
        <v>968</v>
      </c>
    </row>
    <row r="30" spans="1:14" ht="12.75">
      <c r="A30" s="49">
        <v>1</v>
      </c>
      <c r="B30" s="26" t="s">
        <v>888</v>
      </c>
      <c r="C30" s="26" t="s">
        <v>889</v>
      </c>
      <c r="D30" s="26" t="s">
        <v>675</v>
      </c>
      <c r="E30" s="26" t="str">
        <f>"0,9194"</f>
        <v>0,9194</v>
      </c>
      <c r="F30" s="26" t="s">
        <v>12</v>
      </c>
      <c r="G30" s="26" t="s">
        <v>988</v>
      </c>
      <c r="H30" s="26" t="s">
        <v>97</v>
      </c>
      <c r="I30" s="50" t="s">
        <v>445</v>
      </c>
      <c r="J30" s="26" t="s">
        <v>445</v>
      </c>
      <c r="K30" s="27"/>
      <c r="L30" s="66">
        <v>340</v>
      </c>
      <c r="M30" s="26" t="str">
        <f>"312,5960"</f>
        <v>312,5960</v>
      </c>
      <c r="N30" s="26" t="s">
        <v>72</v>
      </c>
    </row>
    <row r="32" spans="2:13" ht="15.75">
      <c r="B32" s="156" t="s">
        <v>82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</row>
    <row r="33" spans="1:14" ht="12.75">
      <c r="A33" s="49">
        <v>1</v>
      </c>
      <c r="B33" s="28" t="s">
        <v>890</v>
      </c>
      <c r="C33" s="28" t="s">
        <v>891</v>
      </c>
      <c r="D33" s="28" t="s">
        <v>892</v>
      </c>
      <c r="E33" s="28" t="str">
        <f>"0,8890"</f>
        <v>0,8890</v>
      </c>
      <c r="F33" s="28" t="s">
        <v>12</v>
      </c>
      <c r="G33" s="28" t="s">
        <v>893</v>
      </c>
      <c r="H33" s="28" t="s">
        <v>90</v>
      </c>
      <c r="I33" s="28" t="s">
        <v>344</v>
      </c>
      <c r="J33" s="53" t="s">
        <v>451</v>
      </c>
      <c r="K33" s="29"/>
      <c r="L33" s="65">
        <v>350</v>
      </c>
      <c r="M33" s="28" t="str">
        <f>"311,1500"</f>
        <v>311,1500</v>
      </c>
      <c r="N33" s="28" t="s">
        <v>1071</v>
      </c>
    </row>
    <row r="34" spans="1:14" ht="12.75">
      <c r="A34" s="49">
        <v>2</v>
      </c>
      <c r="B34" s="26" t="s">
        <v>894</v>
      </c>
      <c r="C34" s="26" t="s">
        <v>895</v>
      </c>
      <c r="D34" s="26" t="s">
        <v>896</v>
      </c>
      <c r="E34" s="26" t="str">
        <f>"0,9048"</f>
        <v>0,9048</v>
      </c>
      <c r="F34" s="26" t="s">
        <v>12</v>
      </c>
      <c r="G34" s="26" t="s">
        <v>893</v>
      </c>
      <c r="H34" s="26" t="s">
        <v>78</v>
      </c>
      <c r="I34" s="26" t="s">
        <v>86</v>
      </c>
      <c r="J34" s="50" t="s">
        <v>220</v>
      </c>
      <c r="K34" s="27"/>
      <c r="L34" s="66">
        <v>270</v>
      </c>
      <c r="M34" s="26" t="str">
        <f>"244,2960"</f>
        <v>244,2960</v>
      </c>
      <c r="N34" s="28" t="s">
        <v>1071</v>
      </c>
    </row>
    <row r="36" spans="2:13" ht="15.75">
      <c r="B36" s="156" t="s">
        <v>222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</row>
    <row r="37" spans="1:14" ht="12.75">
      <c r="A37" s="49">
        <v>1</v>
      </c>
      <c r="B37" s="26" t="s">
        <v>897</v>
      </c>
      <c r="C37" s="26" t="s">
        <v>640</v>
      </c>
      <c r="D37" s="26" t="s">
        <v>898</v>
      </c>
      <c r="E37" s="26" t="str">
        <f>"0,8600"</f>
        <v>0,8600</v>
      </c>
      <c r="F37" s="26" t="s">
        <v>291</v>
      </c>
      <c r="G37" s="26" t="s">
        <v>606</v>
      </c>
      <c r="H37" s="26" t="s">
        <v>221</v>
      </c>
      <c r="I37" s="26" t="s">
        <v>353</v>
      </c>
      <c r="J37" s="26" t="s">
        <v>96</v>
      </c>
      <c r="K37" s="27"/>
      <c r="L37" s="66">
        <v>315</v>
      </c>
      <c r="M37" s="26" t="str">
        <f>"270,9000"</f>
        <v>270,9000</v>
      </c>
      <c r="N37" s="26" t="s">
        <v>968</v>
      </c>
    </row>
    <row r="39" spans="2:13" ht="15.75">
      <c r="B39" s="156" t="s">
        <v>348</v>
      </c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</row>
    <row r="40" spans="1:14" ht="12.75">
      <c r="A40" s="49">
        <v>1</v>
      </c>
      <c r="B40" s="26" t="s">
        <v>1070</v>
      </c>
      <c r="C40" s="26" t="s">
        <v>900</v>
      </c>
      <c r="D40" s="26" t="s">
        <v>901</v>
      </c>
      <c r="E40" s="26" t="str">
        <f>"0,8468"</f>
        <v>0,8468</v>
      </c>
      <c r="F40" s="26" t="s">
        <v>12</v>
      </c>
      <c r="G40" s="26" t="s">
        <v>403</v>
      </c>
      <c r="H40" s="26" t="s">
        <v>79</v>
      </c>
      <c r="I40" s="26" t="s">
        <v>86</v>
      </c>
      <c r="J40" s="26" t="s">
        <v>220</v>
      </c>
      <c r="K40" s="27"/>
      <c r="L40" s="66">
        <v>280</v>
      </c>
      <c r="M40" s="26" t="str">
        <f>"237,1040"</f>
        <v>237,1040</v>
      </c>
      <c r="N40" s="26" t="s">
        <v>72</v>
      </c>
    </row>
    <row r="43" spans="2:3" ht="18">
      <c r="B43" s="34" t="s">
        <v>117</v>
      </c>
      <c r="C43" s="34"/>
    </row>
    <row r="44" spans="2:3" ht="15.75">
      <c r="B44" s="35"/>
      <c r="C44" s="35"/>
    </row>
    <row r="45" spans="2:3" ht="15.75">
      <c r="B45" s="85" t="s">
        <v>1038</v>
      </c>
      <c r="C45" s="38"/>
    </row>
    <row r="46" spans="2:3" ht="13.5">
      <c r="B46" s="37" t="s">
        <v>126</v>
      </c>
      <c r="C46" s="38"/>
    </row>
    <row r="47" spans="2:6" ht="13.5">
      <c r="B47" s="39" t="s">
        <v>120</v>
      </c>
      <c r="C47" s="39" t="s">
        <v>121</v>
      </c>
      <c r="D47" s="39" t="s">
        <v>122</v>
      </c>
      <c r="E47" s="39" t="s">
        <v>123</v>
      </c>
      <c r="F47" s="39" t="s">
        <v>935</v>
      </c>
    </row>
    <row r="48" spans="1:6" ht="12.75">
      <c r="A48" s="49">
        <v>1</v>
      </c>
      <c r="B48" s="135" t="s">
        <v>627</v>
      </c>
      <c r="C48" s="83" t="s">
        <v>127</v>
      </c>
      <c r="D48" s="83" t="s">
        <v>226</v>
      </c>
      <c r="E48" s="83" t="s">
        <v>440</v>
      </c>
      <c r="F48" s="48" t="s">
        <v>902</v>
      </c>
    </row>
    <row r="49" spans="1:6" ht="12.75">
      <c r="A49" s="49">
        <v>2</v>
      </c>
      <c r="B49" s="135" t="s">
        <v>888</v>
      </c>
      <c r="C49" s="83" t="s">
        <v>127</v>
      </c>
      <c r="D49" s="83" t="s">
        <v>240</v>
      </c>
      <c r="E49" s="83" t="s">
        <v>445</v>
      </c>
      <c r="F49" s="48" t="s">
        <v>903</v>
      </c>
    </row>
    <row r="50" spans="1:6" ht="12.75">
      <c r="A50" s="49">
        <v>3</v>
      </c>
      <c r="B50" s="135" t="s">
        <v>890</v>
      </c>
      <c r="C50" s="83" t="s">
        <v>127</v>
      </c>
      <c r="D50" s="83" t="s">
        <v>130</v>
      </c>
      <c r="E50" s="83" t="s">
        <v>344</v>
      </c>
      <c r="F50" s="48" t="s">
        <v>904</v>
      </c>
    </row>
    <row r="51" spans="2:6" ht="12.75">
      <c r="B51" s="135" t="s">
        <v>881</v>
      </c>
      <c r="C51" s="83" t="s">
        <v>127</v>
      </c>
      <c r="D51" s="83" t="s">
        <v>133</v>
      </c>
      <c r="E51" s="83" t="s">
        <v>221</v>
      </c>
      <c r="F51" s="48" t="s">
        <v>905</v>
      </c>
    </row>
    <row r="52" spans="2:6" ht="12.75">
      <c r="B52" s="135" t="s">
        <v>897</v>
      </c>
      <c r="C52" s="83" t="s">
        <v>127</v>
      </c>
      <c r="D52" s="83" t="s">
        <v>233</v>
      </c>
      <c r="E52" s="83" t="s">
        <v>96</v>
      </c>
      <c r="F52" s="48" t="s">
        <v>906</v>
      </c>
    </row>
    <row r="53" spans="2:6" ht="12.75">
      <c r="B53" s="135" t="s">
        <v>179</v>
      </c>
      <c r="C53" s="83" t="s">
        <v>127</v>
      </c>
      <c r="D53" s="83" t="s">
        <v>226</v>
      </c>
      <c r="E53" s="83" t="s">
        <v>112</v>
      </c>
      <c r="F53" s="48" t="s">
        <v>907</v>
      </c>
    </row>
    <row r="54" spans="2:6" ht="12.75">
      <c r="B54" s="135" t="s">
        <v>894</v>
      </c>
      <c r="C54" s="83" t="s">
        <v>127</v>
      </c>
      <c r="D54" s="83" t="s">
        <v>130</v>
      </c>
      <c r="E54" s="83" t="s">
        <v>86</v>
      </c>
      <c r="F54" s="48" t="s">
        <v>908</v>
      </c>
    </row>
    <row r="55" spans="2:6" ht="12.75">
      <c r="B55" s="135" t="s">
        <v>899</v>
      </c>
      <c r="C55" s="83" t="s">
        <v>127</v>
      </c>
      <c r="D55" s="83" t="s">
        <v>383</v>
      </c>
      <c r="E55" s="83" t="s">
        <v>220</v>
      </c>
      <c r="F55" s="48" t="s">
        <v>909</v>
      </c>
    </row>
    <row r="56" spans="2:6" ht="12.75">
      <c r="B56" s="135" t="s">
        <v>884</v>
      </c>
      <c r="C56" s="83" t="s">
        <v>127</v>
      </c>
      <c r="D56" s="83" t="s">
        <v>133</v>
      </c>
      <c r="E56" s="83" t="s">
        <v>70</v>
      </c>
      <c r="F56" s="48" t="s">
        <v>910</v>
      </c>
    </row>
    <row r="57" spans="2:6" ht="12.75">
      <c r="B57" s="83"/>
      <c r="C57" s="83"/>
      <c r="D57" s="83"/>
      <c r="E57" s="83"/>
      <c r="F57" s="83"/>
    </row>
    <row r="58" spans="2:6" ht="12.75">
      <c r="B58" s="83"/>
      <c r="C58" s="83"/>
      <c r="D58" s="83"/>
      <c r="E58" s="83"/>
      <c r="F58" s="83"/>
    </row>
    <row r="59" spans="1:10" ht="12.75">
      <c r="A59" s="25"/>
      <c r="F59" s="48"/>
      <c r="I59"/>
      <c r="J59"/>
    </row>
    <row r="60" spans="1:10" ht="12.75">
      <c r="A60" s="25"/>
      <c r="F60" s="48"/>
      <c r="I60"/>
      <c r="J60"/>
    </row>
    <row r="61" spans="1:10" ht="12.75">
      <c r="A61" s="25"/>
      <c r="F61" s="48"/>
      <c r="I61"/>
      <c r="J61"/>
    </row>
    <row r="62" spans="1:10" ht="12.75">
      <c r="A62" s="25"/>
      <c r="F62" s="48"/>
      <c r="I62"/>
      <c r="J62"/>
    </row>
    <row r="63" spans="1:10" ht="12.75">
      <c r="A63" s="25"/>
      <c r="F63" s="48"/>
      <c r="I63"/>
      <c r="J63"/>
    </row>
    <row r="64" spans="1:10" ht="12.75">
      <c r="A64" s="25"/>
      <c r="F64" s="48"/>
      <c r="I64"/>
      <c r="J64"/>
    </row>
    <row r="65" spans="1:10" ht="12.75">
      <c r="A65" s="25"/>
      <c r="F65" s="48"/>
      <c r="I65"/>
      <c r="J65"/>
    </row>
    <row r="66" spans="1:10" ht="12.75">
      <c r="A66" s="25"/>
      <c r="F66" s="48"/>
      <c r="I66"/>
      <c r="J66"/>
    </row>
    <row r="67" spans="1:10" ht="12.75">
      <c r="A67" s="25"/>
      <c r="F67" s="48"/>
      <c r="I67"/>
      <c r="J67"/>
    </row>
    <row r="68" spans="1:10" ht="12.75">
      <c r="A68" s="25"/>
      <c r="F68" s="48"/>
      <c r="I68"/>
      <c r="J68"/>
    </row>
    <row r="69" spans="1:10" ht="12.75">
      <c r="A69" s="25"/>
      <c r="F69" s="48"/>
      <c r="I69"/>
      <c r="J69"/>
    </row>
    <row r="72" spans="1:6" ht="12.75">
      <c r="A72" s="25"/>
      <c r="F72" s="48"/>
    </row>
    <row r="73" spans="1:6" ht="12.75">
      <c r="A73" s="25"/>
      <c r="F73" s="48"/>
    </row>
    <row r="74" spans="1:6" ht="12.75">
      <c r="A74" s="25"/>
      <c r="F74" s="48"/>
    </row>
    <row r="75" spans="1:6" ht="12.75">
      <c r="A75" s="25"/>
      <c r="F75" s="48"/>
    </row>
    <row r="76" spans="1:6" ht="12.75">
      <c r="A76" s="25"/>
      <c r="F76" s="48"/>
    </row>
    <row r="77" spans="1:6" ht="12.75">
      <c r="A77" s="25"/>
      <c r="F77" s="48"/>
    </row>
    <row r="78" spans="1:6" ht="12.75">
      <c r="A78" s="25"/>
      <c r="F78" s="48"/>
    </row>
    <row r="79" spans="1:6" ht="12.75">
      <c r="A79" s="25"/>
      <c r="F79" s="48"/>
    </row>
    <row r="80" spans="1:6" ht="12.75">
      <c r="A80" s="25"/>
      <c r="F80" s="48"/>
    </row>
    <row r="81" spans="1:6" ht="12.75">
      <c r="A81" s="25"/>
      <c r="F81" s="48"/>
    </row>
    <row r="82" spans="1:6" ht="12.75">
      <c r="A82" s="25"/>
      <c r="F82" s="48"/>
    </row>
    <row r="85" spans="1:6" ht="12.75">
      <c r="A85" s="25"/>
      <c r="F85" s="48"/>
    </row>
    <row r="86" spans="1:6" ht="12.75">
      <c r="A86" s="25"/>
      <c r="F86" s="48"/>
    </row>
    <row r="87" spans="1:6" ht="12.75">
      <c r="A87" s="25"/>
      <c r="F87" s="48"/>
    </row>
    <row r="88" spans="1:6" ht="12.75">
      <c r="A88" s="25"/>
      <c r="F88" s="48"/>
    </row>
    <row r="89" spans="1:6" ht="12.75">
      <c r="A89" s="25"/>
      <c r="F89" s="48"/>
    </row>
    <row r="90" spans="1:6" ht="12.75">
      <c r="A90" s="25"/>
      <c r="F90" s="48"/>
    </row>
    <row r="91" spans="1:6" ht="12.75">
      <c r="A91" s="25"/>
      <c r="F91" s="48"/>
    </row>
    <row r="92" spans="1:6" ht="12.75">
      <c r="A92" s="25"/>
      <c r="F92" s="48"/>
    </row>
    <row r="93" spans="1:6" ht="12.75">
      <c r="A93" s="25"/>
      <c r="F93" s="48"/>
    </row>
    <row r="94" spans="1:6" ht="12.75">
      <c r="A94" s="25"/>
      <c r="F94" s="48"/>
    </row>
    <row r="95" spans="1:6" ht="12.75">
      <c r="A95" s="25"/>
      <c r="F95" s="48"/>
    </row>
  </sheetData>
  <sheetProtection/>
  <mergeCells count="21">
    <mergeCell ref="B39:M39"/>
    <mergeCell ref="B15:M15"/>
    <mergeCell ref="B20:M20"/>
    <mergeCell ref="B23:M23"/>
    <mergeCell ref="B28:M28"/>
    <mergeCell ref="B32:M32"/>
    <mergeCell ref="B36:M36"/>
    <mergeCell ref="B8:M8"/>
    <mergeCell ref="B11:M11"/>
    <mergeCell ref="M3:M4"/>
    <mergeCell ref="N3:N4"/>
    <mergeCell ref="L3:L4"/>
    <mergeCell ref="F3:F4"/>
    <mergeCell ref="G3:G4"/>
    <mergeCell ref="H3:K3"/>
    <mergeCell ref="B1:N2"/>
    <mergeCell ref="B3:B4"/>
    <mergeCell ref="C3:C4"/>
    <mergeCell ref="D3:D4"/>
    <mergeCell ref="E3:E4"/>
    <mergeCell ref="B5:M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6"/>
  <sheetViews>
    <sheetView workbookViewId="0" topLeftCell="A2">
      <selection activeCell="B69" sqref="B69:B77"/>
    </sheetView>
  </sheetViews>
  <sheetFormatPr defaultColWidth="8.75390625" defaultRowHeight="12.75"/>
  <cols>
    <col min="1" max="1" width="5.00390625" style="49" customWidth="1"/>
    <col min="2" max="2" width="27.625" style="25" customWidth="1"/>
    <col min="3" max="3" width="26.875" style="25" bestFit="1" customWidth="1"/>
    <col min="4" max="4" width="14.625" style="25" customWidth="1"/>
    <col min="5" max="5" width="9.25390625" style="25" customWidth="1"/>
    <col min="6" max="6" width="22.75390625" style="25" bestFit="1" customWidth="1"/>
    <col min="7" max="7" width="37.00390625" style="25" customWidth="1"/>
    <col min="8" max="11" width="5.625" style="25" bestFit="1" customWidth="1"/>
    <col min="12" max="12" width="7.875" style="40" bestFit="1" customWidth="1"/>
    <col min="13" max="13" width="10.125" style="25" customWidth="1"/>
    <col min="14" max="14" width="22.25390625" style="25" bestFit="1" customWidth="1"/>
  </cols>
  <sheetData>
    <row r="1" spans="1:14" s="1" customFormat="1" ht="15" customHeight="1">
      <c r="A1" s="43"/>
      <c r="B1" s="157" t="s">
        <v>1055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3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400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793</v>
      </c>
      <c r="C6" s="26" t="s">
        <v>794</v>
      </c>
      <c r="D6" s="26" t="s">
        <v>795</v>
      </c>
      <c r="E6" s="26" t="str">
        <f>"2,0790"</f>
        <v>2,0790</v>
      </c>
      <c r="F6" s="26" t="s">
        <v>947</v>
      </c>
      <c r="G6" s="26" t="s">
        <v>988</v>
      </c>
      <c r="H6" s="27" t="s">
        <v>482</v>
      </c>
      <c r="I6" s="26" t="s">
        <v>482</v>
      </c>
      <c r="J6" s="26" t="s">
        <v>404</v>
      </c>
      <c r="K6" s="27"/>
      <c r="L6" s="55">
        <v>112.5</v>
      </c>
      <c r="M6" s="26" t="str">
        <f>"233,8875"</f>
        <v>233,8875</v>
      </c>
      <c r="N6" s="26" t="s">
        <v>23</v>
      </c>
    </row>
    <row r="8" spans="2:13" ht="15.75">
      <c r="B8" s="156" t="s">
        <v>246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>
      <c r="A9" s="49">
        <v>1</v>
      </c>
      <c r="B9" s="28" t="s">
        <v>616</v>
      </c>
      <c r="C9" s="28" t="s">
        <v>797</v>
      </c>
      <c r="D9" s="28" t="s">
        <v>798</v>
      </c>
      <c r="E9" s="28" t="str">
        <f>"1,9050"</f>
        <v>1,9050</v>
      </c>
      <c r="F9" s="28" t="s">
        <v>12</v>
      </c>
      <c r="G9" s="28" t="s">
        <v>988</v>
      </c>
      <c r="H9" s="28" t="s">
        <v>51</v>
      </c>
      <c r="I9" s="28" t="s">
        <v>253</v>
      </c>
      <c r="J9" s="53" t="s">
        <v>67</v>
      </c>
      <c r="K9" s="29"/>
      <c r="L9" s="65">
        <v>175</v>
      </c>
      <c r="M9" s="28" t="str">
        <f>"333,3750"</f>
        <v>333,3750</v>
      </c>
      <c r="N9" s="28" t="s">
        <v>72</v>
      </c>
    </row>
    <row r="10" spans="1:14" ht="12.75">
      <c r="A10" s="49">
        <v>2</v>
      </c>
      <c r="B10" s="26" t="s">
        <v>1056</v>
      </c>
      <c r="C10" s="26" t="s">
        <v>248</v>
      </c>
      <c r="D10" s="26" t="s">
        <v>249</v>
      </c>
      <c r="E10" s="26" t="str">
        <f>"1,9122"</f>
        <v>1,9122</v>
      </c>
      <c r="F10" s="26" t="s">
        <v>947</v>
      </c>
      <c r="G10" s="26" t="s">
        <v>988</v>
      </c>
      <c r="H10" s="26" t="s">
        <v>149</v>
      </c>
      <c r="I10" s="27"/>
      <c r="J10" s="27"/>
      <c r="K10" s="27"/>
      <c r="L10" s="66">
        <v>110</v>
      </c>
      <c r="M10" s="26" t="str">
        <f>"210,3420"</f>
        <v>210,3420</v>
      </c>
      <c r="N10" s="26" t="s">
        <v>23</v>
      </c>
    </row>
    <row r="12" spans="2:13" ht="15.75">
      <c r="B12" s="156" t="s">
        <v>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4" ht="12.75">
      <c r="A13" s="49">
        <v>1</v>
      </c>
      <c r="B13" s="28" t="s">
        <v>250</v>
      </c>
      <c r="C13" s="28" t="s">
        <v>167</v>
      </c>
      <c r="D13" s="28" t="s">
        <v>25</v>
      </c>
      <c r="E13" s="28" t="str">
        <f>"1,7830"</f>
        <v>1,7830</v>
      </c>
      <c r="F13" s="28" t="s">
        <v>139</v>
      </c>
      <c r="G13" s="28" t="s">
        <v>1066</v>
      </c>
      <c r="H13" s="28" t="s">
        <v>111</v>
      </c>
      <c r="I13" s="29"/>
      <c r="J13" s="29"/>
      <c r="K13" s="29"/>
      <c r="L13" s="65">
        <v>185</v>
      </c>
      <c r="M13" s="28" t="str">
        <f>"329,8550"</f>
        <v>329,8550</v>
      </c>
      <c r="N13" s="28" t="s">
        <v>255</v>
      </c>
    </row>
    <row r="14" spans="1:14" ht="12.75">
      <c r="A14" s="49">
        <v>2</v>
      </c>
      <c r="B14" s="26" t="s">
        <v>1057</v>
      </c>
      <c r="C14" s="26" t="s">
        <v>10</v>
      </c>
      <c r="D14" s="26" t="s">
        <v>11</v>
      </c>
      <c r="E14" s="26" t="str">
        <f>"1,8006"</f>
        <v>1,8006</v>
      </c>
      <c r="F14" s="26" t="s">
        <v>947</v>
      </c>
      <c r="G14" s="26" t="s">
        <v>988</v>
      </c>
      <c r="H14" s="26" t="s">
        <v>20</v>
      </c>
      <c r="I14" s="27"/>
      <c r="J14" s="27"/>
      <c r="K14" s="27"/>
      <c r="L14" s="66">
        <v>152.5</v>
      </c>
      <c r="M14" s="26" t="str">
        <f>"274,5915"</f>
        <v>274,5915</v>
      </c>
      <c r="N14" s="26" t="s">
        <v>23</v>
      </c>
    </row>
    <row r="16" spans="2:13" ht="15.75">
      <c r="B16" s="156" t="s">
        <v>156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4" ht="12.75">
      <c r="A17" s="49">
        <v>1</v>
      </c>
      <c r="B17" s="28" t="s">
        <v>483</v>
      </c>
      <c r="C17" s="28" t="s">
        <v>799</v>
      </c>
      <c r="D17" s="28" t="s">
        <v>485</v>
      </c>
      <c r="E17" s="28" t="str">
        <f>"1,6534"</f>
        <v>1,6534</v>
      </c>
      <c r="F17" s="28" t="s">
        <v>12</v>
      </c>
      <c r="G17" s="28" t="s">
        <v>486</v>
      </c>
      <c r="H17" s="28" t="s">
        <v>43</v>
      </c>
      <c r="I17" s="28" t="s">
        <v>51</v>
      </c>
      <c r="J17" s="53" t="s">
        <v>311</v>
      </c>
      <c r="K17" s="29"/>
      <c r="L17" s="65">
        <v>165</v>
      </c>
      <c r="M17" s="28" t="str">
        <f>"272,8110"</f>
        <v>272,8110</v>
      </c>
      <c r="N17" s="28" t="s">
        <v>488</v>
      </c>
    </row>
    <row r="18" spans="1:14" ht="12.75">
      <c r="A18" s="49">
        <v>1</v>
      </c>
      <c r="B18" s="26" t="s">
        <v>1015</v>
      </c>
      <c r="C18" s="26" t="s">
        <v>484</v>
      </c>
      <c r="D18" s="26" t="s">
        <v>485</v>
      </c>
      <c r="E18" s="26" t="str">
        <f>"1,6534"</f>
        <v>1,6534</v>
      </c>
      <c r="F18" s="26" t="s">
        <v>12</v>
      </c>
      <c r="G18" s="26" t="s">
        <v>486</v>
      </c>
      <c r="H18" s="26" t="s">
        <v>43</v>
      </c>
      <c r="I18" s="26" t="s">
        <v>51</v>
      </c>
      <c r="J18" s="50" t="s">
        <v>311</v>
      </c>
      <c r="K18" s="27"/>
      <c r="L18" s="66">
        <v>165</v>
      </c>
      <c r="M18" s="26" t="str">
        <f>"284,5419"</f>
        <v>284,5419</v>
      </c>
      <c r="N18" s="26" t="s">
        <v>488</v>
      </c>
    </row>
    <row r="20" spans="2:13" ht="15.75">
      <c r="B20" s="156" t="s">
        <v>35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</row>
    <row r="21" spans="1:14" ht="12.75">
      <c r="A21" s="49">
        <v>1</v>
      </c>
      <c r="B21" s="28" t="s">
        <v>1058</v>
      </c>
      <c r="C21" s="28" t="s">
        <v>260</v>
      </c>
      <c r="D21" s="28" t="s">
        <v>261</v>
      </c>
      <c r="E21" s="28" t="str">
        <f>"1,5466"</f>
        <v>1,5466</v>
      </c>
      <c r="F21" s="28" t="s">
        <v>139</v>
      </c>
      <c r="G21" s="28" t="s">
        <v>1067</v>
      </c>
      <c r="H21" s="28" t="s">
        <v>264</v>
      </c>
      <c r="I21" s="29"/>
      <c r="J21" s="29"/>
      <c r="K21" s="29"/>
      <c r="L21" s="65">
        <v>180</v>
      </c>
      <c r="M21" s="28" t="str">
        <f>"278,3880"</f>
        <v>278,3880</v>
      </c>
      <c r="N21" s="28" t="s">
        <v>255</v>
      </c>
    </row>
    <row r="22" spans="1:14" ht="12.75">
      <c r="A22" s="49">
        <v>2</v>
      </c>
      <c r="B22" s="26" t="s">
        <v>1059</v>
      </c>
      <c r="C22" s="26" t="s">
        <v>266</v>
      </c>
      <c r="D22" s="26" t="s">
        <v>48</v>
      </c>
      <c r="E22" s="26" t="str">
        <f>"1,5550"</f>
        <v>1,5550</v>
      </c>
      <c r="F22" s="26" t="s">
        <v>139</v>
      </c>
      <c r="G22" s="26" t="s">
        <v>1005</v>
      </c>
      <c r="H22" s="26" t="s">
        <v>39</v>
      </c>
      <c r="I22" s="26" t="s">
        <v>44</v>
      </c>
      <c r="J22" s="26" t="s">
        <v>588</v>
      </c>
      <c r="K22" s="50" t="s">
        <v>800</v>
      </c>
      <c r="L22" s="66">
        <v>167.5</v>
      </c>
      <c r="M22" s="26" t="str">
        <f>"260,4625"</f>
        <v>260,4625</v>
      </c>
      <c r="N22" s="26" t="s">
        <v>255</v>
      </c>
    </row>
    <row r="23" spans="1:14" ht="12.75">
      <c r="A23" s="49">
        <v>3</v>
      </c>
      <c r="B23" s="32" t="s">
        <v>1060</v>
      </c>
      <c r="C23" s="32" t="s">
        <v>802</v>
      </c>
      <c r="D23" s="32" t="s">
        <v>803</v>
      </c>
      <c r="E23" s="32" t="str">
        <f>"1,5442"</f>
        <v>1,5442</v>
      </c>
      <c r="F23" s="32" t="s">
        <v>947</v>
      </c>
      <c r="G23" s="32" t="s">
        <v>988</v>
      </c>
      <c r="H23" s="32" t="s">
        <v>189</v>
      </c>
      <c r="I23" s="52" t="s">
        <v>32</v>
      </c>
      <c r="J23" s="52" t="s">
        <v>32</v>
      </c>
      <c r="K23" s="33"/>
      <c r="L23" s="67">
        <v>117.5</v>
      </c>
      <c r="M23" s="32" t="str">
        <f>"181,4435"</f>
        <v>181,4435</v>
      </c>
      <c r="N23" s="32" t="s">
        <v>23</v>
      </c>
    </row>
    <row r="25" spans="2:13" ht="15.75">
      <c r="B25" s="156" t="s">
        <v>156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4" ht="12.75">
      <c r="A26" s="49">
        <v>1</v>
      </c>
      <c r="B26" s="26" t="s">
        <v>267</v>
      </c>
      <c r="C26" s="26" t="s">
        <v>268</v>
      </c>
      <c r="D26" s="26" t="s">
        <v>269</v>
      </c>
      <c r="E26" s="26" t="str">
        <f>"1,2766"</f>
        <v>1,2766</v>
      </c>
      <c r="F26" s="26" t="s">
        <v>12</v>
      </c>
      <c r="G26" s="26" t="s">
        <v>988</v>
      </c>
      <c r="H26" s="26" t="s">
        <v>111</v>
      </c>
      <c r="I26" s="27"/>
      <c r="J26" s="27"/>
      <c r="K26" s="27"/>
      <c r="L26" s="66">
        <v>185</v>
      </c>
      <c r="M26" s="26" t="str">
        <f>"236,1710"</f>
        <v>236,1710</v>
      </c>
      <c r="N26" s="26" t="s">
        <v>72</v>
      </c>
    </row>
    <row r="28" spans="2:13" ht="15.75">
      <c r="B28" s="156" t="s">
        <v>35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4" ht="12.75">
      <c r="A29" s="49">
        <v>1</v>
      </c>
      <c r="B29" s="28" t="s">
        <v>1017</v>
      </c>
      <c r="C29" s="28" t="s">
        <v>495</v>
      </c>
      <c r="D29" s="28" t="s">
        <v>496</v>
      </c>
      <c r="E29" s="28" t="str">
        <f>"1,1288"</f>
        <v>1,1288</v>
      </c>
      <c r="F29" s="28" t="s">
        <v>12</v>
      </c>
      <c r="G29" s="28" t="s">
        <v>497</v>
      </c>
      <c r="H29" s="28" t="s">
        <v>253</v>
      </c>
      <c r="I29" s="28" t="s">
        <v>199</v>
      </c>
      <c r="J29" s="53" t="s">
        <v>212</v>
      </c>
      <c r="K29" s="29"/>
      <c r="L29" s="65">
        <v>205</v>
      </c>
      <c r="M29" s="28" t="str">
        <f>"231,4040"</f>
        <v>231,4040</v>
      </c>
      <c r="N29" s="28" t="s">
        <v>72</v>
      </c>
    </row>
    <row r="30" spans="1:14" ht="12.75">
      <c r="A30" s="49">
        <v>1</v>
      </c>
      <c r="B30" s="26" t="s">
        <v>804</v>
      </c>
      <c r="C30" s="26" t="s">
        <v>805</v>
      </c>
      <c r="D30" s="26" t="s">
        <v>806</v>
      </c>
      <c r="E30" s="26" t="str">
        <f>"1,1170"</f>
        <v>1,1170</v>
      </c>
      <c r="F30" s="26" t="s">
        <v>947</v>
      </c>
      <c r="G30" s="26" t="s">
        <v>988</v>
      </c>
      <c r="H30" s="26" t="s">
        <v>59</v>
      </c>
      <c r="I30" s="50" t="s">
        <v>98</v>
      </c>
      <c r="J30" s="50" t="s">
        <v>98</v>
      </c>
      <c r="K30" s="27"/>
      <c r="L30" s="66">
        <v>200</v>
      </c>
      <c r="M30" s="26" t="str">
        <f>"223,4000"</f>
        <v>223,4000</v>
      </c>
      <c r="N30" s="26" t="s">
        <v>23</v>
      </c>
    </row>
    <row r="32" spans="2:13" ht="15.75">
      <c r="B32" s="156" t="s">
        <v>54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</row>
    <row r="33" spans="1:14" ht="12.75">
      <c r="A33" s="49">
        <v>1</v>
      </c>
      <c r="B33" s="28" t="s">
        <v>807</v>
      </c>
      <c r="C33" s="28" t="s">
        <v>808</v>
      </c>
      <c r="D33" s="28" t="s">
        <v>809</v>
      </c>
      <c r="E33" s="28" t="str">
        <f>"1,0356"</f>
        <v>1,0356</v>
      </c>
      <c r="F33" s="28" t="s">
        <v>12</v>
      </c>
      <c r="G33" s="28" t="s">
        <v>945</v>
      </c>
      <c r="H33" s="28" t="s">
        <v>102</v>
      </c>
      <c r="I33" s="53" t="s">
        <v>810</v>
      </c>
      <c r="J33" s="29"/>
      <c r="K33" s="29"/>
      <c r="L33" s="65">
        <v>275</v>
      </c>
      <c r="M33" s="28" t="str">
        <f>"284,7900"</f>
        <v>284,7900</v>
      </c>
      <c r="N33" s="28" t="s">
        <v>811</v>
      </c>
    </row>
    <row r="34" spans="1:14" ht="12.75">
      <c r="A34" s="49">
        <v>2</v>
      </c>
      <c r="B34" s="26" t="s">
        <v>812</v>
      </c>
      <c r="C34" s="26" t="s">
        <v>813</v>
      </c>
      <c r="D34" s="26" t="s">
        <v>814</v>
      </c>
      <c r="E34" s="26" t="str">
        <f>"1,0516"</f>
        <v>1,0516</v>
      </c>
      <c r="F34" s="26" t="s">
        <v>12</v>
      </c>
      <c r="G34" s="26" t="s">
        <v>988</v>
      </c>
      <c r="H34" s="26" t="s">
        <v>77</v>
      </c>
      <c r="I34" s="26" t="s">
        <v>68</v>
      </c>
      <c r="J34" s="50" t="s">
        <v>59</v>
      </c>
      <c r="K34" s="27"/>
      <c r="L34" s="66">
        <v>190</v>
      </c>
      <c r="M34" s="26" t="str">
        <f>"199,8040"</f>
        <v>199,8040</v>
      </c>
      <c r="N34" s="26" t="s">
        <v>72</v>
      </c>
    </row>
    <row r="35" spans="2:14" ht="12.75">
      <c r="B35" s="32" t="s">
        <v>815</v>
      </c>
      <c r="C35" s="32" t="s">
        <v>816</v>
      </c>
      <c r="D35" s="32" t="s">
        <v>817</v>
      </c>
      <c r="E35" s="32" t="str">
        <f>"1,0440"</f>
        <v>1,0440</v>
      </c>
      <c r="F35" s="32" t="s">
        <v>947</v>
      </c>
      <c r="G35" s="32" t="s">
        <v>988</v>
      </c>
      <c r="H35" s="52" t="s">
        <v>253</v>
      </c>
      <c r="I35" s="52" t="s">
        <v>511</v>
      </c>
      <c r="J35" s="52" t="s">
        <v>511</v>
      </c>
      <c r="K35" s="33"/>
      <c r="L35" s="69">
        <v>0</v>
      </c>
      <c r="M35" s="32" t="str">
        <f>"0,0000"</f>
        <v>0,0000</v>
      </c>
      <c r="N35" s="32" t="s">
        <v>23</v>
      </c>
    </row>
    <row r="37" spans="2:13" ht="15.75">
      <c r="B37" s="156" t="s">
        <v>62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spans="1:14" ht="12.75">
      <c r="A38" s="49">
        <v>1</v>
      </c>
      <c r="B38" s="28" t="s">
        <v>73</v>
      </c>
      <c r="C38" s="28" t="s">
        <v>74</v>
      </c>
      <c r="D38" s="28" t="s">
        <v>75</v>
      </c>
      <c r="E38" s="28" t="str">
        <f>"0,9854"</f>
        <v>0,9854</v>
      </c>
      <c r="F38" s="28" t="s">
        <v>12</v>
      </c>
      <c r="G38" s="28" t="s">
        <v>76</v>
      </c>
      <c r="H38" s="28" t="s">
        <v>78</v>
      </c>
      <c r="I38" s="29"/>
      <c r="J38" s="29"/>
      <c r="K38" s="29"/>
      <c r="L38" s="65">
        <v>250</v>
      </c>
      <c r="M38" s="28" t="str">
        <f>"246,3500"</f>
        <v>246,3500</v>
      </c>
      <c r="N38" s="28" t="s">
        <v>72</v>
      </c>
    </row>
    <row r="39" spans="1:14" ht="12.75">
      <c r="A39" s="49">
        <v>2</v>
      </c>
      <c r="B39" s="26" t="s">
        <v>978</v>
      </c>
      <c r="C39" s="26" t="s">
        <v>294</v>
      </c>
      <c r="D39" s="26" t="s">
        <v>295</v>
      </c>
      <c r="E39" s="26" t="str">
        <f>"0,9798"</f>
        <v>0,9798</v>
      </c>
      <c r="F39" s="26" t="s">
        <v>12</v>
      </c>
      <c r="G39" s="26" t="s">
        <v>988</v>
      </c>
      <c r="H39" s="26" t="s">
        <v>297</v>
      </c>
      <c r="I39" s="27"/>
      <c r="J39" s="27"/>
      <c r="K39" s="27"/>
      <c r="L39" s="66">
        <v>247.5</v>
      </c>
      <c r="M39" s="26" t="str">
        <f>"242,5005"</f>
        <v>242,5005</v>
      </c>
      <c r="N39" s="26" t="s">
        <v>966</v>
      </c>
    </row>
    <row r="40" spans="1:14" ht="12.75">
      <c r="A40" s="49">
        <v>1</v>
      </c>
      <c r="B40" s="32" t="s">
        <v>534</v>
      </c>
      <c r="C40" s="32" t="s">
        <v>535</v>
      </c>
      <c r="D40" s="32" t="s">
        <v>516</v>
      </c>
      <c r="E40" s="32" t="str">
        <f>"0,9690"</f>
        <v>0,9690</v>
      </c>
      <c r="F40" s="32" t="s">
        <v>139</v>
      </c>
      <c r="G40" s="32" t="s">
        <v>1066</v>
      </c>
      <c r="H40" s="32" t="s">
        <v>70</v>
      </c>
      <c r="I40" s="32" t="s">
        <v>217</v>
      </c>
      <c r="J40" s="32" t="s">
        <v>818</v>
      </c>
      <c r="K40" s="33"/>
      <c r="L40" s="67">
        <v>262.5</v>
      </c>
      <c r="M40" s="32" t="str">
        <f>"275,2202"</f>
        <v>275,2202</v>
      </c>
      <c r="N40" s="32" t="s">
        <v>72</v>
      </c>
    </row>
    <row r="42" spans="2:13" ht="15.75">
      <c r="B42" s="156" t="s">
        <v>206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</row>
    <row r="43" spans="1:14" ht="12.75">
      <c r="A43" s="49">
        <v>1</v>
      </c>
      <c r="B43" s="28" t="s">
        <v>1024</v>
      </c>
      <c r="C43" s="28" t="s">
        <v>537</v>
      </c>
      <c r="D43" s="28" t="s">
        <v>538</v>
      </c>
      <c r="E43" s="28" t="str">
        <f>"0,9370"</f>
        <v>0,9370</v>
      </c>
      <c r="F43" s="28" t="s">
        <v>12</v>
      </c>
      <c r="G43" s="28" t="s">
        <v>38</v>
      </c>
      <c r="H43" s="28" t="s">
        <v>68</v>
      </c>
      <c r="I43" s="29"/>
      <c r="J43" s="29"/>
      <c r="K43" s="29"/>
      <c r="L43" s="65">
        <v>190</v>
      </c>
      <c r="M43" s="28" t="str">
        <f>"178,0300"</f>
        <v>178,0300</v>
      </c>
      <c r="N43" s="28" t="s">
        <v>72</v>
      </c>
    </row>
    <row r="44" spans="1:14" ht="12.75">
      <c r="A44" s="49">
        <v>1</v>
      </c>
      <c r="B44" s="26" t="s">
        <v>1061</v>
      </c>
      <c r="C44" s="26" t="s">
        <v>819</v>
      </c>
      <c r="D44" s="26" t="s">
        <v>820</v>
      </c>
      <c r="E44" s="26" t="str">
        <f>"0,9182"</f>
        <v>0,9182</v>
      </c>
      <c r="F44" s="26" t="s">
        <v>12</v>
      </c>
      <c r="G44" s="26" t="s">
        <v>322</v>
      </c>
      <c r="H44" s="26" t="s">
        <v>69</v>
      </c>
      <c r="I44" s="50" t="s">
        <v>216</v>
      </c>
      <c r="J44" s="27"/>
      <c r="K44" s="27"/>
      <c r="L44" s="66">
        <v>225</v>
      </c>
      <c r="M44" s="26" t="str">
        <f>"206,5950"</f>
        <v>206,5950</v>
      </c>
      <c r="N44" s="26" t="s">
        <v>323</v>
      </c>
    </row>
    <row r="45" spans="1:14" ht="12.75">
      <c r="A45" s="49">
        <v>1</v>
      </c>
      <c r="B45" s="32" t="s">
        <v>1062</v>
      </c>
      <c r="C45" s="32" t="s">
        <v>822</v>
      </c>
      <c r="D45" s="32" t="s">
        <v>823</v>
      </c>
      <c r="E45" s="32" t="str">
        <f>"0,9336"</f>
        <v>0,9336</v>
      </c>
      <c r="F45" s="32" t="s">
        <v>12</v>
      </c>
      <c r="G45" s="32" t="s">
        <v>1068</v>
      </c>
      <c r="H45" s="32" t="s">
        <v>78</v>
      </c>
      <c r="I45" s="32" t="s">
        <v>86</v>
      </c>
      <c r="J45" s="33"/>
      <c r="K45" s="33"/>
      <c r="L45" s="67">
        <v>270</v>
      </c>
      <c r="M45" s="32" t="str">
        <f>"358,1943"</f>
        <v>358,1943</v>
      </c>
      <c r="N45" s="32" t="s">
        <v>824</v>
      </c>
    </row>
    <row r="47" spans="2:13" ht="15.75">
      <c r="B47" s="156" t="s">
        <v>82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</row>
    <row r="48" spans="1:14" ht="12.75">
      <c r="A48" s="49">
        <v>1</v>
      </c>
      <c r="B48" s="28" t="s">
        <v>331</v>
      </c>
      <c r="C48" s="28" t="s">
        <v>332</v>
      </c>
      <c r="D48" s="28" t="s">
        <v>333</v>
      </c>
      <c r="E48" s="28" t="str">
        <f>"0,9090"</f>
        <v>0,9090</v>
      </c>
      <c r="F48" s="28" t="s">
        <v>12</v>
      </c>
      <c r="G48" s="28" t="s">
        <v>193</v>
      </c>
      <c r="H48" s="28" t="s">
        <v>282</v>
      </c>
      <c r="I48" s="29"/>
      <c r="J48" s="29"/>
      <c r="K48" s="29"/>
      <c r="L48" s="65">
        <v>267.5</v>
      </c>
      <c r="M48" s="28" t="str">
        <f>"256,5312"</f>
        <v>256,5312</v>
      </c>
      <c r="N48" s="28" t="s">
        <v>334</v>
      </c>
    </row>
    <row r="49" spans="1:14" ht="12.75">
      <c r="A49" s="49">
        <v>1</v>
      </c>
      <c r="B49" s="26" t="s">
        <v>825</v>
      </c>
      <c r="C49" s="26" t="s">
        <v>826</v>
      </c>
      <c r="D49" s="26" t="s">
        <v>333</v>
      </c>
      <c r="E49" s="26" t="str">
        <f>"0,9090"</f>
        <v>0,9090</v>
      </c>
      <c r="F49" s="26" t="s">
        <v>12</v>
      </c>
      <c r="G49" s="26" t="s">
        <v>827</v>
      </c>
      <c r="H49" s="26" t="s">
        <v>68</v>
      </c>
      <c r="I49" s="50" t="s">
        <v>194</v>
      </c>
      <c r="J49" s="27"/>
      <c r="K49" s="27"/>
      <c r="L49" s="66">
        <v>190</v>
      </c>
      <c r="M49" s="26" t="str">
        <f>"215,1967"</f>
        <v>215,1967</v>
      </c>
      <c r="N49" s="26" t="s">
        <v>828</v>
      </c>
    </row>
    <row r="51" spans="2:13" ht="15.75">
      <c r="B51" s="156" t="s">
        <v>222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</row>
    <row r="52" spans="1:14" ht="12.75">
      <c r="A52" s="49">
        <v>1</v>
      </c>
      <c r="B52" s="28" t="s">
        <v>829</v>
      </c>
      <c r="C52" s="28" t="s">
        <v>830</v>
      </c>
      <c r="D52" s="28" t="s">
        <v>831</v>
      </c>
      <c r="E52" s="28" t="str">
        <f>"0,8710"</f>
        <v>0,8710</v>
      </c>
      <c r="F52" s="28" t="s">
        <v>947</v>
      </c>
      <c r="G52" s="28" t="s">
        <v>988</v>
      </c>
      <c r="H52" s="28" t="s">
        <v>832</v>
      </c>
      <c r="I52" s="53" t="s">
        <v>96</v>
      </c>
      <c r="J52" s="53" t="s">
        <v>96</v>
      </c>
      <c r="K52" s="29"/>
      <c r="L52" s="65">
        <v>300</v>
      </c>
      <c r="M52" s="28" t="str">
        <f>"261,3000"</f>
        <v>261,3000</v>
      </c>
      <c r="N52" s="28" t="s">
        <v>23</v>
      </c>
    </row>
    <row r="53" spans="1:14" ht="12.75">
      <c r="A53" s="49">
        <v>1</v>
      </c>
      <c r="B53" s="26" t="s">
        <v>1063</v>
      </c>
      <c r="C53" s="26" t="s">
        <v>834</v>
      </c>
      <c r="D53" s="26" t="s">
        <v>835</v>
      </c>
      <c r="E53" s="26" t="str">
        <f>"0,8640"</f>
        <v>0,8640</v>
      </c>
      <c r="F53" s="26" t="s">
        <v>12</v>
      </c>
      <c r="G53" s="26" t="s">
        <v>182</v>
      </c>
      <c r="H53" s="26" t="s">
        <v>836</v>
      </c>
      <c r="I53" s="27"/>
      <c r="J53" s="27"/>
      <c r="K53" s="27"/>
      <c r="L53" s="66">
        <v>330</v>
      </c>
      <c r="M53" s="26" t="str">
        <f>"285,1200"</f>
        <v>285,1200</v>
      </c>
      <c r="N53" s="26" t="s">
        <v>72</v>
      </c>
    </row>
    <row r="54" spans="1:14" ht="12.75">
      <c r="A54" s="49">
        <v>2</v>
      </c>
      <c r="B54" s="32" t="s">
        <v>829</v>
      </c>
      <c r="C54" s="32" t="s">
        <v>837</v>
      </c>
      <c r="D54" s="32" t="s">
        <v>831</v>
      </c>
      <c r="E54" s="32" t="str">
        <f>"0,8710"</f>
        <v>0,8710</v>
      </c>
      <c r="F54" s="32" t="s">
        <v>947</v>
      </c>
      <c r="G54" s="32" t="s">
        <v>988</v>
      </c>
      <c r="H54" s="32" t="s">
        <v>832</v>
      </c>
      <c r="I54" s="52" t="s">
        <v>96</v>
      </c>
      <c r="J54" s="52" t="s">
        <v>96</v>
      </c>
      <c r="K54" s="33"/>
      <c r="L54" s="67">
        <v>300</v>
      </c>
      <c r="M54" s="32" t="str">
        <f>"261,3000"</f>
        <v>261,3000</v>
      </c>
      <c r="N54" s="32" t="s">
        <v>23</v>
      </c>
    </row>
    <row r="56" spans="2:13" ht="15.75">
      <c r="B56" s="156" t="s">
        <v>348</v>
      </c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</row>
    <row r="57" spans="1:14" ht="12.75">
      <c r="A57" s="49">
        <v>1</v>
      </c>
      <c r="B57" s="28" t="s">
        <v>1064</v>
      </c>
      <c r="C57" s="28" t="s">
        <v>839</v>
      </c>
      <c r="D57" s="28" t="s">
        <v>783</v>
      </c>
      <c r="E57" s="28" t="str">
        <f>"0,8400"</f>
        <v>0,8400</v>
      </c>
      <c r="F57" s="28" t="s">
        <v>12</v>
      </c>
      <c r="G57" s="28" t="s">
        <v>456</v>
      </c>
      <c r="H57" s="28" t="s">
        <v>344</v>
      </c>
      <c r="I57" s="28" t="s">
        <v>457</v>
      </c>
      <c r="J57" s="28" t="s">
        <v>356</v>
      </c>
      <c r="K57" s="29"/>
      <c r="L57" s="65">
        <v>385</v>
      </c>
      <c r="M57" s="28" t="str">
        <f>"323,4000"</f>
        <v>323,4000</v>
      </c>
      <c r="N57" s="28" t="s">
        <v>72</v>
      </c>
    </row>
    <row r="58" spans="1:14" ht="12.75">
      <c r="A58" s="49">
        <v>2</v>
      </c>
      <c r="B58" s="26" t="s">
        <v>1065</v>
      </c>
      <c r="C58" s="26" t="s">
        <v>841</v>
      </c>
      <c r="D58" s="26" t="s">
        <v>842</v>
      </c>
      <c r="E58" s="26" t="str">
        <f>"0,8550"</f>
        <v>0,8550</v>
      </c>
      <c r="F58" s="26" t="s">
        <v>12</v>
      </c>
      <c r="G58" s="26" t="s">
        <v>843</v>
      </c>
      <c r="H58" s="26" t="s">
        <v>88</v>
      </c>
      <c r="I58" s="26" t="s">
        <v>114</v>
      </c>
      <c r="J58" s="50" t="s">
        <v>96</v>
      </c>
      <c r="K58" s="27"/>
      <c r="L58" s="66">
        <v>310</v>
      </c>
      <c r="M58" s="26" t="str">
        <f>"265,0500"</f>
        <v>265,0500</v>
      </c>
      <c r="N58" s="26" t="s">
        <v>72</v>
      </c>
    </row>
    <row r="60" spans="2:13" ht="15.75">
      <c r="B60" s="156" t="s">
        <v>844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4" ht="12.75">
      <c r="A61" s="49">
        <v>1</v>
      </c>
      <c r="B61" s="26" t="s">
        <v>488</v>
      </c>
      <c r="C61" s="26" t="s">
        <v>846</v>
      </c>
      <c r="D61" s="26" t="s">
        <v>847</v>
      </c>
      <c r="E61" s="26" t="str">
        <f>"0,8330"</f>
        <v>0,8330</v>
      </c>
      <c r="F61" s="26" t="s">
        <v>12</v>
      </c>
      <c r="G61" s="26" t="s">
        <v>486</v>
      </c>
      <c r="H61" s="26" t="s">
        <v>97</v>
      </c>
      <c r="I61" s="26" t="s">
        <v>445</v>
      </c>
      <c r="J61" s="27"/>
      <c r="K61" s="27"/>
      <c r="L61" s="66">
        <v>340</v>
      </c>
      <c r="M61" s="26" t="str">
        <f>"288,8844"</f>
        <v>288,8844</v>
      </c>
      <c r="N61" s="26" t="s">
        <v>72</v>
      </c>
    </row>
    <row r="64" spans="2:3" ht="18">
      <c r="B64" s="34" t="s">
        <v>117</v>
      </c>
      <c r="C64" s="34"/>
    </row>
    <row r="65" spans="2:3" ht="15.75">
      <c r="B65" s="85"/>
      <c r="C65" s="35"/>
    </row>
    <row r="66" spans="2:3" ht="15.75">
      <c r="B66" s="85" t="s">
        <v>118</v>
      </c>
      <c r="C66" s="35"/>
    </row>
    <row r="67" spans="2:3" ht="13.5">
      <c r="B67" s="37" t="s">
        <v>126</v>
      </c>
      <c r="C67" s="38"/>
    </row>
    <row r="68" spans="2:6" ht="13.5">
      <c r="B68" s="39" t="s">
        <v>120</v>
      </c>
      <c r="C68" s="39" t="s">
        <v>121</v>
      </c>
      <c r="D68" s="39" t="s">
        <v>122</v>
      </c>
      <c r="E68" s="39" t="s">
        <v>123</v>
      </c>
      <c r="F68" s="39" t="s">
        <v>935</v>
      </c>
    </row>
    <row r="69" spans="1:6" ht="12.75">
      <c r="A69" s="49">
        <v>1</v>
      </c>
      <c r="B69" s="135" t="s">
        <v>796</v>
      </c>
      <c r="C69" s="83" t="s">
        <v>127</v>
      </c>
      <c r="D69" s="83" t="s">
        <v>360</v>
      </c>
      <c r="E69" s="83" t="s">
        <v>253</v>
      </c>
      <c r="F69" s="48" t="s">
        <v>848</v>
      </c>
    </row>
    <row r="70" spans="1:6" ht="12.75">
      <c r="A70" s="49">
        <v>2</v>
      </c>
      <c r="B70" s="135" t="s">
        <v>250</v>
      </c>
      <c r="C70" s="83" t="s">
        <v>127</v>
      </c>
      <c r="D70" s="83" t="s">
        <v>128</v>
      </c>
      <c r="E70" s="83" t="s">
        <v>111</v>
      </c>
      <c r="F70" s="48" t="s">
        <v>849</v>
      </c>
    </row>
    <row r="71" spans="1:6" ht="12.75">
      <c r="A71" s="49">
        <v>3</v>
      </c>
      <c r="B71" s="135" t="s">
        <v>140</v>
      </c>
      <c r="C71" s="83" t="s">
        <v>127</v>
      </c>
      <c r="D71" s="83" t="s">
        <v>125</v>
      </c>
      <c r="E71" s="83" t="s">
        <v>67</v>
      </c>
      <c r="F71" s="48" t="s">
        <v>850</v>
      </c>
    </row>
    <row r="72" spans="2:6" ht="12.75">
      <c r="B72" s="135" t="s">
        <v>9</v>
      </c>
      <c r="C72" s="83" t="s">
        <v>127</v>
      </c>
      <c r="D72" s="83" t="s">
        <v>128</v>
      </c>
      <c r="E72" s="83" t="s">
        <v>20</v>
      </c>
      <c r="F72" s="48" t="s">
        <v>851</v>
      </c>
    </row>
    <row r="73" spans="2:6" ht="12.75">
      <c r="B73" s="135" t="s">
        <v>483</v>
      </c>
      <c r="C73" s="83" t="s">
        <v>127</v>
      </c>
      <c r="D73" s="83" t="s">
        <v>226</v>
      </c>
      <c r="E73" s="83" t="s">
        <v>51</v>
      </c>
      <c r="F73" s="48" t="s">
        <v>852</v>
      </c>
    </row>
    <row r="74" spans="2:6" ht="12.75">
      <c r="B74" s="135" t="s">
        <v>265</v>
      </c>
      <c r="C74" s="83" t="s">
        <v>127</v>
      </c>
      <c r="D74" s="83" t="s">
        <v>125</v>
      </c>
      <c r="E74" s="83" t="s">
        <v>588</v>
      </c>
      <c r="F74" s="48" t="s">
        <v>853</v>
      </c>
    </row>
    <row r="75" spans="2:6" ht="12.75">
      <c r="B75" s="135" t="s">
        <v>793</v>
      </c>
      <c r="C75" s="83" t="s">
        <v>127</v>
      </c>
      <c r="D75" s="83" t="s">
        <v>424</v>
      </c>
      <c r="E75" s="83" t="s">
        <v>404</v>
      </c>
      <c r="F75" s="48" t="s">
        <v>854</v>
      </c>
    </row>
    <row r="76" spans="2:6" ht="12.75">
      <c r="B76" s="135" t="s">
        <v>247</v>
      </c>
      <c r="C76" s="83" t="s">
        <v>127</v>
      </c>
      <c r="D76" s="83" t="s">
        <v>360</v>
      </c>
      <c r="E76" s="83" t="s">
        <v>149</v>
      </c>
      <c r="F76" s="48" t="s">
        <v>855</v>
      </c>
    </row>
    <row r="77" spans="2:6" ht="12.75">
      <c r="B77" s="135" t="s">
        <v>801</v>
      </c>
      <c r="C77" s="83" t="s">
        <v>127</v>
      </c>
      <c r="D77" s="83" t="s">
        <v>125</v>
      </c>
      <c r="E77" s="83" t="s">
        <v>189</v>
      </c>
      <c r="F77" s="48" t="s">
        <v>856</v>
      </c>
    </row>
    <row r="79" spans="2:3" ht="15.75">
      <c r="B79" s="85" t="s">
        <v>129</v>
      </c>
      <c r="C79" s="35"/>
    </row>
    <row r="80" spans="2:3" ht="13.5">
      <c r="B80" s="37" t="s">
        <v>126</v>
      </c>
      <c r="C80" s="38"/>
    </row>
    <row r="81" spans="2:6" ht="13.5">
      <c r="B81" s="39" t="s">
        <v>120</v>
      </c>
      <c r="C81" s="39" t="s">
        <v>121</v>
      </c>
      <c r="D81" s="39" t="s">
        <v>122</v>
      </c>
      <c r="E81" s="39" t="s">
        <v>123</v>
      </c>
      <c r="F81" s="39" t="s">
        <v>935</v>
      </c>
    </row>
    <row r="82" spans="1:6" ht="12.75">
      <c r="A82" s="49">
        <v>1</v>
      </c>
      <c r="B82" s="135" t="s">
        <v>838</v>
      </c>
      <c r="C82" s="83" t="s">
        <v>127</v>
      </c>
      <c r="D82" s="83" t="s">
        <v>383</v>
      </c>
      <c r="E82" s="83" t="s">
        <v>356</v>
      </c>
      <c r="F82" s="48" t="s">
        <v>858</v>
      </c>
    </row>
    <row r="83" spans="1:6" ht="12.75">
      <c r="A83" s="49">
        <v>2</v>
      </c>
      <c r="B83" s="135" t="s">
        <v>833</v>
      </c>
      <c r="C83" s="83" t="s">
        <v>127</v>
      </c>
      <c r="D83" s="83" t="s">
        <v>233</v>
      </c>
      <c r="E83" s="83" t="s">
        <v>90</v>
      </c>
      <c r="F83" s="48" t="s">
        <v>859</v>
      </c>
    </row>
    <row r="84" spans="1:6" ht="12.75">
      <c r="A84" s="49">
        <v>3</v>
      </c>
      <c r="B84" s="135" t="s">
        <v>807</v>
      </c>
      <c r="C84" s="83" t="s">
        <v>127</v>
      </c>
      <c r="D84" s="83" t="s">
        <v>397</v>
      </c>
      <c r="E84" s="83" t="s">
        <v>102</v>
      </c>
      <c r="F84" s="48" t="s">
        <v>860</v>
      </c>
    </row>
    <row r="85" spans="2:6" ht="12.75">
      <c r="B85" s="135" t="s">
        <v>840</v>
      </c>
      <c r="C85" s="83" t="s">
        <v>127</v>
      </c>
      <c r="D85" s="83" t="s">
        <v>383</v>
      </c>
      <c r="E85" s="83" t="s">
        <v>114</v>
      </c>
      <c r="F85" s="48" t="s">
        <v>861</v>
      </c>
    </row>
    <row r="86" spans="2:6" ht="12.75">
      <c r="B86" s="135" t="s">
        <v>829</v>
      </c>
      <c r="C86" s="83" t="s">
        <v>127</v>
      </c>
      <c r="D86" s="83" t="s">
        <v>233</v>
      </c>
      <c r="E86" s="83" t="s">
        <v>88</v>
      </c>
      <c r="F86" s="48" t="s">
        <v>857</v>
      </c>
    </row>
    <row r="87" spans="2:6" ht="12.75">
      <c r="B87" s="135" t="s">
        <v>73</v>
      </c>
      <c r="C87" s="83" t="s">
        <v>127</v>
      </c>
      <c r="D87" s="83" t="s">
        <v>133</v>
      </c>
      <c r="E87" s="83" t="s">
        <v>78</v>
      </c>
      <c r="F87" s="48" t="s">
        <v>862</v>
      </c>
    </row>
    <row r="88" spans="2:6" ht="12.75">
      <c r="B88" s="135" t="s">
        <v>293</v>
      </c>
      <c r="C88" s="83" t="s">
        <v>127</v>
      </c>
      <c r="D88" s="83" t="s">
        <v>133</v>
      </c>
      <c r="E88" s="83" t="s">
        <v>297</v>
      </c>
      <c r="F88" s="48" t="s">
        <v>863</v>
      </c>
    </row>
    <row r="89" spans="2:6" ht="12.75">
      <c r="B89" s="135" t="s">
        <v>267</v>
      </c>
      <c r="C89" s="83" t="s">
        <v>127</v>
      </c>
      <c r="D89" s="83" t="s">
        <v>226</v>
      </c>
      <c r="E89" s="83" t="s">
        <v>111</v>
      </c>
      <c r="F89" s="48" t="s">
        <v>864</v>
      </c>
    </row>
    <row r="90" spans="2:6" ht="12.75">
      <c r="B90" s="135" t="s">
        <v>804</v>
      </c>
      <c r="C90" s="83" t="s">
        <v>127</v>
      </c>
      <c r="D90" s="83" t="s">
        <v>125</v>
      </c>
      <c r="E90" s="83" t="s">
        <v>59</v>
      </c>
      <c r="F90" s="48" t="s">
        <v>865</v>
      </c>
    </row>
    <row r="91" spans="2:6" ht="12.75">
      <c r="B91" s="135" t="s">
        <v>812</v>
      </c>
      <c r="C91" s="83" t="s">
        <v>127</v>
      </c>
      <c r="D91" s="83" t="s">
        <v>397</v>
      </c>
      <c r="E91" s="83" t="s">
        <v>68</v>
      </c>
      <c r="F91" s="48" t="s">
        <v>866</v>
      </c>
    </row>
    <row r="93" spans="2:3" ht="13.5">
      <c r="B93" s="87" t="s">
        <v>229</v>
      </c>
      <c r="C93" s="38"/>
    </row>
    <row r="94" spans="2:6" ht="13.5">
      <c r="B94" s="39" t="s">
        <v>120</v>
      </c>
      <c r="C94" s="39" t="s">
        <v>121</v>
      </c>
      <c r="D94" s="39" t="s">
        <v>122</v>
      </c>
      <c r="E94" s="39" t="s">
        <v>123</v>
      </c>
      <c r="F94" s="39" t="s">
        <v>935</v>
      </c>
    </row>
    <row r="95" spans="1:6" ht="12.75">
      <c r="A95" s="49">
        <v>1</v>
      </c>
      <c r="B95" s="135" t="s">
        <v>821</v>
      </c>
      <c r="C95" s="83" t="s">
        <v>585</v>
      </c>
      <c r="D95" s="83" t="s">
        <v>240</v>
      </c>
      <c r="E95" s="83" t="s">
        <v>86</v>
      </c>
      <c r="F95" s="48" t="s">
        <v>867</v>
      </c>
    </row>
    <row r="96" spans="1:6" ht="12.75">
      <c r="A96" s="49">
        <v>2</v>
      </c>
      <c r="B96" s="135" t="s">
        <v>845</v>
      </c>
      <c r="C96" s="83" t="s">
        <v>232</v>
      </c>
      <c r="D96" s="83" t="s">
        <v>868</v>
      </c>
      <c r="E96" s="83" t="s">
        <v>445</v>
      </c>
      <c r="F96" s="48" t="s">
        <v>869</v>
      </c>
    </row>
    <row r="97" spans="1:6" ht="12.75">
      <c r="A97" s="49">
        <v>3</v>
      </c>
      <c r="B97" s="135" t="s">
        <v>534</v>
      </c>
      <c r="C97" s="83" t="s">
        <v>230</v>
      </c>
      <c r="D97" s="83" t="s">
        <v>133</v>
      </c>
      <c r="E97" s="83" t="s">
        <v>870</v>
      </c>
      <c r="F97" s="48" t="s">
        <v>871</v>
      </c>
    </row>
    <row r="98" spans="2:6" ht="12.75">
      <c r="B98" s="135" t="s">
        <v>331</v>
      </c>
      <c r="C98" s="83" t="s">
        <v>230</v>
      </c>
      <c r="D98" s="83" t="s">
        <v>130</v>
      </c>
      <c r="E98" s="83" t="s">
        <v>282</v>
      </c>
      <c r="F98" s="48" t="s">
        <v>872</v>
      </c>
    </row>
    <row r="99" spans="2:6" ht="12.75">
      <c r="B99" s="135" t="s">
        <v>825</v>
      </c>
      <c r="C99" s="83" t="s">
        <v>395</v>
      </c>
      <c r="D99" s="83" t="s">
        <v>130</v>
      </c>
      <c r="E99" s="83" t="s">
        <v>68</v>
      </c>
      <c r="F99" s="48" t="s">
        <v>873</v>
      </c>
    </row>
    <row r="101" spans="1:6" ht="12.75">
      <c r="A101" s="25"/>
      <c r="F101" s="40"/>
    </row>
    <row r="102" spans="1:6" ht="12.75">
      <c r="A102" s="25"/>
      <c r="F102" s="40"/>
    </row>
    <row r="103" spans="1:6" ht="12.75">
      <c r="A103" s="25"/>
      <c r="F103" s="40"/>
    </row>
    <row r="104" spans="1:6" ht="12.75">
      <c r="A104" s="25"/>
      <c r="F104" s="40"/>
    </row>
    <row r="105" spans="1:6" ht="12.75">
      <c r="A105" s="25"/>
      <c r="F105" s="40"/>
    </row>
    <row r="106" spans="1:10" ht="12.75">
      <c r="A106" s="25"/>
      <c r="F106" s="40"/>
      <c r="I106"/>
      <c r="J106"/>
    </row>
    <row r="107" spans="1:10" ht="12.75">
      <c r="A107" s="25"/>
      <c r="F107" s="40"/>
      <c r="I107"/>
      <c r="J107"/>
    </row>
    <row r="108" spans="1:10" ht="12.75">
      <c r="A108" s="25"/>
      <c r="F108" s="40"/>
      <c r="I108"/>
      <c r="J108"/>
    </row>
    <row r="109" spans="1:10" ht="12.75">
      <c r="A109" s="25"/>
      <c r="F109" s="40"/>
      <c r="I109"/>
      <c r="J109"/>
    </row>
    <row r="110" spans="1:10" ht="12.75">
      <c r="A110" s="25"/>
      <c r="F110" s="40"/>
      <c r="I110"/>
      <c r="J110"/>
    </row>
    <row r="111" spans="1:10" ht="12.75">
      <c r="A111" s="25"/>
      <c r="F111" s="40"/>
      <c r="I111"/>
      <c r="J111"/>
    </row>
    <row r="112" spans="1:10" ht="12.75">
      <c r="A112" s="25"/>
      <c r="F112" s="40"/>
      <c r="I112"/>
      <c r="J112"/>
    </row>
    <row r="113" spans="1:10" ht="12.75">
      <c r="A113" s="25"/>
      <c r="F113" s="40"/>
      <c r="I113"/>
      <c r="J113"/>
    </row>
    <row r="114" spans="1:10" ht="12.75">
      <c r="A114" s="25"/>
      <c r="F114" s="40"/>
      <c r="I114"/>
      <c r="J114"/>
    </row>
    <row r="115" spans="1:10" ht="12.75">
      <c r="A115" s="25"/>
      <c r="F115" s="40"/>
      <c r="I115"/>
      <c r="J115"/>
    </row>
    <row r="116" spans="1:10" ht="12.75">
      <c r="A116" s="25"/>
      <c r="F116" s="40"/>
      <c r="I116"/>
      <c r="J116"/>
    </row>
  </sheetData>
  <sheetProtection/>
  <mergeCells count="25">
    <mergeCell ref="B1:N2"/>
    <mergeCell ref="B3:B4"/>
    <mergeCell ref="C3:C4"/>
    <mergeCell ref="D3:D4"/>
    <mergeCell ref="E3:E4"/>
    <mergeCell ref="F3:F4"/>
    <mergeCell ref="G3:G4"/>
    <mergeCell ref="H3:K3"/>
    <mergeCell ref="B37:M37"/>
    <mergeCell ref="L3:L4"/>
    <mergeCell ref="M3:M4"/>
    <mergeCell ref="N3:N4"/>
    <mergeCell ref="B5:M5"/>
    <mergeCell ref="B8:M8"/>
    <mergeCell ref="B12:M12"/>
    <mergeCell ref="B42:M42"/>
    <mergeCell ref="B47:M47"/>
    <mergeCell ref="B51:M51"/>
    <mergeCell ref="B56:M56"/>
    <mergeCell ref="B60:M60"/>
    <mergeCell ref="B16:M16"/>
    <mergeCell ref="B20:M20"/>
    <mergeCell ref="B25:M25"/>
    <mergeCell ref="B28:M28"/>
    <mergeCell ref="B32:M3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3">
      <selection activeCell="I29" sqref="I29"/>
    </sheetView>
  </sheetViews>
  <sheetFormatPr defaultColWidth="8.75390625" defaultRowHeight="12.75"/>
  <cols>
    <col min="1" max="1" width="6.25390625" style="49" customWidth="1"/>
    <col min="2" max="2" width="26.25390625" style="25" customWidth="1"/>
    <col min="3" max="3" width="26.875" style="25" bestFit="1" customWidth="1"/>
    <col min="4" max="4" width="11.25390625" style="25" customWidth="1"/>
    <col min="5" max="5" width="10.875" style="25" customWidth="1"/>
    <col min="6" max="6" width="22.75390625" style="25" bestFit="1" customWidth="1"/>
    <col min="7" max="7" width="30.25390625" style="25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8.625" style="25" bestFit="1" customWidth="1"/>
    <col min="14" max="14" width="19.25390625" style="25" customWidth="1"/>
  </cols>
  <sheetData>
    <row r="1" spans="1:14" s="1" customFormat="1" ht="15" customHeight="1">
      <c r="A1" s="43"/>
      <c r="B1" s="157" t="s">
        <v>1053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246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767</v>
      </c>
      <c r="C6" s="26" t="s">
        <v>768</v>
      </c>
      <c r="D6" s="26" t="s">
        <v>769</v>
      </c>
      <c r="E6" s="26" t="str">
        <f>"1,7334"</f>
        <v>1,7334</v>
      </c>
      <c r="F6" s="26" t="s">
        <v>1089</v>
      </c>
      <c r="G6" s="26" t="s">
        <v>988</v>
      </c>
      <c r="H6" s="26" t="s">
        <v>13</v>
      </c>
      <c r="I6" s="26" t="s">
        <v>152</v>
      </c>
      <c r="J6" s="50" t="s">
        <v>15</v>
      </c>
      <c r="K6" s="27"/>
      <c r="L6" s="66">
        <v>95</v>
      </c>
      <c r="M6" s="26" t="str">
        <f>"164,6730"</f>
        <v>164,6730</v>
      </c>
      <c r="N6" s="26" t="s">
        <v>1054</v>
      </c>
    </row>
    <row r="8" spans="2:13" ht="15.75">
      <c r="B8" s="156" t="s">
        <v>54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4" ht="12.75">
      <c r="A9" s="49">
        <v>1</v>
      </c>
      <c r="B9" s="28" t="s">
        <v>770</v>
      </c>
      <c r="C9" s="28" t="s">
        <v>771</v>
      </c>
      <c r="D9" s="28" t="s">
        <v>772</v>
      </c>
      <c r="E9" s="28" t="str">
        <f>"1,0406"</f>
        <v>1,0406</v>
      </c>
      <c r="F9" s="28" t="s">
        <v>1089</v>
      </c>
      <c r="G9" s="28" t="s">
        <v>988</v>
      </c>
      <c r="H9" s="28" t="s">
        <v>472</v>
      </c>
      <c r="I9" s="28" t="s">
        <v>203</v>
      </c>
      <c r="J9" s="28" t="s">
        <v>19</v>
      </c>
      <c r="K9" s="29"/>
      <c r="L9" s="65">
        <v>145</v>
      </c>
      <c r="M9" s="28" t="str">
        <f>"150,8870"</f>
        <v>150,8870</v>
      </c>
      <c r="N9" s="28" t="s">
        <v>72</v>
      </c>
    </row>
    <row r="10" spans="1:14" ht="12.75">
      <c r="A10" s="49">
        <v>2</v>
      </c>
      <c r="B10" s="26" t="s">
        <v>773</v>
      </c>
      <c r="C10" s="26" t="s">
        <v>774</v>
      </c>
      <c r="D10" s="26" t="s">
        <v>775</v>
      </c>
      <c r="E10" s="26" t="str">
        <f>"1,0804"</f>
        <v>1,0804</v>
      </c>
      <c r="F10" s="26" t="s">
        <v>12</v>
      </c>
      <c r="G10" s="26" t="s">
        <v>988</v>
      </c>
      <c r="H10" s="50" t="s">
        <v>42</v>
      </c>
      <c r="I10" s="50" t="s">
        <v>42</v>
      </c>
      <c r="J10" s="26" t="s">
        <v>42</v>
      </c>
      <c r="K10" s="27"/>
      <c r="L10" s="66">
        <v>140</v>
      </c>
      <c r="M10" s="26" t="str">
        <f>"151,2560"</f>
        <v>151,2560</v>
      </c>
      <c r="N10" s="26" t="s">
        <v>72</v>
      </c>
    </row>
    <row r="11" spans="1:14" ht="12.75">
      <c r="A11" s="49">
        <v>1</v>
      </c>
      <c r="B11" s="32" t="s">
        <v>770</v>
      </c>
      <c r="C11" s="32" t="s">
        <v>776</v>
      </c>
      <c r="D11" s="32" t="s">
        <v>772</v>
      </c>
      <c r="E11" s="32" t="str">
        <f>"1,0406"</f>
        <v>1,0406</v>
      </c>
      <c r="F11" s="32" t="s">
        <v>1089</v>
      </c>
      <c r="G11" s="32" t="s">
        <v>988</v>
      </c>
      <c r="H11" s="32" t="s">
        <v>472</v>
      </c>
      <c r="I11" s="32" t="s">
        <v>203</v>
      </c>
      <c r="J11" s="32" t="s">
        <v>19</v>
      </c>
      <c r="K11" s="33"/>
      <c r="L11" s="67">
        <v>145</v>
      </c>
      <c r="M11" s="32" t="str">
        <f>"178,6502"</f>
        <v>178,6502</v>
      </c>
      <c r="N11" s="32" t="s">
        <v>72</v>
      </c>
    </row>
    <row r="13" spans="2:13" ht="15.75">
      <c r="B13" s="156" t="s">
        <v>206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</row>
    <row r="14" spans="1:14" ht="12.75">
      <c r="A14" s="49">
        <v>1</v>
      </c>
      <c r="B14" s="26" t="s">
        <v>777</v>
      </c>
      <c r="C14" s="26" t="s">
        <v>778</v>
      </c>
      <c r="D14" s="26" t="s">
        <v>779</v>
      </c>
      <c r="E14" s="26" t="str">
        <f>"0,9290"</f>
        <v>0,9290</v>
      </c>
      <c r="F14" s="26" t="s">
        <v>12</v>
      </c>
      <c r="G14" s="26" t="s">
        <v>497</v>
      </c>
      <c r="H14" s="26" t="s">
        <v>44</v>
      </c>
      <c r="I14" s="26" t="s">
        <v>77</v>
      </c>
      <c r="J14" s="26" t="s">
        <v>253</v>
      </c>
      <c r="K14" s="27"/>
      <c r="L14" s="66">
        <v>175</v>
      </c>
      <c r="M14" s="26" t="str">
        <f>"162,5750"</f>
        <v>162,5750</v>
      </c>
      <c r="N14" s="26" t="s">
        <v>780</v>
      </c>
    </row>
    <row r="16" spans="2:13" ht="15.75">
      <c r="B16" s="156" t="s">
        <v>348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4" ht="12.75">
      <c r="A17" s="49">
        <v>1</v>
      </c>
      <c r="B17" s="26" t="s">
        <v>785</v>
      </c>
      <c r="C17" s="26" t="s">
        <v>786</v>
      </c>
      <c r="D17" s="26" t="s">
        <v>787</v>
      </c>
      <c r="E17" s="26" t="str">
        <f>"0,8560"</f>
        <v>0,8560</v>
      </c>
      <c r="F17" s="26" t="s">
        <v>12</v>
      </c>
      <c r="G17" s="26" t="s">
        <v>95</v>
      </c>
      <c r="H17" s="26" t="s">
        <v>77</v>
      </c>
      <c r="I17" s="26" t="s">
        <v>67</v>
      </c>
      <c r="J17" s="50" t="s">
        <v>111</v>
      </c>
      <c r="K17" s="27"/>
      <c r="L17" s="66">
        <v>180</v>
      </c>
      <c r="M17" s="26" t="str">
        <f>"154,0800"</f>
        <v>154,0800</v>
      </c>
      <c r="N17" s="26" t="s">
        <v>1051</v>
      </c>
    </row>
    <row r="18" spans="2:13" ht="15.75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2:13" ht="15.75">
      <c r="B19" s="156" t="s">
        <v>844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</row>
    <row r="20" spans="1:14" ht="12.75">
      <c r="A20" s="49">
        <v>1</v>
      </c>
      <c r="B20" s="26" t="s">
        <v>781</v>
      </c>
      <c r="C20" s="26" t="s">
        <v>782</v>
      </c>
      <c r="D20" s="26" t="s">
        <v>1422</v>
      </c>
      <c r="E20" s="139">
        <v>0.822</v>
      </c>
      <c r="F20" s="26" t="s">
        <v>291</v>
      </c>
      <c r="G20" s="26" t="s">
        <v>784</v>
      </c>
      <c r="H20" s="26" t="s">
        <v>67</v>
      </c>
      <c r="I20" s="26" t="s">
        <v>471</v>
      </c>
      <c r="J20" s="26" t="s">
        <v>68</v>
      </c>
      <c r="K20" s="27"/>
      <c r="L20" s="66">
        <v>190</v>
      </c>
      <c r="M20" s="140">
        <v>156.18</v>
      </c>
      <c r="N20" s="26" t="s">
        <v>968</v>
      </c>
    </row>
    <row r="21" spans="1:3" ht="12.75">
      <c r="A21" s="86"/>
      <c r="B21" s="57"/>
      <c r="C21" s="57"/>
    </row>
    <row r="22" spans="2:3" ht="18">
      <c r="B22" s="34" t="s">
        <v>117</v>
      </c>
      <c r="C22" s="34"/>
    </row>
    <row r="23" spans="2:3" ht="15.75">
      <c r="B23" s="85"/>
      <c r="C23" s="35"/>
    </row>
    <row r="24" spans="2:3" ht="15.75">
      <c r="B24" s="85" t="s">
        <v>129</v>
      </c>
      <c r="C24" s="35"/>
    </row>
    <row r="25" spans="2:3" ht="13.5">
      <c r="B25" s="37" t="s">
        <v>126</v>
      </c>
      <c r="C25" s="38"/>
    </row>
    <row r="26" spans="2:6" ht="13.5">
      <c r="B26" s="39" t="s">
        <v>120</v>
      </c>
      <c r="C26" s="39" t="s">
        <v>121</v>
      </c>
      <c r="D26" s="39" t="s">
        <v>122</v>
      </c>
      <c r="E26" s="39" t="s">
        <v>123</v>
      </c>
      <c r="F26" s="39" t="s">
        <v>935</v>
      </c>
    </row>
    <row r="27" spans="1:6" ht="12.75">
      <c r="A27" s="49">
        <v>1</v>
      </c>
      <c r="B27" s="135" t="s">
        <v>767</v>
      </c>
      <c r="C27" s="83" t="s">
        <v>127</v>
      </c>
      <c r="D27" s="83" t="s">
        <v>360</v>
      </c>
      <c r="E27" s="83" t="s">
        <v>152</v>
      </c>
      <c r="F27" s="48" t="s">
        <v>788</v>
      </c>
    </row>
    <row r="28" spans="1:6" ht="12.75">
      <c r="A28" s="49">
        <v>2</v>
      </c>
      <c r="B28" s="135" t="s">
        <v>777</v>
      </c>
      <c r="C28" s="83" t="s">
        <v>127</v>
      </c>
      <c r="D28" s="83" t="s">
        <v>240</v>
      </c>
      <c r="E28" s="83" t="s">
        <v>253</v>
      </c>
      <c r="F28" s="48" t="s">
        <v>789</v>
      </c>
    </row>
    <row r="29" spans="1:6" ht="12.75">
      <c r="A29" s="49">
        <v>3</v>
      </c>
      <c r="B29" s="133" t="s">
        <v>781</v>
      </c>
      <c r="C29" s="132" t="s">
        <v>127</v>
      </c>
      <c r="D29" s="132" t="s">
        <v>1423</v>
      </c>
      <c r="E29" s="132" t="s">
        <v>68</v>
      </c>
      <c r="F29" s="141">
        <v>156.18</v>
      </c>
    </row>
    <row r="30" spans="2:6" ht="12.75">
      <c r="B30" s="135" t="s">
        <v>785</v>
      </c>
      <c r="C30" s="83" t="s">
        <v>127</v>
      </c>
      <c r="D30" s="83" t="s">
        <v>383</v>
      </c>
      <c r="E30" s="83" t="s">
        <v>67</v>
      </c>
      <c r="F30" s="48" t="s">
        <v>790</v>
      </c>
    </row>
    <row r="31" spans="2:6" ht="12.75">
      <c r="B31" s="135" t="s">
        <v>773</v>
      </c>
      <c r="C31" s="83" t="s">
        <v>127</v>
      </c>
      <c r="D31" s="83" t="s">
        <v>397</v>
      </c>
      <c r="E31" s="83" t="s">
        <v>42</v>
      </c>
      <c r="F31" s="48" t="s">
        <v>791</v>
      </c>
    </row>
    <row r="32" spans="2:6" ht="12.75">
      <c r="B32" s="135" t="s">
        <v>770</v>
      </c>
      <c r="C32" s="83" t="s">
        <v>127</v>
      </c>
      <c r="D32" s="83" t="s">
        <v>397</v>
      </c>
      <c r="E32" s="83" t="s">
        <v>19</v>
      </c>
      <c r="F32" s="48" t="s">
        <v>792</v>
      </c>
    </row>
    <row r="33" spans="2:6" ht="12.75">
      <c r="B33" s="135"/>
      <c r="C33" s="83"/>
      <c r="D33" s="83"/>
      <c r="E33" s="83"/>
      <c r="F33" s="48"/>
    </row>
    <row r="34" spans="2:6" ht="12.75">
      <c r="B34" s="135"/>
      <c r="C34" s="83"/>
      <c r="D34" s="83"/>
      <c r="E34" s="83"/>
      <c r="F34" s="48"/>
    </row>
    <row r="35" spans="2:6" ht="12.75">
      <c r="B35" s="135"/>
      <c r="C35" s="83"/>
      <c r="D35" s="83"/>
      <c r="E35" s="83"/>
      <c r="F35" s="48"/>
    </row>
  </sheetData>
  <sheetProtection/>
  <mergeCells count="17">
    <mergeCell ref="B19:M19"/>
    <mergeCell ref="B1:N2"/>
    <mergeCell ref="B3:B4"/>
    <mergeCell ref="C3:C4"/>
    <mergeCell ref="D3:D4"/>
    <mergeCell ref="E3:E4"/>
    <mergeCell ref="F3:F4"/>
    <mergeCell ref="G3:G4"/>
    <mergeCell ref="H3:K3"/>
    <mergeCell ref="B18:M18"/>
    <mergeCell ref="B16:M16"/>
    <mergeCell ref="L3:L4"/>
    <mergeCell ref="M3:M4"/>
    <mergeCell ref="N3:N4"/>
    <mergeCell ref="B5:M5"/>
    <mergeCell ref="B8:M8"/>
    <mergeCell ref="B13:M1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C1">
      <selection activeCell="B5" sqref="B5:M5"/>
    </sheetView>
  </sheetViews>
  <sheetFormatPr defaultColWidth="8.75390625" defaultRowHeight="12.75"/>
  <cols>
    <col min="1" max="1" width="5.00390625" style="49" customWidth="1"/>
    <col min="2" max="2" width="27.375" style="25" customWidth="1"/>
    <col min="3" max="3" width="26.875" style="25" customWidth="1"/>
    <col min="4" max="4" width="13.25390625" style="25" customWidth="1"/>
    <col min="5" max="5" width="9.625" style="25" customWidth="1"/>
    <col min="6" max="6" width="22.75390625" style="25" bestFit="1" customWidth="1"/>
    <col min="7" max="7" width="29.25390625" style="25" customWidth="1"/>
    <col min="8" max="10" width="5.625" style="25" bestFit="1" customWidth="1"/>
    <col min="11" max="11" width="4.625" style="25" bestFit="1" customWidth="1"/>
    <col min="12" max="12" width="7.875" style="40" bestFit="1" customWidth="1"/>
    <col min="13" max="13" width="8.625" style="40" bestFit="1" customWidth="1"/>
    <col min="14" max="14" width="15.875" style="25" customWidth="1"/>
  </cols>
  <sheetData>
    <row r="1" spans="1:14" s="1" customFormat="1" ht="15" customHeight="1">
      <c r="A1" s="43"/>
      <c r="B1" s="157" t="s">
        <v>1052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82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6" t="s">
        <v>764</v>
      </c>
      <c r="C6" s="26" t="s">
        <v>765</v>
      </c>
      <c r="D6" s="26" t="s">
        <v>766</v>
      </c>
      <c r="E6" s="26" t="str">
        <f>"0,8932"</f>
        <v>0,8932</v>
      </c>
      <c r="F6" s="26" t="s">
        <v>12</v>
      </c>
      <c r="G6" s="26" t="s">
        <v>944</v>
      </c>
      <c r="H6" s="26" t="s">
        <v>217</v>
      </c>
      <c r="I6" s="50" t="s">
        <v>218</v>
      </c>
      <c r="J6" s="50" t="s">
        <v>218</v>
      </c>
      <c r="K6" s="27"/>
      <c r="L6" s="66">
        <v>255</v>
      </c>
      <c r="M6" s="55" t="str">
        <f>"227,7660"</f>
        <v>227,7660</v>
      </c>
      <c r="N6" s="26" t="s">
        <v>1051</v>
      </c>
    </row>
  </sheetData>
  <sheetProtection/>
  <mergeCells count="12"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E3" sqref="E3:E4"/>
    </sheetView>
  </sheetViews>
  <sheetFormatPr defaultColWidth="8.75390625" defaultRowHeight="12.75"/>
  <cols>
    <col min="1" max="1" width="5.25390625" style="49" customWidth="1"/>
    <col min="2" max="2" width="24.25390625" style="25" customWidth="1"/>
    <col min="3" max="3" width="26.875" style="25" bestFit="1" customWidth="1"/>
    <col min="4" max="4" width="15.875" style="25" customWidth="1"/>
    <col min="5" max="5" width="9.00390625" style="25" customWidth="1"/>
    <col min="6" max="6" width="22.75390625" style="25" bestFit="1" customWidth="1"/>
    <col min="7" max="7" width="26.875" style="25" bestFit="1" customWidth="1"/>
    <col min="8" max="11" width="5.625" style="25" bestFit="1" customWidth="1"/>
    <col min="12" max="12" width="7.875" style="40" bestFit="1" customWidth="1"/>
    <col min="13" max="13" width="8.625" style="25" bestFit="1" customWidth="1"/>
    <col min="14" max="14" width="15.375" style="25" bestFit="1" customWidth="1"/>
  </cols>
  <sheetData>
    <row r="1" spans="1:14" s="1" customFormat="1" ht="15" customHeight="1">
      <c r="A1" s="43"/>
      <c r="B1" s="157" t="s">
        <v>1050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s="1" customFormat="1" ht="81.75" customHeight="1" thickBot="1">
      <c r="A2" s="43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s="2" customFormat="1" ht="12.75" customHeight="1">
      <c r="B3" s="163" t="s">
        <v>0</v>
      </c>
      <c r="C3" s="165" t="s">
        <v>939</v>
      </c>
      <c r="D3" s="151" t="s">
        <v>936</v>
      </c>
      <c r="E3" s="151" t="s">
        <v>935</v>
      </c>
      <c r="F3" s="151" t="s">
        <v>6</v>
      </c>
      <c r="G3" s="151" t="s">
        <v>940</v>
      </c>
      <c r="H3" s="151" t="s">
        <v>2</v>
      </c>
      <c r="I3" s="151"/>
      <c r="J3" s="151"/>
      <c r="K3" s="151"/>
      <c r="L3" s="151" t="s">
        <v>4</v>
      </c>
      <c r="M3" s="151" t="s">
        <v>935</v>
      </c>
      <c r="N3" s="153" t="s">
        <v>5</v>
      </c>
    </row>
    <row r="4" spans="2:14" s="2" customFormat="1" ht="21" customHeight="1" thickBot="1">
      <c r="B4" s="164"/>
      <c r="C4" s="152"/>
      <c r="D4" s="152"/>
      <c r="E4" s="152"/>
      <c r="F4" s="152"/>
      <c r="G4" s="152"/>
      <c r="H4" s="3">
        <v>1</v>
      </c>
      <c r="I4" s="3">
        <v>2</v>
      </c>
      <c r="J4" s="3">
        <v>3</v>
      </c>
      <c r="K4" s="3" t="s">
        <v>7</v>
      </c>
      <c r="L4" s="152"/>
      <c r="M4" s="152"/>
      <c r="N4" s="154"/>
    </row>
    <row r="5" spans="2:13" ht="15.75">
      <c r="B5" s="155" t="s">
        <v>206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</row>
    <row r="6" spans="1:14" ht="12.75">
      <c r="A6" s="49">
        <v>1</v>
      </c>
      <c r="B6" s="28" t="s">
        <v>752</v>
      </c>
      <c r="C6" s="28" t="s">
        <v>753</v>
      </c>
      <c r="D6" s="28" t="s">
        <v>310</v>
      </c>
      <c r="E6" s="28" t="str">
        <f>"0,9150"</f>
        <v>0,9150</v>
      </c>
      <c r="F6" s="28" t="s">
        <v>291</v>
      </c>
      <c r="G6" s="28" t="s">
        <v>754</v>
      </c>
      <c r="H6" s="28" t="s">
        <v>90</v>
      </c>
      <c r="I6" s="53" t="s">
        <v>344</v>
      </c>
      <c r="J6" s="28" t="s">
        <v>344</v>
      </c>
      <c r="K6" s="53" t="s">
        <v>451</v>
      </c>
      <c r="L6" s="65">
        <v>350</v>
      </c>
      <c r="M6" s="28" t="str">
        <f>"320,2500"</f>
        <v>320,2500</v>
      </c>
      <c r="N6" s="28" t="s">
        <v>755</v>
      </c>
    </row>
    <row r="7" spans="1:14" ht="12.75">
      <c r="A7" s="49">
        <v>1</v>
      </c>
      <c r="B7" s="26" t="s">
        <v>752</v>
      </c>
      <c r="C7" s="26" t="s">
        <v>756</v>
      </c>
      <c r="D7" s="26" t="s">
        <v>310</v>
      </c>
      <c r="E7" s="26" t="str">
        <f>"0,9150"</f>
        <v>0,9150</v>
      </c>
      <c r="F7" s="26" t="s">
        <v>291</v>
      </c>
      <c r="G7" s="26" t="s">
        <v>754</v>
      </c>
      <c r="H7" s="26" t="s">
        <v>90</v>
      </c>
      <c r="I7" s="50" t="s">
        <v>344</v>
      </c>
      <c r="J7" s="26" t="s">
        <v>344</v>
      </c>
      <c r="K7" s="50" t="s">
        <v>451</v>
      </c>
      <c r="L7" s="66">
        <v>350</v>
      </c>
      <c r="M7" s="26" t="str">
        <f>"320,2500"</f>
        <v>320,2500</v>
      </c>
      <c r="N7" s="26" t="s">
        <v>755</v>
      </c>
    </row>
    <row r="9" spans="2:13" ht="15.75">
      <c r="B9" s="156" t="s">
        <v>82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</row>
    <row r="10" spans="1:14" ht="12.75">
      <c r="A10" s="49">
        <v>1</v>
      </c>
      <c r="B10" s="26" t="s">
        <v>550</v>
      </c>
      <c r="C10" s="26" t="s">
        <v>551</v>
      </c>
      <c r="D10" s="26" t="s">
        <v>94</v>
      </c>
      <c r="E10" s="26" t="str">
        <f>"0,8850"</f>
        <v>0,8850</v>
      </c>
      <c r="F10" s="26" t="s">
        <v>12</v>
      </c>
      <c r="G10" s="26" t="s">
        <v>988</v>
      </c>
      <c r="H10" s="26" t="s">
        <v>451</v>
      </c>
      <c r="I10" s="26" t="s">
        <v>457</v>
      </c>
      <c r="J10" s="50" t="s">
        <v>757</v>
      </c>
      <c r="K10" s="27"/>
      <c r="L10" s="66">
        <v>370</v>
      </c>
      <c r="M10" s="26" t="str">
        <f>"327,4500"</f>
        <v>327,4500</v>
      </c>
      <c r="N10" s="26" t="s">
        <v>72</v>
      </c>
    </row>
    <row r="12" spans="2:13" ht="15.75">
      <c r="B12" s="156" t="s">
        <v>348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</row>
    <row r="13" spans="1:14" ht="12.75">
      <c r="A13" s="49">
        <v>1</v>
      </c>
      <c r="B13" s="26" t="s">
        <v>758</v>
      </c>
      <c r="C13" s="26" t="s">
        <v>759</v>
      </c>
      <c r="D13" s="26" t="s">
        <v>760</v>
      </c>
      <c r="E13" s="26" t="str">
        <f>"0,8540"</f>
        <v>0,8540</v>
      </c>
      <c r="F13" s="26" t="s">
        <v>12</v>
      </c>
      <c r="G13" s="26" t="s">
        <v>988</v>
      </c>
      <c r="H13" s="26" t="s">
        <v>451</v>
      </c>
      <c r="I13" s="26" t="s">
        <v>457</v>
      </c>
      <c r="J13" s="26" t="s">
        <v>356</v>
      </c>
      <c r="K13" s="27"/>
      <c r="L13" s="66">
        <v>385</v>
      </c>
      <c r="M13" s="26" t="str">
        <f>"328,7900"</f>
        <v>328,7900</v>
      </c>
      <c r="N13" s="26" t="s">
        <v>1051</v>
      </c>
    </row>
    <row r="16" spans="2:3" ht="18">
      <c r="B16" s="34" t="s">
        <v>117</v>
      </c>
      <c r="C16" s="34"/>
    </row>
    <row r="17" spans="2:3" ht="15.75">
      <c r="B17" s="85"/>
      <c r="C17" s="35"/>
    </row>
    <row r="18" spans="2:3" ht="15.75">
      <c r="B18" s="85" t="s">
        <v>129</v>
      </c>
      <c r="C18" s="35"/>
    </row>
    <row r="19" spans="2:3" ht="13.5">
      <c r="B19" s="37" t="s">
        <v>126</v>
      </c>
      <c r="C19" s="38"/>
    </row>
    <row r="20" spans="2:6" ht="13.5">
      <c r="B20" s="39" t="s">
        <v>120</v>
      </c>
      <c r="C20" s="39" t="s">
        <v>121</v>
      </c>
      <c r="D20" s="39" t="s">
        <v>122</v>
      </c>
      <c r="E20" s="39" t="s">
        <v>123</v>
      </c>
      <c r="F20" s="39" t="s">
        <v>935</v>
      </c>
    </row>
    <row r="21" spans="1:6" ht="12.75">
      <c r="A21" s="49">
        <v>1</v>
      </c>
      <c r="B21" s="135" t="s">
        <v>758</v>
      </c>
      <c r="C21" s="83" t="s">
        <v>127</v>
      </c>
      <c r="D21" s="83" t="s">
        <v>383</v>
      </c>
      <c r="E21" s="83" t="s">
        <v>356</v>
      </c>
      <c r="F21" s="48" t="s">
        <v>761</v>
      </c>
    </row>
    <row r="22" spans="1:6" ht="12.75">
      <c r="A22" s="49">
        <v>2</v>
      </c>
      <c r="B22" s="135" t="s">
        <v>550</v>
      </c>
      <c r="C22" s="83" t="s">
        <v>127</v>
      </c>
      <c r="D22" s="83" t="s">
        <v>130</v>
      </c>
      <c r="E22" s="83" t="s">
        <v>457</v>
      </c>
      <c r="F22" s="48" t="s">
        <v>762</v>
      </c>
    </row>
    <row r="23" spans="1:6" ht="12.75">
      <c r="A23" s="49">
        <v>3</v>
      </c>
      <c r="B23" s="135" t="s">
        <v>752</v>
      </c>
      <c r="C23" s="83" t="s">
        <v>127</v>
      </c>
      <c r="D23" s="83" t="s">
        <v>240</v>
      </c>
      <c r="E23" s="83" t="s">
        <v>344</v>
      </c>
      <c r="F23" s="48" t="s">
        <v>763</v>
      </c>
    </row>
  </sheetData>
  <sheetProtection/>
  <mergeCells count="14">
    <mergeCell ref="G3:G4"/>
    <mergeCell ref="H3:K3"/>
    <mergeCell ref="L3:L4"/>
    <mergeCell ref="M3:M4"/>
    <mergeCell ref="N3:N4"/>
    <mergeCell ref="B5:M5"/>
    <mergeCell ref="B9:M9"/>
    <mergeCell ref="B12:M12"/>
    <mergeCell ref="B1:N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2008-02-22T21:19:39Z</cp:lastPrinted>
  <dcterms:created xsi:type="dcterms:W3CDTF">2002-06-16T13:36:44Z</dcterms:created>
  <dcterms:modified xsi:type="dcterms:W3CDTF">2016-08-30T12:44:53Z</dcterms:modified>
  <cp:category/>
  <cp:version/>
  <cp:contentType/>
  <cp:contentStatus/>
</cp:coreProperties>
</file>