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0" windowWidth="11340" windowHeight="9700" activeTab="0"/>
  </bookViews>
  <sheets>
    <sheet name="Пауэрспорт ДК" sheetId="1" r:id="rId1"/>
    <sheet name="Пауэрспорт" sheetId="2" r:id="rId2"/>
    <sheet name="Становая тяга в экипировке" sheetId="3" r:id="rId3"/>
    <sheet name="Становая тяга без экипировки ДК" sheetId="4" r:id="rId4"/>
    <sheet name="Становая тяга без экипировки" sheetId="5" r:id="rId5"/>
    <sheet name="Народный жим 1 вес ДК" sheetId="6" r:id="rId6"/>
    <sheet name="Народный жим 1 вес" sheetId="7" r:id="rId7"/>
    <sheet name="Жим лежа SOFT экипировка ДК" sheetId="8" r:id="rId8"/>
    <sheet name="Жим лежа SOFT экипировка" sheetId="9" r:id="rId9"/>
    <sheet name="Жим лежа в многослойной экип." sheetId="10" r:id="rId10"/>
    <sheet name="Жим лежа в однослойной экип. ДК" sheetId="11" r:id="rId11"/>
    <sheet name="Жим лежа в однослойной экип." sheetId="12" r:id="rId12"/>
    <sheet name="Жим лежа без экипировки ДК" sheetId="13" r:id="rId13"/>
    <sheet name="Жим лежа без экипировки" sheetId="14" r:id="rId14"/>
    <sheet name="Присед без экипировки" sheetId="15" r:id="rId15"/>
    <sheet name="Пауэрлифтинг в однослойной экип" sheetId="16" r:id="rId16"/>
    <sheet name="Пауэрлифтинг в бинтах ДК" sheetId="17" r:id="rId17"/>
    <sheet name="Пауэрлифтинг в бинтах" sheetId="18" r:id="rId18"/>
    <sheet name="Пауэрлифтинг без экипировки ДК" sheetId="19" r:id="rId19"/>
    <sheet name="Паэрлифтинг без экипировки" sheetId="20" r:id="rId20"/>
  </sheets>
  <definedNames/>
  <calcPr fullCalcOnLoad="1" refMode="R1C1"/>
</workbook>
</file>

<file path=xl/sharedStrings.xml><?xml version="1.0" encoding="utf-8"?>
<sst xmlns="http://schemas.openxmlformats.org/spreadsheetml/2006/main" count="1370" uniqueCount="435">
  <si>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</si>
  <si>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</si>
  <si>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</si>
  <si>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</si>
  <si>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</si>
  <si>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</si>
  <si>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</si>
  <si>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</si>
  <si>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</si>
  <si>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Wilks</t>
  </si>
  <si>
    <t>ВЕСОВАЯ КАТЕГОРИЯ   48</t>
  </si>
  <si>
    <t>Open (15.07.1987)/28</t>
  </si>
  <si>
    <t>45,25</t>
  </si>
  <si>
    <t xml:space="preserve">Лично </t>
  </si>
  <si>
    <t xml:space="preserve">Тольятти/Самарская область </t>
  </si>
  <si>
    <t>40,0</t>
  </si>
  <si>
    <t>45,0</t>
  </si>
  <si>
    <t>ВЕСОВАЯ КАТЕГОРИЯ   75</t>
  </si>
  <si>
    <t>Open (17.09.1988)/27</t>
  </si>
  <si>
    <t>90,0</t>
  </si>
  <si>
    <t>100,0</t>
  </si>
  <si>
    <t>110,0</t>
  </si>
  <si>
    <t>ВЕСОВАЯ КАТЕГОРИЯ   67.5</t>
  </si>
  <si>
    <t>Кучин Игорь</t>
  </si>
  <si>
    <t>Open (11.06.1967)/48</t>
  </si>
  <si>
    <t xml:space="preserve">Сызрань </t>
  </si>
  <si>
    <t xml:space="preserve">Сызрань/Самарская область </t>
  </si>
  <si>
    <t>150,0</t>
  </si>
  <si>
    <t>155,0</t>
  </si>
  <si>
    <t>160,0</t>
  </si>
  <si>
    <t>Чугуров Сергей</t>
  </si>
  <si>
    <t>Juniors 20-23 (22.06.1993)/22</t>
  </si>
  <si>
    <t xml:space="preserve">Пенза/Пензенская область </t>
  </si>
  <si>
    <t>157,5</t>
  </si>
  <si>
    <t>162,5</t>
  </si>
  <si>
    <t xml:space="preserve">Самостоятельно </t>
  </si>
  <si>
    <t>Open (22.06.1993)/22</t>
  </si>
  <si>
    <t>Open (02.07.1991)/24</t>
  </si>
  <si>
    <t xml:space="preserve">Самара </t>
  </si>
  <si>
    <t xml:space="preserve">Самара/Самарская область </t>
  </si>
  <si>
    <t>115,0</t>
  </si>
  <si>
    <t>120,0</t>
  </si>
  <si>
    <t>Гугняков Александр</t>
  </si>
  <si>
    <t>Masters 40-44 (17.09.1974)/41</t>
  </si>
  <si>
    <t xml:space="preserve">Спортзавод </t>
  </si>
  <si>
    <t>145,0</t>
  </si>
  <si>
    <t>Юнусов Наиль</t>
  </si>
  <si>
    <t>ВЕСОВАЯ КАТЕГОРИЯ   82.5</t>
  </si>
  <si>
    <t>Open (30.08.1983)/32</t>
  </si>
  <si>
    <t>165,0</t>
  </si>
  <si>
    <t>Жачков Сергей</t>
  </si>
  <si>
    <t>Open (06.04.1990)/26</t>
  </si>
  <si>
    <t xml:space="preserve">Тольятти </t>
  </si>
  <si>
    <t>135,0</t>
  </si>
  <si>
    <t>140,0</t>
  </si>
  <si>
    <t>142,5</t>
  </si>
  <si>
    <t>ВЕСОВАЯ КАТЕГОРИЯ   90</t>
  </si>
  <si>
    <t>Teenage 15-19 (13.06.1996)/19</t>
  </si>
  <si>
    <t>152,5</t>
  </si>
  <si>
    <t>Open (16.05.1979)/36</t>
  </si>
  <si>
    <t>ВЕСОВАЯ КАТЕГОРИЯ   100</t>
  </si>
  <si>
    <t>Juniors 20-23 (11.07.1993)/22</t>
  </si>
  <si>
    <t>175,0</t>
  </si>
  <si>
    <t>180,0</t>
  </si>
  <si>
    <t xml:space="preserve">Арсентьев Е. </t>
  </si>
  <si>
    <t>Вилинский Александр</t>
  </si>
  <si>
    <t>Open (12.10.1988)/27</t>
  </si>
  <si>
    <t>185,0</t>
  </si>
  <si>
    <t>Стецко Юрий</t>
  </si>
  <si>
    <t>Open (02.04.1986)/30</t>
  </si>
  <si>
    <t xml:space="preserve">Оренбургская </t>
  </si>
  <si>
    <t>Зотов Дмитрий</t>
  </si>
  <si>
    <t>Open (05.06.1976)/39</t>
  </si>
  <si>
    <t>Ножов Евгений</t>
  </si>
  <si>
    <t>Open (26.09.1981)/34</t>
  </si>
  <si>
    <t>Нефедов Михаил</t>
  </si>
  <si>
    <t>Masters 40-44 (07.05.1972)/43</t>
  </si>
  <si>
    <t>190,0</t>
  </si>
  <si>
    <t>ВЕСОВАЯ КАТЕГОРИЯ   110</t>
  </si>
  <si>
    <t>Бажутов Дмитрий</t>
  </si>
  <si>
    <t>Juniors 20-23 (25.04.1994)/22</t>
  </si>
  <si>
    <t>170,0</t>
  </si>
  <si>
    <t>192,5</t>
  </si>
  <si>
    <t>Арсентьев Евгений</t>
  </si>
  <si>
    <t>Open (19.04.1987)/29</t>
  </si>
  <si>
    <t>Стенин Василий</t>
  </si>
  <si>
    <t>Masters 40-44 (05.06.1975)/40</t>
  </si>
  <si>
    <t xml:space="preserve">Тульская </t>
  </si>
  <si>
    <t xml:space="preserve">Тула/Тульская область </t>
  </si>
  <si>
    <t>187,5</t>
  </si>
  <si>
    <t>Masters 40-44 (16.04.1972)/44</t>
  </si>
  <si>
    <t>Сафронов Олег</t>
  </si>
  <si>
    <t>Masters 45-49 (07.07.1966)/49</t>
  </si>
  <si>
    <t xml:space="preserve">Октябрьск </t>
  </si>
  <si>
    <t xml:space="preserve">Октябрьск/Самарская область </t>
  </si>
  <si>
    <t>ВЕСОВАЯ КАТЕГОРИЯ   125</t>
  </si>
  <si>
    <t>Сибалаков Владимир</t>
  </si>
  <si>
    <t>Open (05.07.1981)/34</t>
  </si>
  <si>
    <t>220,0</t>
  </si>
  <si>
    <t>230,0</t>
  </si>
  <si>
    <t>240,0</t>
  </si>
  <si>
    <t>ВЕСОВАЯ КАТЕГОРИЯ   140</t>
  </si>
  <si>
    <t>Masters 45-49 (07.06.1967)/48</t>
  </si>
  <si>
    <t>132,5</t>
  </si>
  <si>
    <t>137,5</t>
  </si>
  <si>
    <t xml:space="preserve">Чупахин С. </t>
  </si>
  <si>
    <t xml:space="preserve">Абсолютный зачёт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</si>
  <si>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</si>
  <si>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</si>
  <si>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</si>
  <si>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</si>
  <si>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</si>
  <si>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</si>
  <si>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 xml:space="preserve">Мужчины </t>
  </si>
  <si>
    <t>115,7975</t>
  </si>
  <si>
    <t>133,4690</t>
  </si>
  <si>
    <t>125,6320</t>
  </si>
  <si>
    <t xml:space="preserve">Мастера </t>
  </si>
  <si>
    <t xml:space="preserve">Мастера 40 - 44 </t>
  </si>
  <si>
    <t>118,9694</t>
  </si>
  <si>
    <t>110,3812</t>
  </si>
  <si>
    <t xml:space="preserve">Мастера 45 - 49 </t>
  </si>
  <si>
    <t>104,5040</t>
  </si>
  <si>
    <t>Тарасов Алексей</t>
  </si>
  <si>
    <t>Juniors 20-23 (11.03.1993)/23</t>
  </si>
  <si>
    <t>95,0</t>
  </si>
  <si>
    <t>Морозов Роман</t>
  </si>
  <si>
    <t>Open (31.05.1991)/24</t>
  </si>
  <si>
    <t>112,5</t>
  </si>
  <si>
    <t>117,5</t>
  </si>
  <si>
    <t>Гордеев Борис</t>
  </si>
  <si>
    <t>Open (25.08.1981)/34</t>
  </si>
  <si>
    <t>Хаванских Андрей</t>
  </si>
  <si>
    <t>Open (15.12.1991)/24</t>
  </si>
  <si>
    <t xml:space="preserve">пгт.Алексеевка/ </t>
  </si>
  <si>
    <t>Open (04.12.1985)/30</t>
  </si>
  <si>
    <t xml:space="preserve">Кинель </t>
  </si>
  <si>
    <t xml:space="preserve">Кинель/Самарская область </t>
  </si>
  <si>
    <t>127,5</t>
  </si>
  <si>
    <t>Teenage 15-19 (12.01.1997)/19</t>
  </si>
  <si>
    <t>Трошинский Вячеслав</t>
  </si>
  <si>
    <t>Masters 55-59 (10.05.1960)/55</t>
  </si>
  <si>
    <t>Садчиков Антон</t>
  </si>
  <si>
    <t>Open (21.04.1985)/31</t>
  </si>
  <si>
    <t>Финк Владислав</t>
  </si>
  <si>
    <t>Open (05.05.1977)/38</t>
  </si>
  <si>
    <t>215,0</t>
  </si>
  <si>
    <t>245,0</t>
  </si>
  <si>
    <t>255,0</t>
  </si>
  <si>
    <t>262,5</t>
  </si>
  <si>
    <t>265,0</t>
  </si>
  <si>
    <t>720,0</t>
  </si>
  <si>
    <t>Куликов Станислав</t>
  </si>
  <si>
    <t>Open (29.11.1978)/37</t>
  </si>
  <si>
    <t xml:space="preserve">Саратовская </t>
  </si>
  <si>
    <t xml:space="preserve">Саратов/Саратовская область </t>
  </si>
  <si>
    <t>Дворядкин Павел</t>
  </si>
  <si>
    <t>Open (17.07.1986)/29</t>
  </si>
  <si>
    <t>200,0</t>
  </si>
  <si>
    <t>210,0</t>
  </si>
  <si>
    <t>Жаренов Андрей</t>
  </si>
  <si>
    <t>Open (27.06.1988)/27</t>
  </si>
  <si>
    <t>280,0</t>
  </si>
  <si>
    <t>130,0</t>
  </si>
  <si>
    <t>Липатов Дмитрий</t>
  </si>
  <si>
    <t>Juniors 20-23 (11.04.1993)/23</t>
  </si>
  <si>
    <t>225,0</t>
  </si>
  <si>
    <t>235,0</t>
  </si>
  <si>
    <t>195,0</t>
  </si>
  <si>
    <t>250,0</t>
  </si>
  <si>
    <t>270,0</t>
  </si>
  <si>
    <t>Кашелкин Илья</t>
  </si>
  <si>
    <t>Open (02.10.1990)/25</t>
  </si>
  <si>
    <t>222,5</t>
  </si>
  <si>
    <t>125,0</t>
  </si>
  <si>
    <t>212,5</t>
  </si>
  <si>
    <t>Кузнецов Вадим</t>
  </si>
  <si>
    <t>Open (15.11.1991)/24</t>
  </si>
  <si>
    <t>182,5</t>
  </si>
  <si>
    <t>Тетюшкин Никита</t>
  </si>
  <si>
    <t>Teenage 15-19 (15.10.1998)/17</t>
  </si>
  <si>
    <t>70,0</t>
  </si>
  <si>
    <t>75,0</t>
  </si>
  <si>
    <t>80,0</t>
  </si>
  <si>
    <t>Кутуков Алексей</t>
  </si>
  <si>
    <t>Open (01.08.1982)/33</t>
  </si>
  <si>
    <t>172,5</t>
  </si>
  <si>
    <t>Masters 40-44 (02.08.1975)/40</t>
  </si>
  <si>
    <t>147,5</t>
  </si>
  <si>
    <t>Рева Антон</t>
  </si>
  <si>
    <t>Open (15.03.1988)/28</t>
  </si>
  <si>
    <t>295,0</t>
  </si>
  <si>
    <t>680,0</t>
  </si>
  <si>
    <t>650,0</t>
  </si>
  <si>
    <t>645,0</t>
  </si>
  <si>
    <t>450,0</t>
  </si>
  <si>
    <t>Cухова Елена</t>
  </si>
  <si>
    <t>Teenage 15-19 (21.08.1998)/17</t>
  </si>
  <si>
    <t>82,5</t>
  </si>
  <si>
    <t>85,0</t>
  </si>
  <si>
    <t>50,0</t>
  </si>
  <si>
    <t>Teenage 15-19 (12.05.1996)/19</t>
  </si>
  <si>
    <t>Juniors 20-23 (01.12.1995)/20</t>
  </si>
  <si>
    <t>227,5</t>
  </si>
  <si>
    <t>Teenage 15-19 (21.12.1999)/16</t>
  </si>
  <si>
    <t>105,0</t>
  </si>
  <si>
    <t>555,0</t>
  </si>
  <si>
    <t>410,0</t>
  </si>
  <si>
    <t>Open (03.04.1978)/38</t>
  </si>
  <si>
    <t xml:space="preserve">Сорговицкий </t>
  </si>
  <si>
    <t>ВЕСОВАЯ КАТЕГОРИЯ   56</t>
  </si>
  <si>
    <t>Open (20.10.1979)/36</t>
  </si>
  <si>
    <t>55,0</t>
  </si>
  <si>
    <t>Masters 40-44 (30.09.1972)/43</t>
  </si>
  <si>
    <t xml:space="preserve">Гареев </t>
  </si>
  <si>
    <t>510,0</t>
  </si>
  <si>
    <t>Пьянков Владимир</t>
  </si>
  <si>
    <t>Open (26.11.1989)/26</t>
  </si>
  <si>
    <t>Open (22.11.1982)/33</t>
  </si>
  <si>
    <t>300,0</t>
  </si>
  <si>
    <t>305,0</t>
  </si>
  <si>
    <t xml:space="preserve">Логинова О. </t>
  </si>
  <si>
    <t>Masters 40-44 (06.03.1975)/41</t>
  </si>
  <si>
    <t xml:space="preserve">Рогожников </t>
  </si>
  <si>
    <t>Open (28.08.1990)/25</t>
  </si>
  <si>
    <t xml:space="preserve">Гордеев Борис </t>
  </si>
  <si>
    <t>Juniors 20-23 (30.07.1992)/23</t>
  </si>
  <si>
    <t>Марданов Олег</t>
  </si>
  <si>
    <t>Open (02.07.1985)/30</t>
  </si>
  <si>
    <t>262,6</t>
  </si>
  <si>
    <t>275,0</t>
  </si>
  <si>
    <t>Конопацкий Владимир</t>
  </si>
  <si>
    <t>Open (06.08.1973)/42</t>
  </si>
  <si>
    <t>290,0</t>
  </si>
  <si>
    <t>302,5</t>
  </si>
  <si>
    <t>Трошинский Михаил</t>
  </si>
  <si>
    <t>Open (28.10.1984)/31</t>
  </si>
  <si>
    <t>Поздняков Вячеслав</t>
  </si>
  <si>
    <t xml:space="preserve">Gloss </t>
  </si>
  <si>
    <t>Бобров Павел</t>
  </si>
  <si>
    <t>Ануфриенко Андрей</t>
  </si>
  <si>
    <t>Хорощенко Николай</t>
  </si>
  <si>
    <t>1731,4537</t>
  </si>
  <si>
    <t>2925,0</t>
  </si>
  <si>
    <t>1771,7740</t>
  </si>
  <si>
    <t>2635,0</t>
  </si>
  <si>
    <t>2111,6025</t>
  </si>
  <si>
    <t>2767,5</t>
  </si>
  <si>
    <t>Masters 40-49 (05.06.1975)/40</t>
  </si>
  <si>
    <t>103,05</t>
  </si>
  <si>
    <t>99,75</t>
  </si>
  <si>
    <t>Masters 40-49 (07.05.1972)/43</t>
  </si>
  <si>
    <t>Open (14.06.1987)/28</t>
  </si>
  <si>
    <t>Open (28.06.1986)/29</t>
  </si>
  <si>
    <t>97,5</t>
  </si>
  <si>
    <t>Masters 40-49 (28.09.1971)/44</t>
  </si>
  <si>
    <t>Open (17.06.1988)/27</t>
  </si>
  <si>
    <t>77,5</t>
  </si>
  <si>
    <t>Masters 40-49 (17.09.1974)/41</t>
  </si>
  <si>
    <t>74,35</t>
  </si>
  <si>
    <t>67,5</t>
  </si>
  <si>
    <t>Повторы</t>
  </si>
  <si>
    <t>Вес</t>
  </si>
  <si>
    <t>Gloss</t>
  </si>
  <si>
    <t>1955,0</t>
  </si>
  <si>
    <t>1800,0</t>
  </si>
  <si>
    <t>Masters 50-59 (10.05.1960)/55</t>
  </si>
  <si>
    <t>Мишутин Валерий</t>
  </si>
  <si>
    <t>37,5</t>
  </si>
  <si>
    <t>65,0</t>
  </si>
  <si>
    <t>52,5</t>
  </si>
  <si>
    <t>Open (05.09.1966)/49</t>
  </si>
  <si>
    <t>Подъем на бицес</t>
  </si>
  <si>
    <t>Армейский жим</t>
  </si>
  <si>
    <t>132.50</t>
  </si>
  <si>
    <t>57,5</t>
  </si>
  <si>
    <t>Винокуров Олег</t>
  </si>
  <si>
    <t>Трухтанов Павел</t>
  </si>
  <si>
    <t>205,0</t>
  </si>
  <si>
    <t>96,45</t>
  </si>
  <si>
    <t>Open (30.10.1976)/39</t>
  </si>
  <si>
    <t>Masters 40-49 (10.05.1966)/49</t>
  </si>
  <si>
    <t>Яковлев Максим</t>
  </si>
  <si>
    <t xml:space="preserve">Пензенская </t>
  </si>
  <si>
    <t>80,15</t>
  </si>
  <si>
    <t>Open (17.06.1982)/33</t>
  </si>
  <si>
    <t>Место</t>
  </si>
  <si>
    <t>Весовая категория               Дата рождения/возраст</t>
  </si>
  <si>
    <t>Собств. вес</t>
  </si>
  <si>
    <t>Город/ область</t>
  </si>
  <si>
    <t>Результат</t>
  </si>
  <si>
    <t>1</t>
  </si>
  <si>
    <t>Кучер С.</t>
  </si>
  <si>
    <t>85,8</t>
  </si>
  <si>
    <t>87,7</t>
  </si>
  <si>
    <t>83,2</t>
  </si>
  <si>
    <t>73,6</t>
  </si>
  <si>
    <t>24</t>
  </si>
  <si>
    <t>23</t>
  </si>
  <si>
    <t>Садчиков А.</t>
  </si>
  <si>
    <t>Тоннаж</t>
  </si>
  <si>
    <t>66,0</t>
  </si>
  <si>
    <t>72,7</t>
  </si>
  <si>
    <t>79,8</t>
  </si>
  <si>
    <t>81,1</t>
  </si>
  <si>
    <t>96,0</t>
  </si>
  <si>
    <t>93,1</t>
  </si>
  <si>
    <t>99,6</t>
  </si>
  <si>
    <t>98,1</t>
  </si>
  <si>
    <t>109,9</t>
  </si>
  <si>
    <t>41</t>
  </si>
  <si>
    <t>34</t>
  </si>
  <si>
    <t>22</t>
  </si>
  <si>
    <t>29</t>
  </si>
  <si>
    <t>27</t>
  </si>
  <si>
    <t>33</t>
  </si>
  <si>
    <t>30</t>
  </si>
  <si>
    <t>26</t>
  </si>
  <si>
    <t>19</t>
  </si>
  <si>
    <t>25</t>
  </si>
  <si>
    <t>28</t>
  </si>
  <si>
    <t>Рогожников К.</t>
  </si>
  <si>
    <t xml:space="preserve">Рогожников К. </t>
  </si>
  <si>
    <t xml:space="preserve">67,5 </t>
  </si>
  <si>
    <t xml:space="preserve">82,5 </t>
  </si>
  <si>
    <t xml:space="preserve">100,0 </t>
  </si>
  <si>
    <t>109,0</t>
  </si>
  <si>
    <t>96,9</t>
  </si>
  <si>
    <t>98,0</t>
  </si>
  <si>
    <t xml:space="preserve">Митрошин Дмитрий </t>
  </si>
  <si>
    <t xml:space="preserve">Мавринский Александр </t>
  </si>
  <si>
    <t xml:space="preserve">Тетюшкин Сергей </t>
  </si>
  <si>
    <t xml:space="preserve">Шереметьев Даниил </t>
  </si>
  <si>
    <t>87,0</t>
  </si>
  <si>
    <t>97,9</t>
  </si>
  <si>
    <t>121,5</t>
  </si>
  <si>
    <t>135,9</t>
  </si>
  <si>
    <t>Максимкин Д.</t>
  </si>
  <si>
    <t xml:space="preserve">Гордеев Б. </t>
  </si>
  <si>
    <t>54,0</t>
  </si>
  <si>
    <t>79,5</t>
  </si>
  <si>
    <t xml:space="preserve">Дешина Наталья </t>
  </si>
  <si>
    <t xml:space="preserve">Альчанов Олег </t>
  </si>
  <si>
    <t xml:space="preserve">Абросимов Виктор </t>
  </si>
  <si>
    <t>81,7</t>
  </si>
  <si>
    <t>81,5</t>
  </si>
  <si>
    <t>Кучин И.</t>
  </si>
  <si>
    <t xml:space="preserve">Мялькин . </t>
  </si>
  <si>
    <t>Александр Ли</t>
  </si>
  <si>
    <t xml:space="preserve">Рыженков Владимир </t>
  </si>
  <si>
    <t xml:space="preserve">Кологоров Владислав </t>
  </si>
  <si>
    <t xml:space="preserve">Шалин Кирилл </t>
  </si>
  <si>
    <t xml:space="preserve">Софин Николай </t>
  </si>
  <si>
    <t xml:space="preserve">Кутуков Алексей </t>
  </si>
  <si>
    <t xml:space="preserve">Шишин Константин </t>
  </si>
  <si>
    <t>73,0</t>
  </si>
  <si>
    <t>88,0</t>
  </si>
  <si>
    <t>87,2</t>
  </si>
  <si>
    <t>93,8</t>
  </si>
  <si>
    <t>91,0</t>
  </si>
  <si>
    <t>114,0</t>
  </si>
  <si>
    <t>0</t>
  </si>
  <si>
    <t>Самостоятельно</t>
  </si>
  <si>
    <t>Прокопьев А.</t>
  </si>
  <si>
    <t>Антипов В.</t>
  </si>
  <si>
    <t>Чемпионат Содружества Независимых государств IPL                                                                Жим лежа в многослойной экипировке
г. Тольятти, 30 апреля 2016 г.</t>
  </si>
  <si>
    <t xml:space="preserve">Кобелев В. </t>
  </si>
  <si>
    <t>96,1</t>
  </si>
  <si>
    <t xml:space="preserve">Финк Владислав </t>
  </si>
  <si>
    <t xml:space="preserve">Морозов Роман </t>
  </si>
  <si>
    <t xml:space="preserve">Чернигов Владимир </t>
  </si>
  <si>
    <t xml:space="preserve">Чавкин Руслан </t>
  </si>
  <si>
    <t xml:space="preserve">Трошинский Вячеслав </t>
  </si>
  <si>
    <t>61,6</t>
  </si>
  <si>
    <t>94,5</t>
  </si>
  <si>
    <t xml:space="preserve">Вуколова Т. </t>
  </si>
  <si>
    <t>Мартынов М.</t>
  </si>
  <si>
    <t>Мамедов Э.</t>
  </si>
  <si>
    <t xml:space="preserve">Еремина Ирина </t>
  </si>
  <si>
    <t xml:space="preserve">Сибалакова Екатерина </t>
  </si>
  <si>
    <t xml:space="preserve">Кучин Игорь </t>
  </si>
  <si>
    <t xml:space="preserve">Чугуров Сергей </t>
  </si>
  <si>
    <t xml:space="preserve">Гугняков Александр </t>
  </si>
  <si>
    <t xml:space="preserve">Тянькин Роман </t>
  </si>
  <si>
    <t xml:space="preserve">Майоров Дмитрий </t>
  </si>
  <si>
    <t xml:space="preserve">Поляков Владислав </t>
  </si>
  <si>
    <t xml:space="preserve">Мамедов Дилавар </t>
  </si>
  <si>
    <t xml:space="preserve">Бажутов Дмитрий </t>
  </si>
  <si>
    <t xml:space="preserve">Стенин Василий </t>
  </si>
  <si>
    <t xml:space="preserve">Вовченко Дмитрий </t>
  </si>
  <si>
    <t xml:space="preserve">Утенков Николай </t>
  </si>
  <si>
    <t xml:space="preserve">Сафронов Олег </t>
  </si>
  <si>
    <t xml:space="preserve">Сибалаков В. </t>
  </si>
  <si>
    <t>Липатов Д.</t>
  </si>
  <si>
    <t xml:space="preserve">Константинов В. </t>
  </si>
  <si>
    <t>2</t>
  </si>
  <si>
    <t>3</t>
  </si>
  <si>
    <t xml:space="preserve">125,0 </t>
  </si>
  <si>
    <t xml:space="preserve">75,0 </t>
  </si>
  <si>
    <t xml:space="preserve">110,0 </t>
  </si>
  <si>
    <t xml:space="preserve">Чемпионат Содружества Независимых государств IPL                                                                       Жим лежа без экипировки
г. Тольятти, 30 апреля 2016 г. </t>
  </si>
  <si>
    <t xml:space="preserve">село Тоцкое Второе/Оренбургская область </t>
  </si>
  <si>
    <t xml:space="preserve">Москва/Московская область </t>
  </si>
  <si>
    <t>73,9</t>
  </si>
  <si>
    <t>74,4</t>
  </si>
  <si>
    <t>88,9</t>
  </si>
  <si>
    <t>89,0</t>
  </si>
  <si>
    <t>99,3</t>
  </si>
  <si>
    <t>98,5</t>
  </si>
  <si>
    <t>99,8</t>
  </si>
  <si>
    <t>103,1</t>
  </si>
  <si>
    <t>101,7</t>
  </si>
  <si>
    <t>108,0</t>
  </si>
  <si>
    <t>106,0</t>
  </si>
  <si>
    <t>115,6</t>
  </si>
  <si>
    <t>133,0</t>
  </si>
  <si>
    <t>Чемпионат Содружества Независимых государств IPL                                                                             Пауэрлифтинг в бинтах ДК
г. Тольятти, 30 апреля 2016 г.</t>
  </si>
  <si>
    <t>Чемпионат Содружества Независимых государств IPL                                                                                    Пауэрлифтинг в бинтах
г. Тольятти, 30 апреля 2016 г.</t>
  </si>
  <si>
    <t>Чемпионат Содружества Независимых государств IPL                                                                                                   Пауэрлифтинг без экипировки ДК
г. Тольятти, 30 апреля 2016 г.</t>
  </si>
  <si>
    <t>Чемпионат Содружества Независимых государств IPL                                                                                                     Пауэрлифтинг без экипировки 
г. Тольятти, 30 апреля 2016 г.</t>
  </si>
  <si>
    <t>Чемпионат Содружества Независимых государств IPL                                                                                           Пауэрлифтинг в однослойной экипировке
г. Тольятти 30 апреля 2016 г.</t>
  </si>
  <si>
    <t>Чемпионат Содружества Независимых государств                                                                               Жим лежа SOFT экипировка
г. Тольятти, 30 апреля 2016 г.</t>
  </si>
  <si>
    <t>Чемпионат Содружества Независимых государств                                                                            Жим лежа SOFT экипировка ДК
г. Тольятти, 30 апреля 2016 г.</t>
  </si>
  <si>
    <t>Чемпионат Содружества Независимых государств IPL                                                                       Присед без экипировки
г. Тольятти, 30 апреля 2016 г.</t>
  </si>
  <si>
    <t xml:space="preserve"> </t>
  </si>
  <si>
    <t>Чемпионат Содружества Независимых государств IPL                                                                      Становая тяга в экипировке
г. Тольятти, 30 апреля 2016 г.</t>
  </si>
  <si>
    <t>Чемпионат Содружества Независимых государств IPL                                                             Становая тяга без экипировки ДК
г. Тольятти, 30 апреля 2016 г.</t>
  </si>
  <si>
    <t>Чемпионат Содружества Независимых государств IPL                                                                 Становая тяга без экипировки 
г. Тольятти, 30 апреля 2016 г.</t>
  </si>
  <si>
    <t>Чемпионат Содружества Независимых государств IPL                                                                Жим лежа в однослойной экипировке ДК
г. Тольятти, 30 апреля 2016 г.</t>
  </si>
  <si>
    <t>Чемпионат Содружества Независимых государств IPL                                                                Жим лежа в однослойной экипировке
г. Тольятти, 30 апреля 2016 г.</t>
  </si>
  <si>
    <t>Чемпионат Содружества Независимых государств IPL                                                                      Жим лежа без экипировки ДК
г. Тольятти, 30 апреля 2016 г.</t>
  </si>
  <si>
    <t>Чемпионат Содружества Независимых государств СПР                                                      Народный жим (1 вес) ДК
г. Тольятти, 30 апреля 2016 г.</t>
  </si>
  <si>
    <t>Чемпионат Содружества Независимых государств СПР                                                                Народный жим (1 вес) ДК
г. Тольятти, 30 апреля 2016 г.</t>
  </si>
  <si>
    <t>Чемпионат Содружества Независимых государств СПР                                                                             Пауэрспорт ДК
г. Тольятти, 30 апреля 2016 г.</t>
  </si>
  <si>
    <t>Чемпионат Содружества Независимых государств СПР                                                                              Пауэрспорт
г. Тольятти, 30 апреля 2016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</si>
</sst>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trike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trike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trike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5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 horizontal="left" indent="1"/>
    </xf>
    <xf numFmtId="49" fontId="8" fillId="0" borderId="0" xfId="0" applyNumberFormat="1" applyFont="1" applyAlignment="1">
      <alignment horizontal="left" indent="1"/>
    </xf>
    <xf numFmtId="49" fontId="8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45" fillId="0" borderId="1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45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45" fillId="0" borderId="14" xfId="0" applyNumberFormat="1" applyFont="1" applyBorder="1" applyAlignment="1">
      <alignment horizontal="center"/>
    </xf>
    <xf numFmtId="49" fontId="45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0" fillId="34" borderId="0" xfId="0" applyNumberFormat="1" applyFill="1" applyAlignment="1">
      <alignment/>
    </xf>
    <xf numFmtId="49" fontId="45" fillId="0" borderId="13" xfId="0" applyNumberFormat="1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 indent="1"/>
    </xf>
    <xf numFmtId="49" fontId="4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45" fillId="0" borderId="13" xfId="0" applyNumberFormat="1" applyFont="1" applyFill="1" applyBorder="1" applyAlignment="1">
      <alignment horizontal="center"/>
    </xf>
    <xf numFmtId="49" fontId="45" fillId="0" borderId="12" xfId="0" applyNumberFormat="1" applyFont="1" applyFill="1" applyBorder="1" applyAlignment="1">
      <alignment horizontal="center"/>
    </xf>
    <xf numFmtId="49" fontId="45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172" fontId="3" fillId="0" borderId="17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workbookViewId="0" topLeftCell="A3">
      <selection activeCell="C36" sqref="C36"/>
    </sheetView>
  </sheetViews>
  <sheetFormatPr defaultColWidth="8.75390625" defaultRowHeight="12.75"/>
  <cols>
    <col min="1" max="1" width="7.625" style="0" customWidth="1"/>
    <col min="2" max="2" width="21.375" style="15" customWidth="1"/>
    <col min="3" max="3" width="26.875" style="15" bestFit="1" customWidth="1"/>
    <col min="4" max="4" width="8.875" style="15" customWidth="1"/>
    <col min="5" max="5" width="8.375" style="15" bestFit="1" customWidth="1"/>
    <col min="6" max="6" width="13.875" style="15" customWidth="1"/>
    <col min="7" max="7" width="26.875" style="15" bestFit="1" customWidth="1"/>
    <col min="8" max="14" width="4.625" style="15" bestFit="1" customWidth="1"/>
    <col min="15" max="15" width="5.25390625" style="15" customWidth="1"/>
    <col min="16" max="16" width="7.875" style="15" bestFit="1" customWidth="1"/>
    <col min="17" max="17" width="7.625" style="15" bestFit="1" customWidth="1"/>
    <col min="18" max="18" width="15.375" style="15" bestFit="1" customWidth="1"/>
  </cols>
  <sheetData>
    <row r="1" spans="2:18" s="1" customFormat="1" ht="15" customHeight="1">
      <c r="B1" s="83" t="s">
        <v>433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5"/>
    </row>
    <row r="2" spans="2:18" s="1" customFormat="1" ht="90" customHeight="1" thickBot="1"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8"/>
    </row>
    <row r="3" spans="1:18" s="2" customFormat="1" ht="12.75" customHeight="1">
      <c r="A3" s="75" t="s">
        <v>286</v>
      </c>
      <c r="B3" s="89" t="s">
        <v>0</v>
      </c>
      <c r="C3" s="91" t="s">
        <v>287</v>
      </c>
      <c r="D3" s="91" t="s">
        <v>288</v>
      </c>
      <c r="E3" s="93" t="s">
        <v>263</v>
      </c>
      <c r="F3" s="93" t="s">
        <v>7</v>
      </c>
      <c r="G3" s="94" t="s">
        <v>289</v>
      </c>
      <c r="H3" s="77" t="s">
        <v>273</v>
      </c>
      <c r="I3" s="77"/>
      <c r="J3" s="77"/>
      <c r="K3" s="77"/>
      <c r="L3" s="77" t="s">
        <v>272</v>
      </c>
      <c r="M3" s="77"/>
      <c r="N3" s="77"/>
      <c r="O3" s="77"/>
      <c r="P3" s="77" t="s">
        <v>4</v>
      </c>
      <c r="Q3" s="77" t="s">
        <v>6</v>
      </c>
      <c r="R3" s="79" t="s">
        <v>5</v>
      </c>
    </row>
    <row r="4" spans="1:18" s="2" customFormat="1" ht="21" customHeight="1" thickBot="1">
      <c r="A4" s="76"/>
      <c r="B4" s="90"/>
      <c r="C4" s="92"/>
      <c r="D4" s="92"/>
      <c r="E4" s="92"/>
      <c r="F4" s="92"/>
      <c r="G4" s="95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78"/>
      <c r="Q4" s="78"/>
      <c r="R4" s="80"/>
    </row>
    <row r="5" spans="2:17" ht="15.75">
      <c r="B5" s="81" t="s">
        <v>56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8" ht="12.75">
      <c r="A6" s="37">
        <v>1</v>
      </c>
      <c r="B6" s="17" t="s">
        <v>267</v>
      </c>
      <c r="C6" s="17" t="s">
        <v>271</v>
      </c>
      <c r="D6" s="17" t="s">
        <v>294</v>
      </c>
      <c r="E6" s="17" t="str">
        <f>"0,6209"</f>
        <v>0,6209</v>
      </c>
      <c r="F6" s="17" t="s">
        <v>13</v>
      </c>
      <c r="G6" s="17" t="s">
        <v>14</v>
      </c>
      <c r="H6" s="42" t="s">
        <v>182</v>
      </c>
      <c r="I6" s="42" t="s">
        <v>183</v>
      </c>
      <c r="J6" s="42" t="s">
        <v>199</v>
      </c>
      <c r="K6" s="39"/>
      <c r="L6" s="45" t="s">
        <v>200</v>
      </c>
      <c r="M6" s="45" t="s">
        <v>270</v>
      </c>
      <c r="N6" s="42" t="s">
        <v>270</v>
      </c>
      <c r="O6" s="39"/>
      <c r="P6" s="38">
        <v>137.5</v>
      </c>
      <c r="Q6" s="38" t="str">
        <f>"85,3737"</f>
        <v>85,3737</v>
      </c>
      <c r="R6" s="17" t="s">
        <v>35</v>
      </c>
    </row>
    <row r="7" spans="1:18" ht="12.75">
      <c r="A7" s="37">
        <v>1</v>
      </c>
      <c r="B7" s="19" t="s">
        <v>140</v>
      </c>
      <c r="C7" s="19" t="s">
        <v>266</v>
      </c>
      <c r="D7" s="19" t="s">
        <v>295</v>
      </c>
      <c r="E7" s="19" t="str">
        <f>"0,6411"</f>
        <v>0,6411</v>
      </c>
      <c r="F7" s="19" t="s">
        <v>13</v>
      </c>
      <c r="G7" s="19" t="s">
        <v>39</v>
      </c>
      <c r="H7" s="43" t="s">
        <v>16</v>
      </c>
      <c r="I7" s="43" t="s">
        <v>212</v>
      </c>
      <c r="J7" s="44" t="s">
        <v>269</v>
      </c>
      <c r="K7" s="41"/>
      <c r="L7" s="43" t="s">
        <v>268</v>
      </c>
      <c r="M7" s="43" t="s">
        <v>16</v>
      </c>
      <c r="N7" s="43" t="s">
        <v>200</v>
      </c>
      <c r="O7" s="41"/>
      <c r="P7" s="40" t="s">
        <v>205</v>
      </c>
      <c r="Q7" s="40" t="str">
        <f>"82,4615"</f>
        <v>82,4615</v>
      </c>
      <c r="R7" s="19" t="s">
        <v>35</v>
      </c>
    </row>
  </sheetData>
  <sheetProtection/>
  <mergeCells count="14">
    <mergeCell ref="F3:F4"/>
    <mergeCell ref="G3:G4"/>
    <mergeCell ref="L3:O3"/>
    <mergeCell ref="H3:K3"/>
    <mergeCell ref="P3:P4"/>
    <mergeCell ref="Q3:Q4"/>
    <mergeCell ref="R3:R4"/>
    <mergeCell ref="A3:A4"/>
    <mergeCell ref="B5:Q5"/>
    <mergeCell ref="B1:R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L24" sqref="L24:L25"/>
    </sheetView>
  </sheetViews>
  <sheetFormatPr defaultColWidth="8.75390625" defaultRowHeight="12.75"/>
  <cols>
    <col min="1" max="1" width="8.75390625" style="0" customWidth="1"/>
    <col min="2" max="2" width="21.75390625" style="15" customWidth="1"/>
    <col min="3" max="3" width="26.625" style="15" customWidth="1"/>
    <col min="4" max="4" width="8.75390625" style="15" customWidth="1"/>
    <col min="5" max="5" width="8.375" style="15" bestFit="1" customWidth="1"/>
    <col min="6" max="6" width="13.25390625" style="15" customWidth="1"/>
    <col min="7" max="7" width="26.875" style="15" bestFit="1" customWidth="1"/>
    <col min="8" max="10" width="5.625" style="15" bestFit="1" customWidth="1"/>
    <col min="11" max="11" width="4.625" style="15" bestFit="1" customWidth="1"/>
    <col min="12" max="12" width="11.125" style="15" customWidth="1"/>
    <col min="13" max="13" width="8.625" style="15" bestFit="1" customWidth="1"/>
    <col min="14" max="14" width="16.00390625" style="15" bestFit="1" customWidth="1"/>
  </cols>
  <sheetData>
    <row r="1" spans="2:14" s="1" customFormat="1" ht="15" customHeight="1">
      <c r="B1" s="83" t="s">
        <v>365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5"/>
    </row>
    <row r="2" spans="2:14" s="1" customFormat="1" ht="86.25" customHeight="1" thickBot="1"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</row>
    <row r="3" spans="1:14" s="2" customFormat="1" ht="12.75" customHeight="1">
      <c r="A3" s="75" t="s">
        <v>286</v>
      </c>
      <c r="B3" s="89" t="s">
        <v>0</v>
      </c>
      <c r="C3" s="91" t="s">
        <v>287</v>
      </c>
      <c r="D3" s="91" t="s">
        <v>288</v>
      </c>
      <c r="E3" s="77" t="s">
        <v>9</v>
      </c>
      <c r="F3" s="93" t="s">
        <v>7</v>
      </c>
      <c r="G3" s="94" t="s">
        <v>289</v>
      </c>
      <c r="H3" s="77" t="s">
        <v>2</v>
      </c>
      <c r="I3" s="77"/>
      <c r="J3" s="77"/>
      <c r="K3" s="77"/>
      <c r="L3" s="77" t="s">
        <v>290</v>
      </c>
      <c r="M3" s="77" t="s">
        <v>6</v>
      </c>
      <c r="N3" s="79" t="s">
        <v>5</v>
      </c>
    </row>
    <row r="4" spans="1:14" s="2" customFormat="1" ht="21" customHeight="1" thickBot="1">
      <c r="A4" s="76"/>
      <c r="B4" s="90"/>
      <c r="C4" s="92"/>
      <c r="D4" s="92"/>
      <c r="E4" s="78"/>
      <c r="F4" s="92"/>
      <c r="G4" s="95"/>
      <c r="H4" s="3">
        <v>1</v>
      </c>
      <c r="I4" s="3">
        <v>2</v>
      </c>
      <c r="J4" s="3">
        <v>3</v>
      </c>
      <c r="K4" s="3" t="s">
        <v>8</v>
      </c>
      <c r="L4" s="78"/>
      <c r="M4" s="78"/>
      <c r="N4" s="80"/>
    </row>
    <row r="5" spans="2:13" ht="15.75">
      <c r="B5" s="81" t="s">
        <v>56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4" ht="12.75">
      <c r="A6" s="37">
        <v>1</v>
      </c>
      <c r="B6" s="17" t="s">
        <v>156</v>
      </c>
      <c r="C6" s="17" t="s">
        <v>157</v>
      </c>
      <c r="D6" s="17" t="s">
        <v>199</v>
      </c>
      <c r="E6" s="17" t="str">
        <f>"0,6583"</f>
        <v>0,6583</v>
      </c>
      <c r="F6" s="17" t="s">
        <v>13</v>
      </c>
      <c r="G6" s="17" t="s">
        <v>32</v>
      </c>
      <c r="H6" s="42" t="s">
        <v>158</v>
      </c>
      <c r="I6" s="42" t="s">
        <v>159</v>
      </c>
      <c r="J6" s="45" t="s">
        <v>98</v>
      </c>
      <c r="K6" s="39"/>
      <c r="L6" s="38" t="s">
        <v>159</v>
      </c>
      <c r="M6" s="38" t="str">
        <f>"138,2430"</f>
        <v>138,2430</v>
      </c>
      <c r="N6" s="17" t="s">
        <v>35</v>
      </c>
    </row>
    <row r="7" spans="2:14" ht="12.75">
      <c r="B7" s="19" t="s">
        <v>160</v>
      </c>
      <c r="C7" s="19" t="s">
        <v>161</v>
      </c>
      <c r="D7" s="19" t="s">
        <v>356</v>
      </c>
      <c r="E7" s="19" t="str">
        <f>"0,6459"</f>
        <v>0,6459</v>
      </c>
      <c r="F7" s="19" t="s">
        <v>52</v>
      </c>
      <c r="G7" s="19" t="s">
        <v>14</v>
      </c>
      <c r="H7" s="44" t="s">
        <v>162</v>
      </c>
      <c r="I7" s="44" t="s">
        <v>162</v>
      </c>
      <c r="J7" s="44" t="s">
        <v>162</v>
      </c>
      <c r="K7" s="41"/>
      <c r="L7" s="40">
        <v>0</v>
      </c>
      <c r="M7" s="40" t="s">
        <v>361</v>
      </c>
      <c r="N7" s="19" t="s">
        <v>321</v>
      </c>
    </row>
  </sheetData>
  <sheetProtection/>
  <mergeCells count="13">
    <mergeCell ref="M3:M4"/>
    <mergeCell ref="N3:N4"/>
    <mergeCell ref="B5:M5"/>
    <mergeCell ref="A3:A4"/>
    <mergeCell ref="B1:N2"/>
    <mergeCell ref="B3:B4"/>
    <mergeCell ref="C3:C4"/>
    <mergeCell ref="D3:D4"/>
    <mergeCell ref="E3:E4"/>
    <mergeCell ref="F3:F4"/>
    <mergeCell ref="G3:G4"/>
    <mergeCell ref="H3:K3"/>
    <mergeCell ref="L3:L4"/>
  </mergeCells>
  <printOptions/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G33" sqref="G33"/>
    </sheetView>
  </sheetViews>
  <sheetFormatPr defaultColWidth="8.75390625" defaultRowHeight="12.75"/>
  <cols>
    <col min="1" max="1" width="8.75390625" style="0" customWidth="1"/>
    <col min="2" max="2" width="19.375" style="15" customWidth="1"/>
    <col min="3" max="3" width="28.375" style="15" customWidth="1"/>
    <col min="4" max="4" width="8.75390625" style="15" customWidth="1"/>
    <col min="5" max="5" width="6.625" style="15" bestFit="1" customWidth="1"/>
    <col min="6" max="6" width="22.75390625" style="15" bestFit="1" customWidth="1"/>
    <col min="7" max="7" width="27.875" style="15" bestFit="1" customWidth="1"/>
    <col min="8" max="10" width="5.625" style="15" bestFit="1" customWidth="1"/>
    <col min="11" max="11" width="4.625" style="15" bestFit="1" customWidth="1"/>
    <col min="12" max="12" width="11.875" style="15" customWidth="1"/>
    <col min="13" max="13" width="6.625" style="15" bestFit="1" customWidth="1"/>
    <col min="14" max="14" width="13.125" style="15" bestFit="1" customWidth="1"/>
  </cols>
  <sheetData>
    <row r="1" spans="2:14" s="1" customFormat="1" ht="15" customHeight="1">
      <c r="B1" s="83" t="s">
        <v>428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5"/>
    </row>
    <row r="2" spans="2:14" s="1" customFormat="1" ht="92.25" customHeight="1" thickBot="1"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</row>
    <row r="3" spans="1:14" s="2" customFormat="1" ht="12.75" customHeight="1">
      <c r="A3" s="75" t="s">
        <v>286</v>
      </c>
      <c r="B3" s="89" t="s">
        <v>0</v>
      </c>
      <c r="C3" s="91" t="s">
        <v>287</v>
      </c>
      <c r="D3" s="91" t="s">
        <v>288</v>
      </c>
      <c r="E3" s="77" t="s">
        <v>9</v>
      </c>
      <c r="F3" s="93" t="s">
        <v>7</v>
      </c>
      <c r="G3" s="94" t="s">
        <v>289</v>
      </c>
      <c r="H3" s="77" t="s">
        <v>2</v>
      </c>
      <c r="I3" s="77"/>
      <c r="J3" s="77"/>
      <c r="K3" s="77"/>
      <c r="L3" s="77" t="s">
        <v>290</v>
      </c>
      <c r="M3" s="77" t="s">
        <v>6</v>
      </c>
      <c r="N3" s="79" t="s">
        <v>5</v>
      </c>
    </row>
    <row r="4" spans="1:14" s="2" customFormat="1" ht="21" customHeight="1" thickBot="1">
      <c r="A4" s="76"/>
      <c r="B4" s="90"/>
      <c r="C4" s="92"/>
      <c r="D4" s="92"/>
      <c r="E4" s="78"/>
      <c r="F4" s="92"/>
      <c r="G4" s="95"/>
      <c r="H4" s="3">
        <v>1</v>
      </c>
      <c r="I4" s="3">
        <v>2</v>
      </c>
      <c r="J4" s="3">
        <v>3</v>
      </c>
      <c r="K4" s="3" t="s">
        <v>8</v>
      </c>
      <c r="L4" s="78"/>
      <c r="M4" s="78"/>
      <c r="N4" s="80"/>
    </row>
    <row r="5" spans="2:13" ht="15.75">
      <c r="B5" s="81" t="s">
        <v>56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2:14" ht="12.75">
      <c r="B6" s="16" t="s">
        <v>152</v>
      </c>
      <c r="C6" s="16" t="s">
        <v>153</v>
      </c>
      <c r="D6" s="16" t="s">
        <v>19</v>
      </c>
      <c r="E6" s="16" t="str">
        <f>"0,6384"</f>
        <v>0,6384</v>
      </c>
      <c r="F6" s="16" t="s">
        <v>154</v>
      </c>
      <c r="G6" s="16" t="s">
        <v>155</v>
      </c>
      <c r="H6" s="36" t="s">
        <v>77</v>
      </c>
      <c r="I6" s="36" t="s">
        <v>77</v>
      </c>
      <c r="J6" s="36" t="s">
        <v>77</v>
      </c>
      <c r="K6" s="34"/>
      <c r="L6" s="35">
        <v>0</v>
      </c>
      <c r="M6" s="35" t="s">
        <v>361</v>
      </c>
      <c r="N6" s="16" t="s">
        <v>366</v>
      </c>
    </row>
  </sheetData>
  <sheetProtection/>
  <mergeCells count="13">
    <mergeCell ref="M3:M4"/>
    <mergeCell ref="N3:N4"/>
    <mergeCell ref="B5:M5"/>
    <mergeCell ref="A3:A4"/>
    <mergeCell ref="B1:N2"/>
    <mergeCell ref="B3:B4"/>
    <mergeCell ref="C3:C4"/>
    <mergeCell ref="D3:D4"/>
    <mergeCell ref="E3:E4"/>
    <mergeCell ref="F3:F4"/>
    <mergeCell ref="G3:G4"/>
    <mergeCell ref="H3:K3"/>
    <mergeCell ref="L3:L4"/>
  </mergeCells>
  <printOptions/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G29" sqref="G29"/>
    </sheetView>
  </sheetViews>
  <sheetFormatPr defaultColWidth="8.75390625" defaultRowHeight="12.75"/>
  <cols>
    <col min="1" max="1" width="8.75390625" style="0" customWidth="1"/>
    <col min="2" max="2" width="17.375" style="15" customWidth="1"/>
    <col min="3" max="3" width="27.125" style="15" customWidth="1"/>
    <col min="4" max="4" width="10.625" style="15" bestFit="1" customWidth="1"/>
    <col min="5" max="5" width="8.375" style="15" bestFit="1" customWidth="1"/>
    <col min="6" max="6" width="12.375" style="15" customWidth="1"/>
    <col min="7" max="7" width="26.875" style="15" bestFit="1" customWidth="1"/>
    <col min="8" max="10" width="5.625" style="15" bestFit="1" customWidth="1"/>
    <col min="11" max="11" width="4.625" style="15" bestFit="1" customWidth="1"/>
    <col min="12" max="12" width="11.75390625" style="15" customWidth="1"/>
    <col min="13" max="13" width="8.625" style="15" bestFit="1" customWidth="1"/>
    <col min="14" max="14" width="15.375" style="15" bestFit="1" customWidth="1"/>
  </cols>
  <sheetData>
    <row r="1" spans="2:14" s="1" customFormat="1" ht="15" customHeight="1">
      <c r="B1" s="83" t="s">
        <v>429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5"/>
    </row>
    <row r="2" spans="2:14" s="1" customFormat="1" ht="90" customHeight="1" thickBot="1"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</row>
    <row r="3" spans="1:14" s="2" customFormat="1" ht="12.75" customHeight="1">
      <c r="A3" s="75" t="s">
        <v>286</v>
      </c>
      <c r="B3" s="89" t="s">
        <v>0</v>
      </c>
      <c r="C3" s="91" t="s">
        <v>287</v>
      </c>
      <c r="D3" s="91" t="s">
        <v>288</v>
      </c>
      <c r="E3" s="77" t="s">
        <v>9</v>
      </c>
      <c r="F3" s="93" t="s">
        <v>7</v>
      </c>
      <c r="G3" s="94" t="s">
        <v>289</v>
      </c>
      <c r="H3" s="77" t="s">
        <v>2</v>
      </c>
      <c r="I3" s="77"/>
      <c r="J3" s="77"/>
      <c r="K3" s="77"/>
      <c r="L3" s="77" t="s">
        <v>290</v>
      </c>
      <c r="M3" s="77" t="s">
        <v>6</v>
      </c>
      <c r="N3" s="79" t="s">
        <v>5</v>
      </c>
    </row>
    <row r="4" spans="1:14" s="2" customFormat="1" ht="21" customHeight="1" thickBot="1">
      <c r="A4" s="76"/>
      <c r="B4" s="90"/>
      <c r="C4" s="92"/>
      <c r="D4" s="92"/>
      <c r="E4" s="78"/>
      <c r="F4" s="92"/>
      <c r="G4" s="95"/>
      <c r="H4" s="3">
        <v>1</v>
      </c>
      <c r="I4" s="3">
        <v>2</v>
      </c>
      <c r="J4" s="3">
        <v>3</v>
      </c>
      <c r="K4" s="3" t="s">
        <v>8</v>
      </c>
      <c r="L4" s="78"/>
      <c r="M4" s="78"/>
      <c r="N4" s="80"/>
    </row>
    <row r="5" spans="2:13" ht="15.75">
      <c r="B5" s="81" t="s">
        <v>60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4" ht="12.75">
      <c r="A6" s="37">
        <v>1</v>
      </c>
      <c r="B6" s="16" t="s">
        <v>368</v>
      </c>
      <c r="C6" s="16" t="s">
        <v>145</v>
      </c>
      <c r="D6" s="16" t="s">
        <v>367</v>
      </c>
      <c r="E6" s="16" t="str">
        <f>"0,6188"</f>
        <v>0,6188</v>
      </c>
      <c r="F6" s="16" t="s">
        <v>13</v>
      </c>
      <c r="G6" s="16" t="s">
        <v>14</v>
      </c>
      <c r="H6" s="31" t="s">
        <v>146</v>
      </c>
      <c r="I6" s="31" t="s">
        <v>98</v>
      </c>
      <c r="J6" s="36" t="s">
        <v>99</v>
      </c>
      <c r="K6" s="34"/>
      <c r="L6" s="35" t="s">
        <v>98</v>
      </c>
      <c r="M6" s="35" t="str">
        <f>"136,1360"</f>
        <v>136,1360</v>
      </c>
      <c r="N6" s="16" t="s">
        <v>35</v>
      </c>
    </row>
  </sheetData>
  <sheetProtection/>
  <mergeCells count="13">
    <mergeCell ref="M3:M4"/>
    <mergeCell ref="N3:N4"/>
    <mergeCell ref="B5:M5"/>
    <mergeCell ref="A3:A4"/>
    <mergeCell ref="B1:N2"/>
    <mergeCell ref="B3:B4"/>
    <mergeCell ref="C3:C4"/>
    <mergeCell ref="D3:D4"/>
    <mergeCell ref="E3:E4"/>
    <mergeCell ref="F3:F4"/>
    <mergeCell ref="G3:G4"/>
    <mergeCell ref="H3:K3"/>
    <mergeCell ref="L3:L4"/>
  </mergeCells>
  <printOptions/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G38" sqref="G38"/>
    </sheetView>
  </sheetViews>
  <sheetFormatPr defaultColWidth="8.75390625" defaultRowHeight="12.75"/>
  <cols>
    <col min="1" max="1" width="9.125" style="37" customWidth="1"/>
    <col min="2" max="2" width="20.25390625" style="15" customWidth="1"/>
    <col min="3" max="3" width="27.125" style="15" bestFit="1" customWidth="1"/>
    <col min="4" max="4" width="10.625" style="15" bestFit="1" customWidth="1"/>
    <col min="5" max="5" width="8.375" style="15" bestFit="1" customWidth="1"/>
    <col min="6" max="6" width="11.875" style="15" customWidth="1"/>
    <col min="7" max="7" width="26.875" style="15" bestFit="1" customWidth="1"/>
    <col min="8" max="10" width="5.625" style="15" bestFit="1" customWidth="1"/>
    <col min="11" max="11" width="4.625" style="15" bestFit="1" customWidth="1"/>
    <col min="12" max="12" width="11.625" style="15" customWidth="1"/>
    <col min="13" max="13" width="8.625" style="15" bestFit="1" customWidth="1"/>
    <col min="14" max="14" width="16.25390625" style="15" customWidth="1"/>
  </cols>
  <sheetData>
    <row r="1" spans="1:14" s="1" customFormat="1" ht="15" customHeight="1">
      <c r="A1" s="33"/>
      <c r="B1" s="83" t="s">
        <v>430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5"/>
    </row>
    <row r="2" spans="1:14" s="1" customFormat="1" ht="85.5" customHeight="1" thickBot="1">
      <c r="A2" s="33"/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</row>
    <row r="3" spans="1:14" s="2" customFormat="1" ht="12.75" customHeight="1">
      <c r="A3" s="75" t="s">
        <v>286</v>
      </c>
      <c r="B3" s="89" t="s">
        <v>0</v>
      </c>
      <c r="C3" s="91" t="s">
        <v>287</v>
      </c>
      <c r="D3" s="91" t="s">
        <v>288</v>
      </c>
      <c r="E3" s="77" t="s">
        <v>9</v>
      </c>
      <c r="F3" s="93" t="s">
        <v>7</v>
      </c>
      <c r="G3" s="94" t="s">
        <v>289</v>
      </c>
      <c r="H3" s="77" t="s">
        <v>2</v>
      </c>
      <c r="I3" s="77"/>
      <c r="J3" s="77"/>
      <c r="K3" s="77"/>
      <c r="L3" s="77" t="s">
        <v>290</v>
      </c>
      <c r="M3" s="77" t="s">
        <v>6</v>
      </c>
      <c r="N3" s="79" t="s">
        <v>5</v>
      </c>
    </row>
    <row r="4" spans="1:14" s="2" customFormat="1" ht="21" customHeight="1" thickBot="1">
      <c r="A4" s="76"/>
      <c r="B4" s="90"/>
      <c r="C4" s="92"/>
      <c r="D4" s="92"/>
      <c r="E4" s="78"/>
      <c r="F4" s="92"/>
      <c r="G4" s="95"/>
      <c r="H4" s="3">
        <v>1</v>
      </c>
      <c r="I4" s="3">
        <v>2</v>
      </c>
      <c r="J4" s="3">
        <v>3</v>
      </c>
      <c r="K4" s="3" t="s">
        <v>8</v>
      </c>
      <c r="L4" s="78"/>
      <c r="M4" s="78"/>
      <c r="N4" s="80"/>
    </row>
    <row r="5" spans="2:13" ht="15.75">
      <c r="B5" s="81" t="s">
        <v>22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4" ht="12.75">
      <c r="A6" s="37">
        <v>1</v>
      </c>
      <c r="B6" s="16" t="s">
        <v>123</v>
      </c>
      <c r="C6" s="16" t="s">
        <v>124</v>
      </c>
      <c r="D6" s="16" t="s">
        <v>373</v>
      </c>
      <c r="E6" s="16" t="str">
        <f>"0,8329"</f>
        <v>0,8329</v>
      </c>
      <c r="F6" s="16" t="s">
        <v>13</v>
      </c>
      <c r="G6" s="16" t="s">
        <v>14</v>
      </c>
      <c r="H6" s="36" t="s">
        <v>19</v>
      </c>
      <c r="I6" s="31" t="s">
        <v>125</v>
      </c>
      <c r="J6" s="36" t="s">
        <v>20</v>
      </c>
      <c r="K6" s="34"/>
      <c r="L6" s="35" t="s">
        <v>125</v>
      </c>
      <c r="M6" s="35" t="str">
        <f>"79,1255"</f>
        <v>79,1255</v>
      </c>
      <c r="N6" s="16" t="s">
        <v>362</v>
      </c>
    </row>
    <row r="8" spans="2:13" ht="15.75">
      <c r="B8" s="82" t="s">
        <v>17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4" ht="12.75">
      <c r="A9" s="37">
        <v>1</v>
      </c>
      <c r="B9" s="16" t="s">
        <v>369</v>
      </c>
      <c r="C9" s="16" t="s">
        <v>127</v>
      </c>
      <c r="D9" s="16" t="s">
        <v>296</v>
      </c>
      <c r="E9" s="16" t="str">
        <f>"0,7221"</f>
        <v>0,7221</v>
      </c>
      <c r="F9" s="16" t="s">
        <v>13</v>
      </c>
      <c r="G9" s="16" t="s">
        <v>39</v>
      </c>
      <c r="H9" s="31" t="s">
        <v>128</v>
      </c>
      <c r="I9" s="36" t="s">
        <v>129</v>
      </c>
      <c r="J9" s="36" t="s">
        <v>129</v>
      </c>
      <c r="K9" s="34"/>
      <c r="L9" s="35">
        <v>112.5</v>
      </c>
      <c r="M9" s="35" t="str">
        <f>"81,2363"</f>
        <v>81,2363</v>
      </c>
      <c r="N9" s="16" t="s">
        <v>299</v>
      </c>
    </row>
    <row r="11" spans="2:13" ht="15.75">
      <c r="B11" s="82" t="s">
        <v>47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4" ht="12.75">
      <c r="A12" s="37">
        <v>1</v>
      </c>
      <c r="B12" s="17" t="s">
        <v>225</v>
      </c>
      <c r="C12" s="17" t="s">
        <v>131</v>
      </c>
      <c r="D12" s="17" t="s">
        <v>257</v>
      </c>
      <c r="E12" s="17" t="str">
        <f>"0,6969"</f>
        <v>0,6969</v>
      </c>
      <c r="F12" s="17" t="s">
        <v>38</v>
      </c>
      <c r="G12" s="17" t="s">
        <v>39</v>
      </c>
      <c r="H12" s="42" t="s">
        <v>104</v>
      </c>
      <c r="I12" s="42" t="s">
        <v>45</v>
      </c>
      <c r="J12" s="42" t="s">
        <v>27</v>
      </c>
      <c r="K12" s="39"/>
      <c r="L12" s="38" t="s">
        <v>27</v>
      </c>
      <c r="M12" s="38" t="str">
        <f>"104,5350"</f>
        <v>104,5350</v>
      </c>
      <c r="N12" s="17" t="s">
        <v>35</v>
      </c>
    </row>
    <row r="13" spans="1:14" ht="12.75">
      <c r="A13" s="37">
        <v>2</v>
      </c>
      <c r="B13" s="18" t="s">
        <v>132</v>
      </c>
      <c r="C13" s="18" t="s">
        <v>133</v>
      </c>
      <c r="D13" s="18" t="s">
        <v>257</v>
      </c>
      <c r="E13" s="18" t="str">
        <f>"0,6969"</f>
        <v>0,6969</v>
      </c>
      <c r="F13" s="18" t="s">
        <v>13</v>
      </c>
      <c r="G13" s="18" t="s">
        <v>134</v>
      </c>
      <c r="H13" s="55" t="s">
        <v>53</v>
      </c>
      <c r="I13" s="55" t="s">
        <v>54</v>
      </c>
      <c r="J13" s="57" t="s">
        <v>45</v>
      </c>
      <c r="K13" s="47"/>
      <c r="L13" s="46" t="s">
        <v>54</v>
      </c>
      <c r="M13" s="46" t="str">
        <f>"97,5660"</f>
        <v>97,5660</v>
      </c>
      <c r="N13" s="18" t="s">
        <v>375</v>
      </c>
    </row>
    <row r="14" spans="1:14" ht="12.75">
      <c r="A14" s="37">
        <v>3</v>
      </c>
      <c r="B14" s="19" t="s">
        <v>370</v>
      </c>
      <c r="C14" s="19" t="s">
        <v>135</v>
      </c>
      <c r="D14" s="19" t="s">
        <v>257</v>
      </c>
      <c r="E14" s="19" t="str">
        <f>"0,6969"</f>
        <v>0,6969</v>
      </c>
      <c r="F14" s="19" t="s">
        <v>136</v>
      </c>
      <c r="G14" s="19" t="s">
        <v>137</v>
      </c>
      <c r="H14" s="43" t="s">
        <v>21</v>
      </c>
      <c r="I14" s="43" t="s">
        <v>138</v>
      </c>
      <c r="J14" s="44" t="s">
        <v>45</v>
      </c>
      <c r="K14" s="41"/>
      <c r="L14" s="40">
        <v>127.5</v>
      </c>
      <c r="M14" s="40" t="str">
        <f>"88,8548"</f>
        <v>88,8548</v>
      </c>
      <c r="N14" s="19" t="s">
        <v>376</v>
      </c>
    </row>
    <row r="16" spans="2:13" ht="15.75">
      <c r="B16" s="82" t="s">
        <v>56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</row>
    <row r="17" spans="1:14" ht="12.75">
      <c r="A17" s="37">
        <v>1</v>
      </c>
      <c r="B17" s="17" t="s">
        <v>371</v>
      </c>
      <c r="C17" s="17" t="s">
        <v>139</v>
      </c>
      <c r="D17" s="17" t="s">
        <v>19</v>
      </c>
      <c r="E17" s="17" t="str">
        <f>"0,6384"</f>
        <v>0,6384</v>
      </c>
      <c r="F17" s="17" t="s">
        <v>13</v>
      </c>
      <c r="G17" s="17" t="s">
        <v>14</v>
      </c>
      <c r="H17" s="42" t="s">
        <v>54</v>
      </c>
      <c r="I17" s="45" t="s">
        <v>58</v>
      </c>
      <c r="J17" s="42" t="s">
        <v>58</v>
      </c>
      <c r="K17" s="39"/>
      <c r="L17" s="38">
        <v>152.5</v>
      </c>
      <c r="M17" s="38" t="str">
        <f>"97,3560"</f>
        <v>97,3560</v>
      </c>
      <c r="N17" s="17" t="s">
        <v>377</v>
      </c>
    </row>
    <row r="18" spans="1:14" ht="12.75">
      <c r="A18" s="37">
        <v>1</v>
      </c>
      <c r="B18" s="19" t="s">
        <v>372</v>
      </c>
      <c r="C18" s="19" t="s">
        <v>141</v>
      </c>
      <c r="D18" s="19" t="s">
        <v>295</v>
      </c>
      <c r="E18" s="19" t="str">
        <f>"0,6665"</f>
        <v>0,6665</v>
      </c>
      <c r="F18" s="19" t="s">
        <v>13</v>
      </c>
      <c r="G18" s="19" t="s">
        <v>39</v>
      </c>
      <c r="H18" s="43" t="s">
        <v>21</v>
      </c>
      <c r="I18" s="43" t="s">
        <v>41</v>
      </c>
      <c r="J18" s="44" t="s">
        <v>103</v>
      </c>
      <c r="K18" s="41"/>
      <c r="L18" s="40" t="s">
        <v>41</v>
      </c>
      <c r="M18" s="40" t="str">
        <f>"99,9750"</f>
        <v>99,9750</v>
      </c>
      <c r="N18" s="19" t="s">
        <v>35</v>
      </c>
    </row>
    <row r="20" spans="2:13" ht="15.75">
      <c r="B20" s="82" t="s">
        <v>60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</row>
    <row r="21" spans="1:14" ht="12.75">
      <c r="A21" s="37">
        <v>1</v>
      </c>
      <c r="B21" s="16" t="s">
        <v>142</v>
      </c>
      <c r="C21" s="16" t="s">
        <v>143</v>
      </c>
      <c r="D21" s="16" t="s">
        <v>374</v>
      </c>
      <c r="E21" s="16" t="str">
        <f>"0,6235"</f>
        <v>0,6235</v>
      </c>
      <c r="F21" s="16" t="s">
        <v>13</v>
      </c>
      <c r="G21" s="16" t="s">
        <v>39</v>
      </c>
      <c r="H21" s="31" t="s">
        <v>53</v>
      </c>
      <c r="I21" s="36" t="s">
        <v>54</v>
      </c>
      <c r="J21" s="31" t="s">
        <v>54</v>
      </c>
      <c r="K21" s="34"/>
      <c r="L21" s="35" t="s">
        <v>54</v>
      </c>
      <c r="M21" s="35" t="str">
        <f>"87,2900"</f>
        <v>87,2900</v>
      </c>
      <c r="N21" s="16" t="s">
        <v>35</v>
      </c>
    </row>
  </sheetData>
  <sheetProtection/>
  <mergeCells count="17">
    <mergeCell ref="B1:N2"/>
    <mergeCell ref="B3:B4"/>
    <mergeCell ref="C3:C4"/>
    <mergeCell ref="D3:D4"/>
    <mergeCell ref="E3:E4"/>
    <mergeCell ref="F3:F4"/>
    <mergeCell ref="G3:G4"/>
    <mergeCell ref="H3:K3"/>
    <mergeCell ref="A3:A4"/>
    <mergeCell ref="B16:M16"/>
    <mergeCell ref="B20:M20"/>
    <mergeCell ref="L3:L4"/>
    <mergeCell ref="M3:M4"/>
    <mergeCell ref="N3:N4"/>
    <mergeCell ref="B5:M5"/>
    <mergeCell ref="B8:M8"/>
    <mergeCell ref="B11:M11"/>
  </mergeCells>
  <printOptions/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workbookViewId="0" topLeftCell="A1">
      <selection activeCell="E50" sqref="E50"/>
    </sheetView>
  </sheetViews>
  <sheetFormatPr defaultColWidth="9.125" defaultRowHeight="12.75"/>
  <cols>
    <col min="1" max="1" width="7.375" style="33" customWidth="1"/>
    <col min="2" max="2" width="21.625" style="28" customWidth="1"/>
    <col min="3" max="3" width="27.125" style="5" bestFit="1" customWidth="1"/>
    <col min="4" max="4" width="9.00390625" style="5" customWidth="1"/>
    <col min="5" max="5" width="8.375" style="1" bestFit="1" customWidth="1"/>
    <col min="6" max="6" width="14.375" style="5" customWidth="1"/>
    <col min="7" max="7" width="37.75390625" style="5" customWidth="1"/>
    <col min="8" max="10" width="5.625" style="1" bestFit="1" customWidth="1"/>
    <col min="11" max="11" width="4.625" style="1" bestFit="1" customWidth="1"/>
    <col min="12" max="12" width="11.00390625" style="4" customWidth="1"/>
    <col min="13" max="13" width="8.625" style="1" bestFit="1" customWidth="1"/>
    <col min="14" max="14" width="18.00390625" style="5" bestFit="1" customWidth="1"/>
    <col min="15" max="16384" width="9.125" style="1" customWidth="1"/>
  </cols>
  <sheetData>
    <row r="1" spans="2:14" ht="15" customHeight="1">
      <c r="B1" s="83" t="s">
        <v>400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5"/>
    </row>
    <row r="2" spans="2:14" ht="95.25" customHeight="1" thickBot="1"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</row>
    <row r="3" spans="1:14" s="2" customFormat="1" ht="12.75" customHeight="1">
      <c r="A3" s="75" t="s">
        <v>286</v>
      </c>
      <c r="B3" s="89" t="s">
        <v>0</v>
      </c>
      <c r="C3" s="91" t="s">
        <v>287</v>
      </c>
      <c r="D3" s="91" t="s">
        <v>288</v>
      </c>
      <c r="E3" s="77" t="s">
        <v>9</v>
      </c>
      <c r="F3" s="93" t="s">
        <v>7</v>
      </c>
      <c r="G3" s="94" t="s">
        <v>289</v>
      </c>
      <c r="H3" s="77" t="s">
        <v>2</v>
      </c>
      <c r="I3" s="77"/>
      <c r="J3" s="77"/>
      <c r="K3" s="77"/>
      <c r="L3" s="77" t="s">
        <v>290</v>
      </c>
      <c r="M3" s="77" t="s">
        <v>6</v>
      </c>
      <c r="N3" s="79" t="s">
        <v>5</v>
      </c>
    </row>
    <row r="4" spans="1:14" s="2" customFormat="1" ht="21" customHeight="1" thickBot="1">
      <c r="A4" s="76"/>
      <c r="B4" s="90"/>
      <c r="C4" s="92"/>
      <c r="D4" s="92"/>
      <c r="E4" s="78"/>
      <c r="F4" s="92"/>
      <c r="G4" s="95"/>
      <c r="H4" s="3">
        <v>1</v>
      </c>
      <c r="I4" s="3">
        <v>2</v>
      </c>
      <c r="J4" s="3">
        <v>3</v>
      </c>
      <c r="K4" s="3" t="s">
        <v>8</v>
      </c>
      <c r="L4" s="78"/>
      <c r="M4" s="78"/>
      <c r="N4" s="80"/>
    </row>
    <row r="5" spans="2:13" ht="15.75">
      <c r="B5" s="97" t="s">
        <v>10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4" ht="12.75">
      <c r="A6" s="33" t="s">
        <v>291</v>
      </c>
      <c r="B6" s="7" t="s">
        <v>378</v>
      </c>
      <c r="C6" s="7" t="s">
        <v>11</v>
      </c>
      <c r="D6" s="7" t="s">
        <v>12</v>
      </c>
      <c r="E6" s="6" t="str">
        <f>"1,4936"</f>
        <v>1,4936</v>
      </c>
      <c r="F6" s="7" t="s">
        <v>13</v>
      </c>
      <c r="G6" s="7" t="s">
        <v>14</v>
      </c>
      <c r="H6" s="32" t="s">
        <v>15</v>
      </c>
      <c r="I6" s="31" t="s">
        <v>15</v>
      </c>
      <c r="J6" s="32" t="s">
        <v>16</v>
      </c>
      <c r="K6" s="30"/>
      <c r="L6" s="29" t="s">
        <v>15</v>
      </c>
      <c r="M6" s="29" t="str">
        <f>"59,7440"</f>
        <v>59,7440</v>
      </c>
      <c r="N6" s="7" t="s">
        <v>35</v>
      </c>
    </row>
    <row r="8" spans="2:13" ht="15.75">
      <c r="B8" s="96" t="s">
        <v>17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4" ht="12.75">
      <c r="A9" s="33" t="s">
        <v>291</v>
      </c>
      <c r="B9" s="7" t="s">
        <v>379</v>
      </c>
      <c r="C9" s="7" t="s">
        <v>18</v>
      </c>
      <c r="D9" s="7" t="s">
        <v>403</v>
      </c>
      <c r="E9" s="6" t="str">
        <f>"0,9596"</f>
        <v>0,9596</v>
      </c>
      <c r="F9" s="7" t="s">
        <v>13</v>
      </c>
      <c r="G9" s="7" t="s">
        <v>14</v>
      </c>
      <c r="H9" s="31" t="s">
        <v>19</v>
      </c>
      <c r="I9" s="31" t="s">
        <v>20</v>
      </c>
      <c r="J9" s="32" t="s">
        <v>21</v>
      </c>
      <c r="K9" s="30"/>
      <c r="L9" s="29" t="s">
        <v>20</v>
      </c>
      <c r="M9" s="29" t="str">
        <f>"95,9600"</f>
        <v>95,9600</v>
      </c>
      <c r="N9" s="7" t="s">
        <v>392</v>
      </c>
    </row>
    <row r="11" spans="2:13" ht="15.75">
      <c r="B11" s="96" t="s">
        <v>22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4" ht="12.75">
      <c r="A12" s="33" t="s">
        <v>291</v>
      </c>
      <c r="B12" s="7" t="s">
        <v>380</v>
      </c>
      <c r="C12" s="7" t="s">
        <v>24</v>
      </c>
      <c r="D12" s="7" t="s">
        <v>301</v>
      </c>
      <c r="E12" s="6" t="str">
        <f>"0,7852"</f>
        <v>0,7852</v>
      </c>
      <c r="F12" s="7" t="s">
        <v>25</v>
      </c>
      <c r="G12" s="7" t="s">
        <v>26</v>
      </c>
      <c r="H12" s="31" t="s">
        <v>27</v>
      </c>
      <c r="I12" s="31" t="s">
        <v>28</v>
      </c>
      <c r="J12" s="31" t="s">
        <v>29</v>
      </c>
      <c r="K12" s="30"/>
      <c r="L12" s="29" t="s">
        <v>29</v>
      </c>
      <c r="M12" s="29" t="str">
        <f>"125,6320"</f>
        <v>125,6320</v>
      </c>
      <c r="N12" s="7" t="s">
        <v>35</v>
      </c>
    </row>
    <row r="14" spans="2:13" ht="15.75">
      <c r="B14" s="96" t="s">
        <v>17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</row>
    <row r="15" spans="1:14" ht="12.75">
      <c r="A15" s="33" t="s">
        <v>291</v>
      </c>
      <c r="B15" s="9" t="s">
        <v>381</v>
      </c>
      <c r="C15" s="9" t="s">
        <v>31</v>
      </c>
      <c r="D15" s="9" t="s">
        <v>182</v>
      </c>
      <c r="E15" s="8" t="str">
        <f>"0,7126"</f>
        <v>0,7126</v>
      </c>
      <c r="F15" s="9" t="s">
        <v>13</v>
      </c>
      <c r="G15" s="9" t="s">
        <v>32</v>
      </c>
      <c r="H15" s="42" t="s">
        <v>27</v>
      </c>
      <c r="I15" s="73" t="s">
        <v>33</v>
      </c>
      <c r="J15" s="42" t="s">
        <v>34</v>
      </c>
      <c r="K15" s="67"/>
      <c r="L15" s="66" t="s">
        <v>34</v>
      </c>
      <c r="M15" s="66" t="str">
        <f>"115,7975"</f>
        <v>115,7975</v>
      </c>
      <c r="N15" s="9" t="s">
        <v>35</v>
      </c>
    </row>
    <row r="16" spans="1:14" ht="12.75">
      <c r="A16" s="33" t="s">
        <v>291</v>
      </c>
      <c r="B16" s="58" t="s">
        <v>30</v>
      </c>
      <c r="C16" s="11" t="s">
        <v>36</v>
      </c>
      <c r="D16" s="11" t="s">
        <v>182</v>
      </c>
      <c r="E16" s="10" t="str">
        <f>"0,7126"</f>
        <v>0,7126</v>
      </c>
      <c r="F16" s="11" t="s">
        <v>13</v>
      </c>
      <c r="G16" s="11" t="s">
        <v>32</v>
      </c>
      <c r="H16" s="55" t="s">
        <v>34</v>
      </c>
      <c r="I16" s="69"/>
      <c r="J16" s="68"/>
      <c r="K16" s="69"/>
      <c r="L16" s="68" t="s">
        <v>34</v>
      </c>
      <c r="M16" s="68" t="str">
        <f>"115,7975"</f>
        <v>115,7975</v>
      </c>
      <c r="N16" s="11" t="s">
        <v>35</v>
      </c>
    </row>
    <row r="17" spans="1:14" ht="12.75">
      <c r="A17" s="33" t="s">
        <v>291</v>
      </c>
      <c r="B17" s="11" t="s">
        <v>352</v>
      </c>
      <c r="C17" s="11" t="s">
        <v>37</v>
      </c>
      <c r="D17" s="11" t="s">
        <v>355</v>
      </c>
      <c r="E17" s="10" t="str">
        <f>"0,7264"</f>
        <v>0,7264</v>
      </c>
      <c r="F17" s="11" t="s">
        <v>38</v>
      </c>
      <c r="G17" s="11" t="s">
        <v>39</v>
      </c>
      <c r="H17" s="55" t="s">
        <v>21</v>
      </c>
      <c r="I17" s="55" t="s">
        <v>40</v>
      </c>
      <c r="J17" s="72" t="s">
        <v>41</v>
      </c>
      <c r="K17" s="69"/>
      <c r="L17" s="68" t="s">
        <v>40</v>
      </c>
      <c r="M17" s="68" t="str">
        <f>"83,5360"</f>
        <v>83,5360</v>
      </c>
      <c r="N17" s="11" t="s">
        <v>35</v>
      </c>
    </row>
    <row r="18" spans="1:14" ht="12.75">
      <c r="A18" s="33" t="s">
        <v>291</v>
      </c>
      <c r="B18" s="11" t="s">
        <v>382</v>
      </c>
      <c r="C18" s="11" t="s">
        <v>43</v>
      </c>
      <c r="D18" s="11" t="s">
        <v>404</v>
      </c>
      <c r="E18" s="10" t="str">
        <f>"0,7166"</f>
        <v>0,7166</v>
      </c>
      <c r="F18" s="11" t="s">
        <v>44</v>
      </c>
      <c r="G18" s="11" t="s">
        <v>39</v>
      </c>
      <c r="H18" s="55" t="s">
        <v>45</v>
      </c>
      <c r="I18" s="72" t="s">
        <v>28</v>
      </c>
      <c r="J18" s="69"/>
      <c r="K18" s="69"/>
      <c r="L18" s="68" t="s">
        <v>45</v>
      </c>
      <c r="M18" s="68" t="str">
        <f>"104,4265"</f>
        <v>104,4265</v>
      </c>
      <c r="N18" s="11" t="s">
        <v>35</v>
      </c>
    </row>
    <row r="19" spans="1:14" ht="12.75">
      <c r="A19" s="33" t="s">
        <v>395</v>
      </c>
      <c r="B19" s="13" t="s">
        <v>46</v>
      </c>
      <c r="C19" s="13" t="s">
        <v>43</v>
      </c>
      <c r="D19" s="13" t="s">
        <v>302</v>
      </c>
      <c r="E19" s="12" t="str">
        <f>"0,7285"</f>
        <v>0,7285</v>
      </c>
      <c r="F19" s="13" t="s">
        <v>13</v>
      </c>
      <c r="G19" s="13" t="s">
        <v>39</v>
      </c>
      <c r="H19" s="74" t="s">
        <v>21</v>
      </c>
      <c r="I19" s="43" t="s">
        <v>21</v>
      </c>
      <c r="J19" s="70"/>
      <c r="K19" s="70"/>
      <c r="L19" s="71" t="s">
        <v>21</v>
      </c>
      <c r="M19" s="71" t="str">
        <f>"80,5357"</f>
        <v>80,5357</v>
      </c>
      <c r="N19" s="13" t="s">
        <v>35</v>
      </c>
    </row>
    <row r="21" spans="2:13" ht="15.75">
      <c r="B21" s="96" t="s">
        <v>47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</row>
    <row r="22" spans="1:14" ht="12.75">
      <c r="A22" s="33" t="s">
        <v>291</v>
      </c>
      <c r="B22" s="9" t="s">
        <v>383</v>
      </c>
      <c r="C22" s="9" t="s">
        <v>48</v>
      </c>
      <c r="D22" s="9" t="s">
        <v>198</v>
      </c>
      <c r="E22" s="8" t="str">
        <f>"0,6699"</f>
        <v>0,6699</v>
      </c>
      <c r="F22" s="9" t="s">
        <v>13</v>
      </c>
      <c r="G22" s="9" t="s">
        <v>32</v>
      </c>
      <c r="H22" s="42" t="s">
        <v>28</v>
      </c>
      <c r="I22" s="42" t="s">
        <v>49</v>
      </c>
      <c r="J22" s="67"/>
      <c r="K22" s="67"/>
      <c r="L22" s="66" t="s">
        <v>49</v>
      </c>
      <c r="M22" s="66" t="str">
        <f>"110,5335"</f>
        <v>110,5335</v>
      </c>
      <c r="N22" s="9" t="s">
        <v>35</v>
      </c>
    </row>
    <row r="23" spans="1:14" ht="12.75">
      <c r="A23" s="33" t="s">
        <v>395</v>
      </c>
      <c r="B23" s="13" t="s">
        <v>50</v>
      </c>
      <c r="C23" s="13" t="s">
        <v>51</v>
      </c>
      <c r="D23" s="13" t="s">
        <v>303</v>
      </c>
      <c r="E23" s="12" t="str">
        <f>"0,6838"</f>
        <v>0,6838</v>
      </c>
      <c r="F23" s="13" t="s">
        <v>52</v>
      </c>
      <c r="G23" s="13" t="s">
        <v>14</v>
      </c>
      <c r="H23" s="43" t="s">
        <v>53</v>
      </c>
      <c r="I23" s="43" t="s">
        <v>54</v>
      </c>
      <c r="J23" s="43" t="s">
        <v>55</v>
      </c>
      <c r="K23" s="70"/>
      <c r="L23" s="71" t="s">
        <v>55</v>
      </c>
      <c r="M23" s="71" t="str">
        <f>"97,4415"</f>
        <v>97,4415</v>
      </c>
      <c r="N23" s="13" t="s">
        <v>35</v>
      </c>
    </row>
    <row r="25" spans="2:13" ht="15.75">
      <c r="B25" s="96" t="s">
        <v>56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</row>
    <row r="26" spans="1:14" ht="12.75">
      <c r="A26" s="33" t="s">
        <v>291</v>
      </c>
      <c r="B26" s="9" t="s">
        <v>384</v>
      </c>
      <c r="C26" s="9" t="s">
        <v>57</v>
      </c>
      <c r="D26" s="9" t="s">
        <v>405</v>
      </c>
      <c r="E26" s="8" t="str">
        <f>"0,6424"</f>
        <v>0,6424</v>
      </c>
      <c r="F26" s="9" t="s">
        <v>13</v>
      </c>
      <c r="G26" s="9" t="s">
        <v>32</v>
      </c>
      <c r="H26" s="42" t="s">
        <v>54</v>
      </c>
      <c r="I26" s="73" t="s">
        <v>58</v>
      </c>
      <c r="J26" s="73" t="s">
        <v>58</v>
      </c>
      <c r="K26" s="67"/>
      <c r="L26" s="66" t="s">
        <v>54</v>
      </c>
      <c r="M26" s="66" t="str">
        <f>"89,9360"</f>
        <v>89,9360</v>
      </c>
      <c r="N26" s="9" t="s">
        <v>393</v>
      </c>
    </row>
    <row r="27" spans="1:14" ht="12.75">
      <c r="A27" s="33" t="s">
        <v>291</v>
      </c>
      <c r="B27" s="13" t="s">
        <v>385</v>
      </c>
      <c r="C27" s="13" t="s">
        <v>59</v>
      </c>
      <c r="D27" s="13" t="s">
        <v>406</v>
      </c>
      <c r="E27" s="12" t="str">
        <f>"0,6421"</f>
        <v>0,6421</v>
      </c>
      <c r="F27" s="13" t="s">
        <v>13</v>
      </c>
      <c r="G27" s="13" t="s">
        <v>39</v>
      </c>
      <c r="H27" s="43" t="s">
        <v>41</v>
      </c>
      <c r="I27" s="74" t="s">
        <v>58</v>
      </c>
      <c r="J27" s="74" t="s">
        <v>58</v>
      </c>
      <c r="K27" s="70"/>
      <c r="L27" s="71" t="s">
        <v>41</v>
      </c>
      <c r="M27" s="71" t="str">
        <f>"77,0520"</f>
        <v>77,0520</v>
      </c>
      <c r="N27" s="13" t="s">
        <v>35</v>
      </c>
    </row>
    <row r="29" spans="2:13" ht="15.75">
      <c r="B29" s="96" t="s">
        <v>60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</row>
    <row r="30" spans="1:14" ht="12.75">
      <c r="A30" s="33" t="s">
        <v>291</v>
      </c>
      <c r="B30" s="9" t="s">
        <v>386</v>
      </c>
      <c r="C30" s="9" t="s">
        <v>61</v>
      </c>
      <c r="D30" s="9" t="s">
        <v>407</v>
      </c>
      <c r="E30" s="8" t="str">
        <f>"0,6103"</f>
        <v>0,6103</v>
      </c>
      <c r="F30" s="9" t="s">
        <v>13</v>
      </c>
      <c r="G30" s="9" t="s">
        <v>402</v>
      </c>
      <c r="H30" s="73" t="s">
        <v>62</v>
      </c>
      <c r="I30" s="42" t="s">
        <v>62</v>
      </c>
      <c r="J30" s="73" t="s">
        <v>63</v>
      </c>
      <c r="K30" s="67"/>
      <c r="L30" s="66" t="s">
        <v>62</v>
      </c>
      <c r="M30" s="66" t="str">
        <f>"106,8025"</f>
        <v>106,8025</v>
      </c>
      <c r="N30" s="9" t="s">
        <v>64</v>
      </c>
    </row>
    <row r="31" spans="1:14" ht="12.75">
      <c r="A31" s="33" t="s">
        <v>291</v>
      </c>
      <c r="B31" s="11" t="s">
        <v>65</v>
      </c>
      <c r="C31" s="11" t="s">
        <v>66</v>
      </c>
      <c r="D31" s="11" t="s">
        <v>125</v>
      </c>
      <c r="E31" s="10" t="str">
        <f>"0,6220"</f>
        <v>0,6220</v>
      </c>
      <c r="F31" s="11" t="s">
        <v>13</v>
      </c>
      <c r="G31" s="11" t="s">
        <v>39</v>
      </c>
      <c r="H31" s="55" t="s">
        <v>62</v>
      </c>
      <c r="I31" s="55" t="s">
        <v>63</v>
      </c>
      <c r="J31" s="72" t="s">
        <v>67</v>
      </c>
      <c r="K31" s="69"/>
      <c r="L31" s="68" t="s">
        <v>63</v>
      </c>
      <c r="M31" s="68" t="str">
        <f>"111,9600"</f>
        <v>111,9600</v>
      </c>
      <c r="N31" s="11" t="s">
        <v>35</v>
      </c>
    </row>
    <row r="32" spans="1:14" ht="12.75">
      <c r="A32" s="33" t="s">
        <v>395</v>
      </c>
      <c r="B32" s="11" t="s">
        <v>68</v>
      </c>
      <c r="C32" s="11" t="s">
        <v>69</v>
      </c>
      <c r="D32" s="11" t="s">
        <v>408</v>
      </c>
      <c r="E32" s="10" t="str">
        <f>"0,6123"</f>
        <v>0,6123</v>
      </c>
      <c r="F32" s="11" t="s">
        <v>70</v>
      </c>
      <c r="G32" s="11" t="s">
        <v>401</v>
      </c>
      <c r="H32" s="72" t="s">
        <v>49</v>
      </c>
      <c r="I32" s="55" t="s">
        <v>62</v>
      </c>
      <c r="J32" s="72" t="s">
        <v>67</v>
      </c>
      <c r="K32" s="69"/>
      <c r="L32" s="68" t="s">
        <v>62</v>
      </c>
      <c r="M32" s="68" t="str">
        <f>"107,1525"</f>
        <v>107,1525</v>
      </c>
      <c r="N32" s="11" t="s">
        <v>35</v>
      </c>
    </row>
    <row r="33" spans="1:14" ht="12.75">
      <c r="A33" s="33" t="s">
        <v>396</v>
      </c>
      <c r="B33" s="11" t="s">
        <v>71</v>
      </c>
      <c r="C33" s="11" t="s">
        <v>72</v>
      </c>
      <c r="D33" s="11" t="s">
        <v>308</v>
      </c>
      <c r="E33" s="10" t="str">
        <f>"0,6134"</f>
        <v>0,6134</v>
      </c>
      <c r="F33" s="11" t="s">
        <v>13</v>
      </c>
      <c r="G33" s="11" t="s">
        <v>39</v>
      </c>
      <c r="H33" s="55" t="s">
        <v>27</v>
      </c>
      <c r="I33" s="55" t="s">
        <v>29</v>
      </c>
      <c r="J33" s="72" t="s">
        <v>49</v>
      </c>
      <c r="K33" s="69"/>
      <c r="L33" s="68" t="s">
        <v>29</v>
      </c>
      <c r="M33" s="68" t="str">
        <f>"98,1440"</f>
        <v>98,1440</v>
      </c>
      <c r="N33" s="11" t="s">
        <v>35</v>
      </c>
    </row>
    <row r="34" spans="2:14" ht="12.75">
      <c r="B34" s="58" t="s">
        <v>73</v>
      </c>
      <c r="C34" s="11" t="s">
        <v>74</v>
      </c>
      <c r="D34" s="11" t="s">
        <v>20</v>
      </c>
      <c r="E34" s="10" t="str">
        <f>"0,6086"</f>
        <v>0,6086</v>
      </c>
      <c r="F34" s="11" t="s">
        <v>52</v>
      </c>
      <c r="G34" s="11" t="s">
        <v>14</v>
      </c>
      <c r="H34" s="72" t="s">
        <v>63</v>
      </c>
      <c r="I34" s="72" t="s">
        <v>63</v>
      </c>
      <c r="J34" s="72" t="s">
        <v>63</v>
      </c>
      <c r="K34" s="69"/>
      <c r="L34" s="68" t="s">
        <v>361</v>
      </c>
      <c r="M34" s="68" t="s">
        <v>361</v>
      </c>
      <c r="N34" s="11" t="s">
        <v>321</v>
      </c>
    </row>
    <row r="35" spans="1:14" ht="12.75">
      <c r="A35" s="33" t="s">
        <v>291</v>
      </c>
      <c r="B35" s="13" t="s">
        <v>75</v>
      </c>
      <c r="C35" s="13" t="s">
        <v>76</v>
      </c>
      <c r="D35" s="13" t="s">
        <v>409</v>
      </c>
      <c r="E35" s="12" t="str">
        <f>"0,6091"</f>
        <v>0,6091</v>
      </c>
      <c r="F35" s="13" t="s">
        <v>44</v>
      </c>
      <c r="G35" s="13" t="s">
        <v>14</v>
      </c>
      <c r="H35" s="43" t="s">
        <v>63</v>
      </c>
      <c r="I35" s="43" t="s">
        <v>77</v>
      </c>
      <c r="J35" s="70"/>
      <c r="K35" s="70"/>
      <c r="L35" s="71" t="s">
        <v>77</v>
      </c>
      <c r="M35" s="71" t="str">
        <f>"118,9694"</f>
        <v>118,9694</v>
      </c>
      <c r="N35" s="13" t="s">
        <v>35</v>
      </c>
    </row>
    <row r="37" spans="2:13" ht="15.75">
      <c r="B37" s="96" t="s">
        <v>78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</row>
    <row r="38" spans="1:14" ht="12.75">
      <c r="A38" s="33" t="s">
        <v>291</v>
      </c>
      <c r="B38" s="9" t="s">
        <v>387</v>
      </c>
      <c r="C38" s="9" t="s">
        <v>80</v>
      </c>
      <c r="D38" s="9" t="s">
        <v>410</v>
      </c>
      <c r="E38" s="8" t="str">
        <f>"0,6015"</f>
        <v>0,6015</v>
      </c>
      <c r="F38" s="9" t="s">
        <v>13</v>
      </c>
      <c r="G38" s="9" t="s">
        <v>39</v>
      </c>
      <c r="H38" s="42" t="s">
        <v>81</v>
      </c>
      <c r="I38" s="42" t="s">
        <v>63</v>
      </c>
      <c r="J38" s="73" t="s">
        <v>82</v>
      </c>
      <c r="K38" s="67"/>
      <c r="L38" s="66" t="s">
        <v>63</v>
      </c>
      <c r="M38" s="66" t="str">
        <f>"108,2700"</f>
        <v>108,2700</v>
      </c>
      <c r="N38" s="9" t="s">
        <v>35</v>
      </c>
    </row>
    <row r="39" spans="2:14" ht="12.75">
      <c r="B39" s="58" t="s">
        <v>83</v>
      </c>
      <c r="C39" s="11" t="s">
        <v>84</v>
      </c>
      <c r="D39" s="11" t="s">
        <v>411</v>
      </c>
      <c r="E39" s="10" t="str">
        <f>"0,6046"</f>
        <v>0,6046</v>
      </c>
      <c r="F39" s="11" t="s">
        <v>13</v>
      </c>
      <c r="G39" s="11" t="s">
        <v>39</v>
      </c>
      <c r="H39" s="72" t="s">
        <v>63</v>
      </c>
      <c r="I39" s="69"/>
      <c r="J39" s="69"/>
      <c r="K39" s="69"/>
      <c r="L39" s="68" t="s">
        <v>361</v>
      </c>
      <c r="M39" s="68" t="s">
        <v>361</v>
      </c>
      <c r="N39" s="11" t="s">
        <v>35</v>
      </c>
    </row>
    <row r="40" spans="1:14" ht="12.75">
      <c r="A40" s="33" t="s">
        <v>291</v>
      </c>
      <c r="B40" s="11" t="s">
        <v>388</v>
      </c>
      <c r="C40" s="11" t="s">
        <v>86</v>
      </c>
      <c r="D40" s="11" t="s">
        <v>309</v>
      </c>
      <c r="E40" s="10" t="str">
        <f>"0,5887"</f>
        <v>0,5887</v>
      </c>
      <c r="F40" s="11" t="s">
        <v>87</v>
      </c>
      <c r="G40" s="11" t="s">
        <v>88</v>
      </c>
      <c r="H40" s="55" t="s">
        <v>63</v>
      </c>
      <c r="I40" s="55" t="s">
        <v>89</v>
      </c>
      <c r="J40" s="72" t="s">
        <v>77</v>
      </c>
      <c r="K40" s="69"/>
      <c r="L40" s="68" t="s">
        <v>89</v>
      </c>
      <c r="M40" s="68" t="str">
        <f>"110,3812"</f>
        <v>110,3812</v>
      </c>
      <c r="N40" s="11" t="s">
        <v>322</v>
      </c>
    </row>
    <row r="41" spans="1:14" ht="12.75">
      <c r="A41" s="33" t="s">
        <v>395</v>
      </c>
      <c r="B41" s="11" t="s">
        <v>389</v>
      </c>
      <c r="C41" s="11" t="s">
        <v>90</v>
      </c>
      <c r="D41" s="11" t="s">
        <v>412</v>
      </c>
      <c r="E41" s="10" t="str">
        <f>"0,5919"</f>
        <v>0,5919</v>
      </c>
      <c r="F41" s="11" t="s">
        <v>52</v>
      </c>
      <c r="G41" s="11" t="s">
        <v>14</v>
      </c>
      <c r="H41" s="55" t="s">
        <v>29</v>
      </c>
      <c r="I41" s="55" t="s">
        <v>49</v>
      </c>
      <c r="J41" s="72" t="s">
        <v>81</v>
      </c>
      <c r="K41" s="69"/>
      <c r="L41" s="68" t="s">
        <v>49</v>
      </c>
      <c r="M41" s="68" t="str">
        <f>"101,9607"</f>
        <v>101,9607</v>
      </c>
      <c r="N41" s="11" t="s">
        <v>394</v>
      </c>
    </row>
    <row r="42" spans="1:14" ht="12.75">
      <c r="A42" s="33" t="s">
        <v>291</v>
      </c>
      <c r="B42" s="13" t="s">
        <v>391</v>
      </c>
      <c r="C42" s="13" t="s">
        <v>92</v>
      </c>
      <c r="D42" s="13" t="s">
        <v>413</v>
      </c>
      <c r="E42" s="12" t="str">
        <f>"0,5956"</f>
        <v>0,5956</v>
      </c>
      <c r="F42" s="13" t="s">
        <v>93</v>
      </c>
      <c r="G42" s="13" t="s">
        <v>94</v>
      </c>
      <c r="H42" s="43" t="s">
        <v>27</v>
      </c>
      <c r="I42" s="43" t="s">
        <v>58</v>
      </c>
      <c r="J42" s="43" t="s">
        <v>28</v>
      </c>
      <c r="K42" s="70"/>
      <c r="L42" s="71" t="s">
        <v>28</v>
      </c>
      <c r="M42" s="71" t="str">
        <f>"104,5040"</f>
        <v>104,5040</v>
      </c>
      <c r="N42" s="13" t="s">
        <v>35</v>
      </c>
    </row>
    <row r="44" spans="2:13" ht="15.75">
      <c r="B44" s="96" t="s">
        <v>95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</row>
    <row r="45" spans="1:14" ht="12.75">
      <c r="A45" s="33" t="s">
        <v>291</v>
      </c>
      <c r="B45" s="7" t="s">
        <v>96</v>
      </c>
      <c r="C45" s="7" t="s">
        <v>97</v>
      </c>
      <c r="D45" s="7" t="s">
        <v>414</v>
      </c>
      <c r="E45" s="6" t="str">
        <f>"0,5803"</f>
        <v>0,5803</v>
      </c>
      <c r="F45" s="7" t="s">
        <v>13</v>
      </c>
      <c r="G45" s="7" t="s">
        <v>14</v>
      </c>
      <c r="H45" s="31" t="s">
        <v>98</v>
      </c>
      <c r="I45" s="31" t="s">
        <v>99</v>
      </c>
      <c r="J45" s="32" t="s">
        <v>100</v>
      </c>
      <c r="K45" s="30"/>
      <c r="L45" s="29" t="s">
        <v>99</v>
      </c>
      <c r="M45" s="29" t="str">
        <f>"133,4690"</f>
        <v>133,4690</v>
      </c>
      <c r="N45" s="7" t="s">
        <v>35</v>
      </c>
    </row>
    <row r="47" spans="2:13" ht="15.75">
      <c r="B47" s="96" t="s">
        <v>101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</row>
    <row r="48" spans="1:14" ht="12.75">
      <c r="A48" s="33" t="s">
        <v>291</v>
      </c>
      <c r="B48" s="7" t="s">
        <v>390</v>
      </c>
      <c r="C48" s="7" t="s">
        <v>102</v>
      </c>
      <c r="D48" s="7" t="s">
        <v>415</v>
      </c>
      <c r="E48" s="6" t="str">
        <f>"0,5634"</f>
        <v>0,5634</v>
      </c>
      <c r="F48" s="7" t="s">
        <v>52</v>
      </c>
      <c r="G48" s="7" t="s">
        <v>14</v>
      </c>
      <c r="H48" s="31" t="s">
        <v>103</v>
      </c>
      <c r="I48" s="31" t="s">
        <v>104</v>
      </c>
      <c r="J48" s="31" t="s">
        <v>55</v>
      </c>
      <c r="K48" s="30"/>
      <c r="L48" s="29" t="s">
        <v>55</v>
      </c>
      <c r="M48" s="29" t="str">
        <f>"89,4369"</f>
        <v>89,4369</v>
      </c>
      <c r="N48" s="7" t="s">
        <v>105</v>
      </c>
    </row>
    <row r="50" spans="2:3" ht="18">
      <c r="B50" s="59" t="s">
        <v>106</v>
      </c>
      <c r="C50" s="59"/>
    </row>
    <row r="51" spans="2:3" ht="15.75">
      <c r="B51" s="60" t="s">
        <v>113</v>
      </c>
      <c r="C51" s="60"/>
    </row>
    <row r="52" spans="2:3" ht="13.5">
      <c r="B52" s="61"/>
      <c r="C52" s="64" t="s">
        <v>107</v>
      </c>
    </row>
    <row r="53" spans="2:6" ht="13.5">
      <c r="B53" s="62" t="s">
        <v>108</v>
      </c>
      <c r="C53" s="65" t="s">
        <v>109</v>
      </c>
      <c r="D53" s="65" t="s">
        <v>110</v>
      </c>
      <c r="E53" s="14" t="s">
        <v>111</v>
      </c>
      <c r="F53" s="14" t="s">
        <v>112</v>
      </c>
    </row>
    <row r="54" spans="1:6" ht="12.75">
      <c r="A54" s="33" t="s">
        <v>291</v>
      </c>
      <c r="B54" s="63" t="s">
        <v>96</v>
      </c>
      <c r="C54" s="1" t="s">
        <v>107</v>
      </c>
      <c r="D54" s="33" t="s">
        <v>397</v>
      </c>
      <c r="E54" s="33" t="s">
        <v>99</v>
      </c>
      <c r="F54" s="33" t="s">
        <v>115</v>
      </c>
    </row>
    <row r="55" spans="1:6" ht="12.75">
      <c r="A55" s="33" t="s">
        <v>395</v>
      </c>
      <c r="B55" s="63" t="s">
        <v>23</v>
      </c>
      <c r="C55" s="1" t="s">
        <v>107</v>
      </c>
      <c r="D55" s="33" t="s">
        <v>323</v>
      </c>
      <c r="E55" s="33" t="s">
        <v>29</v>
      </c>
      <c r="F55" s="33" t="s">
        <v>116</v>
      </c>
    </row>
    <row r="56" spans="1:6" ht="12.75">
      <c r="A56" s="33" t="s">
        <v>396</v>
      </c>
      <c r="B56" s="63" t="s">
        <v>30</v>
      </c>
      <c r="C56" s="1" t="s">
        <v>107</v>
      </c>
      <c r="D56" s="33" t="s">
        <v>398</v>
      </c>
      <c r="E56" s="33" t="s">
        <v>34</v>
      </c>
      <c r="F56" s="33" t="s">
        <v>114</v>
      </c>
    </row>
    <row r="58" spans="2:3" ht="13.5">
      <c r="B58" s="61"/>
      <c r="C58" s="64" t="s">
        <v>117</v>
      </c>
    </row>
    <row r="59" spans="2:6" ht="13.5">
      <c r="B59" s="62" t="s">
        <v>108</v>
      </c>
      <c r="C59" s="65" t="s">
        <v>109</v>
      </c>
      <c r="D59" s="65" t="s">
        <v>110</v>
      </c>
      <c r="E59" s="14" t="s">
        <v>111</v>
      </c>
      <c r="F59" s="14" t="s">
        <v>112</v>
      </c>
    </row>
    <row r="60" spans="1:6" ht="12.75">
      <c r="A60" s="33" t="s">
        <v>291</v>
      </c>
      <c r="B60" s="63" t="s">
        <v>75</v>
      </c>
      <c r="C60" s="1" t="s">
        <v>118</v>
      </c>
      <c r="D60" s="33" t="s">
        <v>325</v>
      </c>
      <c r="E60" s="33" t="s">
        <v>77</v>
      </c>
      <c r="F60" s="33" t="s">
        <v>119</v>
      </c>
    </row>
    <row r="61" spans="1:6" ht="12.75">
      <c r="A61" s="33" t="s">
        <v>395</v>
      </c>
      <c r="B61" s="63" t="s">
        <v>85</v>
      </c>
      <c r="C61" s="1" t="s">
        <v>118</v>
      </c>
      <c r="D61" s="33" t="s">
        <v>399</v>
      </c>
      <c r="E61" s="33" t="s">
        <v>89</v>
      </c>
      <c r="F61" s="33" t="s">
        <v>120</v>
      </c>
    </row>
    <row r="62" spans="1:6" ht="12.75">
      <c r="A62" s="33" t="s">
        <v>396</v>
      </c>
      <c r="B62" s="63" t="s">
        <v>91</v>
      </c>
      <c r="C62" s="1" t="s">
        <v>121</v>
      </c>
      <c r="D62" s="33" t="s">
        <v>399</v>
      </c>
      <c r="E62" s="33" t="s">
        <v>28</v>
      </c>
      <c r="F62" s="33" t="s">
        <v>122</v>
      </c>
    </row>
  </sheetData>
  <sheetProtection/>
  <mergeCells count="22">
    <mergeCell ref="G3:G4"/>
    <mergeCell ref="F3:F4"/>
    <mergeCell ref="B11:M11"/>
    <mergeCell ref="E3:E4"/>
    <mergeCell ref="L3:L4"/>
    <mergeCell ref="M3:M4"/>
    <mergeCell ref="B1:N2"/>
    <mergeCell ref="H3:K3"/>
    <mergeCell ref="B3:B4"/>
    <mergeCell ref="C3:C4"/>
    <mergeCell ref="D3:D4"/>
    <mergeCell ref="N3:N4"/>
    <mergeCell ref="A3:A4"/>
    <mergeCell ref="B47:M47"/>
    <mergeCell ref="B14:M14"/>
    <mergeCell ref="B21:M21"/>
    <mergeCell ref="B25:M25"/>
    <mergeCell ref="B29:M29"/>
    <mergeCell ref="B37:M37"/>
    <mergeCell ref="B44:M44"/>
    <mergeCell ref="B5:M5"/>
    <mergeCell ref="B8:M8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G30" sqref="G30"/>
    </sheetView>
  </sheetViews>
  <sheetFormatPr defaultColWidth="8.75390625" defaultRowHeight="12.75"/>
  <cols>
    <col min="1" max="1" width="7.625" style="0" customWidth="1"/>
    <col min="2" max="2" width="22.25390625" style="15" customWidth="1"/>
    <col min="3" max="3" width="25.625" style="15" customWidth="1"/>
    <col min="4" max="4" width="10.625" style="15" bestFit="1" customWidth="1"/>
    <col min="5" max="5" width="8.375" style="15" bestFit="1" customWidth="1"/>
    <col min="6" max="6" width="17.625" style="15" customWidth="1"/>
    <col min="7" max="7" width="26.00390625" style="15" bestFit="1" customWidth="1"/>
    <col min="8" max="10" width="5.625" style="15" bestFit="1" customWidth="1"/>
    <col min="11" max="11" width="4.625" style="15" bestFit="1" customWidth="1"/>
    <col min="12" max="12" width="10.875" style="15" customWidth="1"/>
    <col min="13" max="13" width="8.625" style="15" bestFit="1" customWidth="1"/>
    <col min="14" max="14" width="15.375" style="15" bestFit="1" customWidth="1"/>
  </cols>
  <sheetData>
    <row r="1" spans="2:14" s="1" customFormat="1" ht="15" customHeight="1">
      <c r="B1" s="83" t="s">
        <v>423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5"/>
    </row>
    <row r="2" spans="2:14" s="1" customFormat="1" ht="91.5" customHeight="1" thickBot="1"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</row>
    <row r="3" spans="1:14" s="2" customFormat="1" ht="12.75" customHeight="1">
      <c r="A3" s="75" t="s">
        <v>286</v>
      </c>
      <c r="B3" s="89" t="s">
        <v>0</v>
      </c>
      <c r="C3" s="91" t="s">
        <v>287</v>
      </c>
      <c r="D3" s="91" t="s">
        <v>288</v>
      </c>
      <c r="E3" s="77" t="s">
        <v>9</v>
      </c>
      <c r="F3" s="93" t="s">
        <v>7</v>
      </c>
      <c r="G3" s="94" t="s">
        <v>289</v>
      </c>
      <c r="H3" s="77" t="s">
        <v>1</v>
      </c>
      <c r="I3" s="77"/>
      <c r="J3" s="77"/>
      <c r="K3" s="77"/>
      <c r="L3" s="77" t="s">
        <v>290</v>
      </c>
      <c r="M3" s="77" t="s">
        <v>6</v>
      </c>
      <c r="N3" s="79" t="s">
        <v>5</v>
      </c>
    </row>
    <row r="4" spans="1:14" s="2" customFormat="1" ht="21" customHeight="1" thickBot="1">
      <c r="A4" s="76"/>
      <c r="B4" s="90"/>
      <c r="C4" s="92"/>
      <c r="D4" s="92"/>
      <c r="E4" s="78"/>
      <c r="F4" s="92"/>
      <c r="G4" s="95"/>
      <c r="H4" s="3">
        <v>1</v>
      </c>
      <c r="I4" s="3">
        <v>2</v>
      </c>
      <c r="J4" s="3">
        <v>3</v>
      </c>
      <c r="K4" s="3" t="s">
        <v>8</v>
      </c>
      <c r="L4" s="78"/>
      <c r="M4" s="78"/>
      <c r="N4" s="80"/>
    </row>
    <row r="5" spans="2:13" ht="15.75">
      <c r="B5" s="81" t="s">
        <v>56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4" ht="12.75">
      <c r="A6" s="37">
        <v>1</v>
      </c>
      <c r="B6" s="16" t="s">
        <v>235</v>
      </c>
      <c r="C6" s="16" t="s">
        <v>236</v>
      </c>
      <c r="D6" s="16" t="s">
        <v>293</v>
      </c>
      <c r="E6" s="16" t="str">
        <f>"0,6549"</f>
        <v>0,6549</v>
      </c>
      <c r="F6" s="16" t="s">
        <v>13</v>
      </c>
      <c r="G6" s="16" t="s">
        <v>39</v>
      </c>
      <c r="H6" s="31" t="s">
        <v>54</v>
      </c>
      <c r="I6" s="36" t="s">
        <v>28</v>
      </c>
      <c r="J6" s="31" t="s">
        <v>28</v>
      </c>
      <c r="K6" s="34"/>
      <c r="L6" s="35" t="s">
        <v>28</v>
      </c>
      <c r="M6" s="35" t="str">
        <f>"101,5095"</f>
        <v>101,5095</v>
      </c>
      <c r="N6" s="16" t="s">
        <v>35</v>
      </c>
    </row>
    <row r="30" ht="12.75">
      <c r="G30" s="15" t="s">
        <v>424</v>
      </c>
    </row>
  </sheetData>
  <sheetProtection/>
  <mergeCells count="13">
    <mergeCell ref="M3:M4"/>
    <mergeCell ref="N3:N4"/>
    <mergeCell ref="B5:M5"/>
    <mergeCell ref="A3:A4"/>
    <mergeCell ref="B1:N2"/>
    <mergeCell ref="B3:B4"/>
    <mergeCell ref="C3:C4"/>
    <mergeCell ref="D3:D4"/>
    <mergeCell ref="E3:E4"/>
    <mergeCell ref="F3:F4"/>
    <mergeCell ref="G3:G4"/>
    <mergeCell ref="H3:K3"/>
    <mergeCell ref="L3:L4"/>
  </mergeCells>
  <printOptions/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6"/>
  <sheetViews>
    <sheetView workbookViewId="0" topLeftCell="A1">
      <selection activeCell="G30" sqref="G30"/>
    </sheetView>
  </sheetViews>
  <sheetFormatPr defaultColWidth="8.75390625" defaultRowHeight="12.75"/>
  <cols>
    <col min="1" max="1" width="6.75390625" style="0" customWidth="1"/>
    <col min="2" max="2" width="17.00390625" style="15" customWidth="1"/>
    <col min="3" max="3" width="26.625" style="15" customWidth="1"/>
    <col min="4" max="4" width="10.625" style="15" bestFit="1" customWidth="1"/>
    <col min="5" max="5" width="8.375" style="15" bestFit="1" customWidth="1"/>
    <col min="6" max="6" width="12.125" style="15" customWidth="1"/>
    <col min="7" max="7" width="26.875" style="15" bestFit="1" customWidth="1"/>
    <col min="8" max="10" width="5.625" style="15" bestFit="1" customWidth="1"/>
    <col min="11" max="11" width="4.625" style="15" bestFit="1" customWidth="1"/>
    <col min="12" max="14" width="5.625" style="15" bestFit="1" customWidth="1"/>
    <col min="15" max="15" width="4.625" style="15" bestFit="1" customWidth="1"/>
    <col min="16" max="18" width="5.625" style="15" bestFit="1" customWidth="1"/>
    <col min="19" max="19" width="4.625" style="15" bestFit="1" customWidth="1"/>
    <col min="20" max="20" width="7.875" style="15" bestFit="1" customWidth="1"/>
    <col min="21" max="21" width="8.625" style="15" bestFit="1" customWidth="1"/>
    <col min="22" max="22" width="15.375" style="15" bestFit="1" customWidth="1"/>
  </cols>
  <sheetData>
    <row r="1" spans="2:22" s="1" customFormat="1" ht="15" customHeight="1">
      <c r="B1" s="83" t="s">
        <v>420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5"/>
    </row>
    <row r="2" spans="2:22" s="1" customFormat="1" ht="95.25" customHeight="1" thickBot="1"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s="2" customFormat="1" ht="12.75" customHeight="1">
      <c r="A3" s="75" t="s">
        <v>286</v>
      </c>
      <c r="B3" s="89" t="s">
        <v>0</v>
      </c>
      <c r="C3" s="91" t="s">
        <v>287</v>
      </c>
      <c r="D3" s="91" t="s">
        <v>288</v>
      </c>
      <c r="E3" s="77" t="s">
        <v>9</v>
      </c>
      <c r="F3" s="93" t="s">
        <v>7</v>
      </c>
      <c r="G3" s="94" t="s">
        <v>289</v>
      </c>
      <c r="H3" s="77" t="s">
        <v>1</v>
      </c>
      <c r="I3" s="77"/>
      <c r="J3" s="77"/>
      <c r="K3" s="77"/>
      <c r="L3" s="77" t="s">
        <v>2</v>
      </c>
      <c r="M3" s="77"/>
      <c r="N3" s="77"/>
      <c r="O3" s="77"/>
      <c r="P3" s="77" t="s">
        <v>3</v>
      </c>
      <c r="Q3" s="77"/>
      <c r="R3" s="77"/>
      <c r="S3" s="77"/>
      <c r="T3" s="77" t="s">
        <v>4</v>
      </c>
      <c r="U3" s="77" t="s">
        <v>6</v>
      </c>
      <c r="V3" s="79" t="s">
        <v>5</v>
      </c>
    </row>
    <row r="4" spans="1:22" s="2" customFormat="1" ht="21" customHeight="1" thickBot="1">
      <c r="A4" s="76"/>
      <c r="B4" s="90"/>
      <c r="C4" s="92"/>
      <c r="D4" s="92"/>
      <c r="E4" s="78"/>
      <c r="F4" s="92"/>
      <c r="G4" s="95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78"/>
      <c r="U4" s="78"/>
      <c r="V4" s="80"/>
    </row>
    <row r="5" spans="2:21" ht="15.75">
      <c r="B5" s="81" t="s">
        <v>60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2" ht="12.75">
      <c r="A6" s="37">
        <v>1</v>
      </c>
      <c r="B6" s="16" t="s">
        <v>144</v>
      </c>
      <c r="C6" s="16" t="s">
        <v>145</v>
      </c>
      <c r="D6" s="16" t="s">
        <v>367</v>
      </c>
      <c r="E6" s="16" t="str">
        <f>"0,6188"</f>
        <v>0,6188</v>
      </c>
      <c r="F6" s="16" t="s">
        <v>13</v>
      </c>
      <c r="G6" s="16" t="s">
        <v>14</v>
      </c>
      <c r="H6" s="31" t="s">
        <v>147</v>
      </c>
      <c r="I6" s="31" t="s">
        <v>148</v>
      </c>
      <c r="J6" s="36" t="s">
        <v>149</v>
      </c>
      <c r="K6" s="34"/>
      <c r="L6" s="31" t="s">
        <v>146</v>
      </c>
      <c r="M6" s="31" t="s">
        <v>98</v>
      </c>
      <c r="N6" s="36" t="s">
        <v>99</v>
      </c>
      <c r="O6" s="34"/>
      <c r="P6" s="31" t="s">
        <v>147</v>
      </c>
      <c r="Q6" s="36" t="s">
        <v>150</v>
      </c>
      <c r="R6" s="36" t="s">
        <v>150</v>
      </c>
      <c r="S6" s="34"/>
      <c r="T6" s="35" t="s">
        <v>151</v>
      </c>
      <c r="U6" s="35" t="str">
        <f>"445,5360"</f>
        <v>445,5360</v>
      </c>
      <c r="V6" s="16" t="s">
        <v>35</v>
      </c>
    </row>
  </sheetData>
  <sheetProtection/>
  <mergeCells count="15">
    <mergeCell ref="H3:K3"/>
    <mergeCell ref="L3:O3"/>
    <mergeCell ref="P3:S3"/>
    <mergeCell ref="T3:T4"/>
    <mergeCell ref="U3:U4"/>
    <mergeCell ref="A3:A4"/>
    <mergeCell ref="V3:V4"/>
    <mergeCell ref="B5:U5"/>
    <mergeCell ref="B1:V2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9"/>
  <sheetViews>
    <sheetView workbookViewId="0" topLeftCell="A1">
      <selection activeCell="G27" sqref="G27"/>
    </sheetView>
  </sheetViews>
  <sheetFormatPr defaultColWidth="8.75390625" defaultRowHeight="12.75"/>
  <cols>
    <col min="1" max="1" width="8.00390625" style="0" customWidth="1"/>
    <col min="2" max="2" width="16.75390625" style="15" customWidth="1"/>
    <col min="3" max="3" width="26.875" style="15" bestFit="1" customWidth="1"/>
    <col min="4" max="4" width="9.00390625" style="15" customWidth="1"/>
    <col min="5" max="5" width="8.375" style="15" bestFit="1" customWidth="1"/>
    <col min="6" max="6" width="11.125" style="15" customWidth="1"/>
    <col min="7" max="7" width="26.875" style="15" bestFit="1" customWidth="1"/>
    <col min="8" max="10" width="5.625" style="15" bestFit="1" customWidth="1"/>
    <col min="11" max="11" width="4.625" style="15" bestFit="1" customWidth="1"/>
    <col min="12" max="14" width="5.625" style="15" bestFit="1" customWidth="1"/>
    <col min="15" max="15" width="4.625" style="15" bestFit="1" customWidth="1"/>
    <col min="16" max="18" width="5.625" style="15" bestFit="1" customWidth="1"/>
    <col min="19" max="19" width="4.625" style="15" bestFit="1" customWidth="1"/>
    <col min="20" max="20" width="7.875" style="15" bestFit="1" customWidth="1"/>
    <col min="21" max="21" width="8.625" style="15" bestFit="1" customWidth="1"/>
    <col min="22" max="22" width="15.75390625" style="15" bestFit="1" customWidth="1"/>
  </cols>
  <sheetData>
    <row r="1" spans="2:22" s="1" customFormat="1" ht="15" customHeight="1">
      <c r="B1" s="83" t="s">
        <v>416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5"/>
    </row>
    <row r="2" spans="2:22" s="1" customFormat="1" ht="97.5" customHeight="1" thickBot="1"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s="2" customFormat="1" ht="12.75" customHeight="1">
      <c r="A3" s="75" t="s">
        <v>286</v>
      </c>
      <c r="B3" s="89" t="s">
        <v>0</v>
      </c>
      <c r="C3" s="91" t="s">
        <v>287</v>
      </c>
      <c r="D3" s="91" t="s">
        <v>288</v>
      </c>
      <c r="E3" s="77" t="s">
        <v>9</v>
      </c>
      <c r="F3" s="93" t="s">
        <v>7</v>
      </c>
      <c r="G3" s="94" t="s">
        <v>289</v>
      </c>
      <c r="H3" s="77" t="s">
        <v>1</v>
      </c>
      <c r="I3" s="77"/>
      <c r="J3" s="77"/>
      <c r="K3" s="77"/>
      <c r="L3" s="77" t="s">
        <v>2</v>
      </c>
      <c r="M3" s="77"/>
      <c r="N3" s="77"/>
      <c r="O3" s="77"/>
      <c r="P3" s="77" t="s">
        <v>3</v>
      </c>
      <c r="Q3" s="77"/>
      <c r="R3" s="77"/>
      <c r="S3" s="77"/>
      <c r="T3" s="77" t="s">
        <v>4</v>
      </c>
      <c r="U3" s="77" t="s">
        <v>6</v>
      </c>
      <c r="V3" s="79" t="s">
        <v>5</v>
      </c>
    </row>
    <row r="4" spans="1:22" s="2" customFormat="1" ht="21" customHeight="1" thickBot="1">
      <c r="A4" s="76"/>
      <c r="B4" s="90"/>
      <c r="C4" s="92"/>
      <c r="D4" s="92"/>
      <c r="E4" s="78"/>
      <c r="F4" s="92"/>
      <c r="G4" s="95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78"/>
      <c r="U4" s="78"/>
      <c r="V4" s="80"/>
    </row>
    <row r="5" spans="2:21" ht="15.75">
      <c r="B5" s="81" t="s">
        <v>210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2" ht="12.75">
      <c r="A6" s="37">
        <v>1</v>
      </c>
      <c r="B6" s="16" t="s">
        <v>341</v>
      </c>
      <c r="C6" s="16" t="s">
        <v>211</v>
      </c>
      <c r="D6" s="16" t="s">
        <v>339</v>
      </c>
      <c r="E6" s="16" t="str">
        <f>"1,2106"</f>
        <v>1,2106</v>
      </c>
      <c r="F6" s="16" t="s">
        <v>52</v>
      </c>
      <c r="G6" s="16" t="s">
        <v>14</v>
      </c>
      <c r="H6" s="31" t="s">
        <v>183</v>
      </c>
      <c r="I6" s="31" t="s">
        <v>19</v>
      </c>
      <c r="J6" s="31" t="s">
        <v>20</v>
      </c>
      <c r="K6" s="34"/>
      <c r="L6" s="31" t="s">
        <v>200</v>
      </c>
      <c r="M6" s="36" t="s">
        <v>212</v>
      </c>
      <c r="N6" s="31" t="s">
        <v>212</v>
      </c>
      <c r="O6" s="34"/>
      <c r="P6" s="31" t="s">
        <v>174</v>
      </c>
      <c r="Q6" s="36" t="s">
        <v>53</v>
      </c>
      <c r="R6" s="36" t="s">
        <v>45</v>
      </c>
      <c r="S6" s="34"/>
      <c r="T6" s="35" t="s">
        <v>162</v>
      </c>
      <c r="U6" s="35" t="str">
        <f>"338,9680"</f>
        <v>338,9680</v>
      </c>
      <c r="V6" s="16" t="s">
        <v>35</v>
      </c>
    </row>
    <row r="8" spans="2:21" ht="15.75">
      <c r="B8" s="82" t="s">
        <v>47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</row>
    <row r="9" spans="1:22" ht="12.75">
      <c r="A9" s="37">
        <v>1</v>
      </c>
      <c r="B9" s="16" t="s">
        <v>342</v>
      </c>
      <c r="C9" s="16" t="s">
        <v>213</v>
      </c>
      <c r="D9" s="16" t="s">
        <v>340</v>
      </c>
      <c r="E9" s="16" t="str">
        <f>"0,6854"</f>
        <v>0,6854</v>
      </c>
      <c r="F9" s="16" t="s">
        <v>52</v>
      </c>
      <c r="G9" s="16" t="s">
        <v>14</v>
      </c>
      <c r="H9" s="31" t="s">
        <v>49</v>
      </c>
      <c r="I9" s="31" t="s">
        <v>81</v>
      </c>
      <c r="J9" s="31" t="s">
        <v>62</v>
      </c>
      <c r="K9" s="34"/>
      <c r="L9" s="31" t="s">
        <v>53</v>
      </c>
      <c r="M9" s="36" t="s">
        <v>54</v>
      </c>
      <c r="N9" s="36" t="s">
        <v>54</v>
      </c>
      <c r="O9" s="34"/>
      <c r="P9" s="31" t="s">
        <v>63</v>
      </c>
      <c r="Q9" s="31" t="s">
        <v>158</v>
      </c>
      <c r="R9" s="36" t="s">
        <v>159</v>
      </c>
      <c r="S9" s="34"/>
      <c r="T9" s="35" t="s">
        <v>215</v>
      </c>
      <c r="U9" s="35" t="str">
        <f>"359,3415"</f>
        <v>359,3415</v>
      </c>
      <c r="V9" s="16" t="s">
        <v>214</v>
      </c>
    </row>
  </sheetData>
  <sheetProtection/>
  <mergeCells count="16">
    <mergeCell ref="F3:F4"/>
    <mergeCell ref="G3:G4"/>
    <mergeCell ref="H3:K3"/>
    <mergeCell ref="L3:O3"/>
    <mergeCell ref="P3:S3"/>
    <mergeCell ref="T3:T4"/>
    <mergeCell ref="A3:A4"/>
    <mergeCell ref="U3:U4"/>
    <mergeCell ref="V3:V4"/>
    <mergeCell ref="B5:U5"/>
    <mergeCell ref="B8:U8"/>
    <mergeCell ref="B1:V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6"/>
  <sheetViews>
    <sheetView workbookViewId="0" topLeftCell="A1">
      <selection activeCell="G31" sqref="G31"/>
    </sheetView>
  </sheetViews>
  <sheetFormatPr defaultColWidth="8.75390625" defaultRowHeight="12.75"/>
  <cols>
    <col min="1" max="1" width="6.875" style="0" customWidth="1"/>
    <col min="2" max="2" width="17.375" style="15" customWidth="1"/>
    <col min="3" max="3" width="26.25390625" style="15" customWidth="1"/>
    <col min="4" max="4" width="10.625" style="15" bestFit="1" customWidth="1"/>
    <col min="5" max="5" width="8.375" style="15" bestFit="1" customWidth="1"/>
    <col min="6" max="6" width="13.625" style="15" customWidth="1"/>
    <col min="7" max="7" width="26.875" style="15" bestFit="1" customWidth="1"/>
    <col min="8" max="10" width="5.625" style="15" bestFit="1" customWidth="1"/>
    <col min="11" max="11" width="4.625" style="15" bestFit="1" customWidth="1"/>
    <col min="12" max="14" width="5.625" style="15" bestFit="1" customWidth="1"/>
    <col min="15" max="15" width="4.625" style="15" bestFit="1" customWidth="1"/>
    <col min="16" max="18" width="5.625" style="15" bestFit="1" customWidth="1"/>
    <col min="19" max="19" width="4.625" style="15" bestFit="1" customWidth="1"/>
    <col min="20" max="20" width="7.875" style="15" bestFit="1" customWidth="1"/>
    <col min="21" max="21" width="8.625" style="15" bestFit="1" customWidth="1"/>
    <col min="22" max="22" width="12.375" style="15" bestFit="1" customWidth="1"/>
  </cols>
  <sheetData>
    <row r="1" spans="2:22" s="1" customFormat="1" ht="15" customHeight="1">
      <c r="B1" s="83" t="s">
        <v>417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5"/>
    </row>
    <row r="2" spans="2:22" s="1" customFormat="1" ht="84.75" customHeight="1" thickBot="1"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s="2" customFormat="1" ht="12.75" customHeight="1">
      <c r="A3" s="75" t="s">
        <v>286</v>
      </c>
      <c r="B3" s="89" t="s">
        <v>0</v>
      </c>
      <c r="C3" s="91" t="s">
        <v>287</v>
      </c>
      <c r="D3" s="91" t="s">
        <v>288</v>
      </c>
      <c r="E3" s="77" t="s">
        <v>9</v>
      </c>
      <c r="F3" s="93" t="s">
        <v>7</v>
      </c>
      <c r="G3" s="94" t="s">
        <v>289</v>
      </c>
      <c r="H3" s="77" t="s">
        <v>1</v>
      </c>
      <c r="I3" s="77"/>
      <c r="J3" s="77"/>
      <c r="K3" s="77"/>
      <c r="L3" s="77" t="s">
        <v>2</v>
      </c>
      <c r="M3" s="77"/>
      <c r="N3" s="77"/>
      <c r="O3" s="77"/>
      <c r="P3" s="77" t="s">
        <v>3</v>
      </c>
      <c r="Q3" s="77"/>
      <c r="R3" s="77"/>
      <c r="S3" s="77"/>
      <c r="T3" s="77" t="s">
        <v>4</v>
      </c>
      <c r="U3" s="77" t="s">
        <v>6</v>
      </c>
      <c r="V3" s="79" t="s">
        <v>5</v>
      </c>
    </row>
    <row r="4" spans="1:22" s="2" customFormat="1" ht="21" customHeight="1" thickBot="1">
      <c r="A4" s="76"/>
      <c r="B4" s="90"/>
      <c r="C4" s="92"/>
      <c r="D4" s="92"/>
      <c r="E4" s="78"/>
      <c r="F4" s="92"/>
      <c r="G4" s="95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78"/>
      <c r="U4" s="78"/>
      <c r="V4" s="80"/>
    </row>
    <row r="5" spans="2:21" ht="15.75">
      <c r="B5" s="81" t="s">
        <v>56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2" ht="12.75">
      <c r="A6" s="37">
        <v>1</v>
      </c>
      <c r="B6" s="16" t="s">
        <v>343</v>
      </c>
      <c r="C6" s="16" t="s">
        <v>208</v>
      </c>
      <c r="D6" s="16" t="s">
        <v>294</v>
      </c>
      <c r="E6" s="16" t="str">
        <f>"0,6471"</f>
        <v>0,6471</v>
      </c>
      <c r="F6" s="16" t="s">
        <v>52</v>
      </c>
      <c r="G6" s="16" t="s">
        <v>14</v>
      </c>
      <c r="H6" s="31" t="s">
        <v>159</v>
      </c>
      <c r="I6" s="36" t="s">
        <v>98</v>
      </c>
      <c r="J6" s="31" t="s">
        <v>98</v>
      </c>
      <c r="K6" s="34"/>
      <c r="L6" s="31" t="s">
        <v>45</v>
      </c>
      <c r="M6" s="31" t="s">
        <v>58</v>
      </c>
      <c r="N6" s="36" t="s">
        <v>33</v>
      </c>
      <c r="O6" s="34"/>
      <c r="P6" s="31" t="s">
        <v>146</v>
      </c>
      <c r="Q6" s="31" t="s">
        <v>166</v>
      </c>
      <c r="R6" s="31" t="s">
        <v>99</v>
      </c>
      <c r="S6" s="34"/>
      <c r="T6" s="35">
        <v>602.5</v>
      </c>
      <c r="U6" s="35" t="str">
        <f>"389,8777"</f>
        <v>389,8777</v>
      </c>
      <c r="V6" s="16" t="s">
        <v>209</v>
      </c>
    </row>
  </sheetData>
  <sheetProtection/>
  <mergeCells count="15">
    <mergeCell ref="H3:K3"/>
    <mergeCell ref="L3:O3"/>
    <mergeCell ref="P3:S3"/>
    <mergeCell ref="T3:T4"/>
    <mergeCell ref="U3:U4"/>
    <mergeCell ref="A3:A4"/>
    <mergeCell ref="V3:V4"/>
    <mergeCell ref="B5:U5"/>
    <mergeCell ref="B1:V2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13"/>
  <sheetViews>
    <sheetView workbookViewId="0" topLeftCell="A1">
      <selection activeCell="G38" sqref="G38"/>
    </sheetView>
  </sheetViews>
  <sheetFormatPr defaultColWidth="8.75390625" defaultRowHeight="12.75"/>
  <cols>
    <col min="1" max="1" width="7.25390625" style="37" customWidth="1"/>
    <col min="2" max="2" width="19.75390625" style="15" customWidth="1"/>
    <col min="3" max="3" width="27.125" style="15" bestFit="1" customWidth="1"/>
    <col min="4" max="4" width="8.75390625" style="15" customWidth="1"/>
    <col min="5" max="5" width="8.375" style="15" bestFit="1" customWidth="1"/>
    <col min="6" max="6" width="10.75390625" style="15" customWidth="1"/>
    <col min="7" max="7" width="26.875" style="15" bestFit="1" customWidth="1"/>
    <col min="8" max="10" width="5.625" style="15" bestFit="1" customWidth="1"/>
    <col min="11" max="11" width="4.625" style="15" bestFit="1" customWidth="1"/>
    <col min="12" max="14" width="5.625" style="15" bestFit="1" customWidth="1"/>
    <col min="15" max="15" width="4.625" style="15" bestFit="1" customWidth="1"/>
    <col min="16" max="18" width="5.625" style="15" bestFit="1" customWidth="1"/>
    <col min="19" max="19" width="4.625" style="15" bestFit="1" customWidth="1"/>
    <col min="20" max="20" width="7.875" style="15" bestFit="1" customWidth="1"/>
    <col min="21" max="21" width="8.625" style="15" bestFit="1" customWidth="1"/>
    <col min="22" max="22" width="15.25390625" style="15" customWidth="1"/>
  </cols>
  <sheetData>
    <row r="1" spans="1:22" s="1" customFormat="1" ht="15" customHeight="1">
      <c r="A1" s="33"/>
      <c r="B1" s="83" t="s">
        <v>418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5"/>
    </row>
    <row r="2" spans="1:22" s="1" customFormat="1" ht="89.25" customHeight="1" thickBot="1">
      <c r="A2" s="33"/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s="2" customFormat="1" ht="12.75" customHeight="1">
      <c r="A3" s="75" t="s">
        <v>286</v>
      </c>
      <c r="B3" s="89" t="s">
        <v>0</v>
      </c>
      <c r="C3" s="91" t="s">
        <v>287</v>
      </c>
      <c r="D3" s="91" t="s">
        <v>288</v>
      </c>
      <c r="E3" s="77" t="s">
        <v>9</v>
      </c>
      <c r="F3" s="93" t="s">
        <v>7</v>
      </c>
      <c r="G3" s="94" t="s">
        <v>289</v>
      </c>
      <c r="H3" s="77" t="s">
        <v>1</v>
      </c>
      <c r="I3" s="77"/>
      <c r="J3" s="77"/>
      <c r="K3" s="77"/>
      <c r="L3" s="77" t="s">
        <v>2</v>
      </c>
      <c r="M3" s="77"/>
      <c r="N3" s="77"/>
      <c r="O3" s="77"/>
      <c r="P3" s="77" t="s">
        <v>3</v>
      </c>
      <c r="Q3" s="77"/>
      <c r="R3" s="77"/>
      <c r="S3" s="77"/>
      <c r="T3" s="77" t="s">
        <v>4</v>
      </c>
      <c r="U3" s="77" t="s">
        <v>6</v>
      </c>
      <c r="V3" s="79" t="s">
        <v>5</v>
      </c>
    </row>
    <row r="4" spans="1:22" s="2" customFormat="1" ht="21" customHeight="1" thickBot="1">
      <c r="A4" s="76"/>
      <c r="B4" s="90"/>
      <c r="C4" s="92"/>
      <c r="D4" s="92"/>
      <c r="E4" s="78"/>
      <c r="F4" s="92"/>
      <c r="G4" s="95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78"/>
      <c r="U4" s="78"/>
      <c r="V4" s="80"/>
    </row>
    <row r="5" spans="2:21" ht="15.75">
      <c r="B5" s="81" t="s">
        <v>22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2" ht="12.75">
      <c r="A6" s="37">
        <v>1</v>
      </c>
      <c r="B6" s="16" t="s">
        <v>196</v>
      </c>
      <c r="C6" s="16" t="s">
        <v>197</v>
      </c>
      <c r="D6" s="16" t="s">
        <v>260</v>
      </c>
      <c r="E6" s="16" t="str">
        <f>"1,0206"</f>
        <v>1,0206</v>
      </c>
      <c r="F6" s="16" t="s">
        <v>13</v>
      </c>
      <c r="G6" s="16" t="s">
        <v>26</v>
      </c>
      <c r="H6" s="31" t="s">
        <v>182</v>
      </c>
      <c r="I6" s="36" t="s">
        <v>198</v>
      </c>
      <c r="J6" s="31" t="s">
        <v>199</v>
      </c>
      <c r="K6" s="34"/>
      <c r="L6" s="31" t="s">
        <v>15</v>
      </c>
      <c r="M6" s="31" t="s">
        <v>16</v>
      </c>
      <c r="N6" s="36" t="s">
        <v>200</v>
      </c>
      <c r="O6" s="34"/>
      <c r="P6" s="31" t="s">
        <v>182</v>
      </c>
      <c r="Q6" s="31" t="s">
        <v>199</v>
      </c>
      <c r="R6" s="31" t="s">
        <v>19</v>
      </c>
      <c r="S6" s="34"/>
      <c r="T6" s="35" t="s">
        <v>98</v>
      </c>
      <c r="U6" s="35" t="str">
        <f>"224,5320"</f>
        <v>224,5320</v>
      </c>
      <c r="V6" s="16" t="s">
        <v>346</v>
      </c>
    </row>
    <row r="8" spans="2:21" ht="15.75">
      <c r="B8" s="82" t="s">
        <v>47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</row>
    <row r="9" spans="1:22" ht="12.75">
      <c r="A9" s="37">
        <v>1</v>
      </c>
      <c r="B9" s="17" t="s">
        <v>349</v>
      </c>
      <c r="C9" s="17" t="s">
        <v>201</v>
      </c>
      <c r="D9" s="17" t="s">
        <v>344</v>
      </c>
      <c r="E9" s="17" t="str">
        <f>"0,6739"</f>
        <v>0,6739</v>
      </c>
      <c r="F9" s="17" t="s">
        <v>13</v>
      </c>
      <c r="G9" s="17" t="s">
        <v>32</v>
      </c>
      <c r="H9" s="42" t="s">
        <v>158</v>
      </c>
      <c r="I9" s="45" t="s">
        <v>159</v>
      </c>
      <c r="J9" s="42" t="s">
        <v>159</v>
      </c>
      <c r="K9" s="39"/>
      <c r="L9" s="42" t="s">
        <v>163</v>
      </c>
      <c r="M9" s="42" t="s">
        <v>53</v>
      </c>
      <c r="N9" s="39"/>
      <c r="O9" s="39"/>
      <c r="P9" s="42" t="s">
        <v>159</v>
      </c>
      <c r="Q9" s="45" t="s">
        <v>146</v>
      </c>
      <c r="R9" s="45" t="s">
        <v>146</v>
      </c>
      <c r="S9" s="39"/>
      <c r="T9" s="38" t="s">
        <v>206</v>
      </c>
      <c r="U9" s="38" t="str">
        <f>"374,0145"</f>
        <v>374,0145</v>
      </c>
      <c r="V9" s="17" t="s">
        <v>35</v>
      </c>
    </row>
    <row r="10" spans="1:22" ht="12.75">
      <c r="A10" s="37">
        <v>1</v>
      </c>
      <c r="B10" s="19" t="s">
        <v>350</v>
      </c>
      <c r="C10" s="19" t="s">
        <v>202</v>
      </c>
      <c r="D10" s="19" t="s">
        <v>345</v>
      </c>
      <c r="E10" s="19" t="str">
        <f>"0,6749"</f>
        <v>0,6749</v>
      </c>
      <c r="F10" s="19" t="s">
        <v>13</v>
      </c>
      <c r="G10" s="19" t="s">
        <v>32</v>
      </c>
      <c r="H10" s="43" t="s">
        <v>77</v>
      </c>
      <c r="I10" s="43" t="s">
        <v>158</v>
      </c>
      <c r="J10" s="43" t="s">
        <v>159</v>
      </c>
      <c r="K10" s="41"/>
      <c r="L10" s="43" t="s">
        <v>41</v>
      </c>
      <c r="M10" s="43" t="s">
        <v>138</v>
      </c>
      <c r="N10" s="43" t="s">
        <v>163</v>
      </c>
      <c r="O10" s="41"/>
      <c r="P10" s="43" t="s">
        <v>98</v>
      </c>
      <c r="Q10" s="43" t="s">
        <v>203</v>
      </c>
      <c r="R10" s="41"/>
      <c r="S10" s="41"/>
      <c r="T10" s="40">
        <v>567.5</v>
      </c>
      <c r="U10" s="40" t="str">
        <f>"383,0057"</f>
        <v>383,0057</v>
      </c>
      <c r="V10" s="19" t="s">
        <v>347</v>
      </c>
    </row>
    <row r="12" spans="2:21" ht="15.75">
      <c r="B12" s="82" t="s">
        <v>56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</row>
    <row r="13" spans="1:22" ht="12.75">
      <c r="A13" s="37">
        <v>1</v>
      </c>
      <c r="B13" s="16" t="s">
        <v>351</v>
      </c>
      <c r="C13" s="16" t="s">
        <v>204</v>
      </c>
      <c r="D13" s="16" t="s">
        <v>333</v>
      </c>
      <c r="E13" s="16" t="str">
        <f>"0,6499"</f>
        <v>0,6499</v>
      </c>
      <c r="F13" s="16" t="s">
        <v>13</v>
      </c>
      <c r="G13" s="16" t="s">
        <v>14</v>
      </c>
      <c r="H13" s="31" t="s">
        <v>163</v>
      </c>
      <c r="I13" s="31" t="s">
        <v>54</v>
      </c>
      <c r="J13" s="31" t="s">
        <v>27</v>
      </c>
      <c r="K13" s="34"/>
      <c r="L13" s="36" t="s">
        <v>20</v>
      </c>
      <c r="M13" s="31" t="s">
        <v>20</v>
      </c>
      <c r="N13" s="36" t="s">
        <v>205</v>
      </c>
      <c r="O13" s="34"/>
      <c r="P13" s="31" t="s">
        <v>54</v>
      </c>
      <c r="Q13" s="31" t="s">
        <v>29</v>
      </c>
      <c r="R13" s="36" t="s">
        <v>62</v>
      </c>
      <c r="S13" s="34"/>
      <c r="T13" s="35" t="s">
        <v>207</v>
      </c>
      <c r="U13" s="35" t="str">
        <f>"266,4590"</f>
        <v>266,4590</v>
      </c>
      <c r="V13" s="16" t="s">
        <v>348</v>
      </c>
    </row>
  </sheetData>
  <sheetProtection/>
  <mergeCells count="17">
    <mergeCell ref="B12:U12"/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A3:A4"/>
    <mergeCell ref="T3:T4"/>
    <mergeCell ref="U3:U4"/>
    <mergeCell ref="V3:V4"/>
    <mergeCell ref="B5:U5"/>
    <mergeCell ref="B8:U8"/>
    <mergeCell ref="P3:S3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workbookViewId="0" topLeftCell="A1">
      <selection activeCell="D14" sqref="D14"/>
    </sheetView>
  </sheetViews>
  <sheetFormatPr defaultColWidth="9.125" defaultRowHeight="12.75"/>
  <cols>
    <col min="1" max="1" width="7.125" style="1" customWidth="1"/>
    <col min="2" max="2" width="19.625" style="4" customWidth="1"/>
    <col min="3" max="3" width="26.75390625" style="1" customWidth="1"/>
    <col min="4" max="4" width="10.625" style="1" bestFit="1" customWidth="1"/>
    <col min="5" max="5" width="8.375" style="1" bestFit="1" customWidth="1"/>
    <col min="6" max="6" width="12.75390625" style="5" customWidth="1"/>
    <col min="7" max="7" width="26.00390625" style="5" bestFit="1" customWidth="1"/>
    <col min="8" max="14" width="4.625" style="1" bestFit="1" customWidth="1"/>
    <col min="15" max="15" width="5.75390625" style="1" customWidth="1"/>
    <col min="16" max="16" width="7.875" style="4" bestFit="1" customWidth="1"/>
    <col min="17" max="17" width="7.625" style="1" bestFit="1" customWidth="1"/>
    <col min="18" max="18" width="15.375" style="5" bestFit="1" customWidth="1"/>
    <col min="19" max="16384" width="9.125" style="1" customWidth="1"/>
  </cols>
  <sheetData>
    <row r="1" spans="2:18" ht="15" customHeight="1">
      <c r="B1" s="83" t="s">
        <v>434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5"/>
    </row>
    <row r="2" spans="2:18" ht="87" customHeight="1" thickBot="1"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8"/>
    </row>
    <row r="3" spans="1:18" s="2" customFormat="1" ht="12.75" customHeight="1">
      <c r="A3" s="75" t="s">
        <v>286</v>
      </c>
      <c r="B3" s="89" t="s">
        <v>0</v>
      </c>
      <c r="C3" s="91" t="s">
        <v>287</v>
      </c>
      <c r="D3" s="91" t="s">
        <v>288</v>
      </c>
      <c r="E3" s="93" t="s">
        <v>263</v>
      </c>
      <c r="F3" s="93" t="s">
        <v>7</v>
      </c>
      <c r="G3" s="94" t="s">
        <v>289</v>
      </c>
      <c r="H3" s="77" t="s">
        <v>273</v>
      </c>
      <c r="I3" s="77"/>
      <c r="J3" s="77"/>
      <c r="K3" s="77"/>
      <c r="L3" s="77" t="s">
        <v>272</v>
      </c>
      <c r="M3" s="77"/>
      <c r="N3" s="77"/>
      <c r="O3" s="77"/>
      <c r="P3" s="77" t="s">
        <v>4</v>
      </c>
      <c r="Q3" s="77" t="s">
        <v>6</v>
      </c>
      <c r="R3" s="79" t="s">
        <v>5</v>
      </c>
    </row>
    <row r="4" spans="1:18" s="2" customFormat="1" ht="21" customHeight="1" thickBot="1">
      <c r="A4" s="76"/>
      <c r="B4" s="90"/>
      <c r="C4" s="92"/>
      <c r="D4" s="92"/>
      <c r="E4" s="92"/>
      <c r="F4" s="92"/>
      <c r="G4" s="95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78"/>
      <c r="Q4" s="78"/>
      <c r="R4" s="80"/>
    </row>
    <row r="5" spans="2:17" ht="15.75">
      <c r="B5" s="97" t="s">
        <v>56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8" ht="12.75">
      <c r="A6" s="33" t="s">
        <v>291</v>
      </c>
      <c r="B6" s="27" t="s">
        <v>235</v>
      </c>
      <c r="C6" s="7" t="s">
        <v>236</v>
      </c>
      <c r="D6" s="7" t="s">
        <v>293</v>
      </c>
      <c r="E6" s="6" t="str">
        <f>"0,6290"</f>
        <v>0,6290</v>
      </c>
      <c r="F6" s="7" t="s">
        <v>13</v>
      </c>
      <c r="G6" s="7" t="s">
        <v>39</v>
      </c>
      <c r="H6" s="31" t="s">
        <v>269</v>
      </c>
      <c r="I6" s="31" t="s">
        <v>182</v>
      </c>
      <c r="J6" s="32" t="s">
        <v>198</v>
      </c>
      <c r="K6" s="30"/>
      <c r="L6" s="31" t="s">
        <v>16</v>
      </c>
      <c r="M6" s="31" t="s">
        <v>270</v>
      </c>
      <c r="N6" s="31" t="s">
        <v>275</v>
      </c>
      <c r="O6" s="30"/>
      <c r="P6" s="29" t="s">
        <v>274</v>
      </c>
      <c r="Q6" s="29" t="str">
        <f>"83,3425"</f>
        <v>83,3425</v>
      </c>
      <c r="R6" s="7" t="s">
        <v>35</v>
      </c>
    </row>
    <row r="40" ht="12.75">
      <c r="F40" s="5" t="s">
        <v>424</v>
      </c>
    </row>
  </sheetData>
  <sheetProtection/>
  <mergeCells count="14">
    <mergeCell ref="F3:F4"/>
    <mergeCell ref="E3:E4"/>
    <mergeCell ref="P3:P4"/>
    <mergeCell ref="Q3:Q4"/>
    <mergeCell ref="A3:A4"/>
    <mergeCell ref="B5:Q5"/>
    <mergeCell ref="B1:R2"/>
    <mergeCell ref="L3:O3"/>
    <mergeCell ref="H3:K3"/>
    <mergeCell ref="B3:B4"/>
    <mergeCell ref="C3:C4"/>
    <mergeCell ref="D3:D4"/>
    <mergeCell ref="R3:R4"/>
    <mergeCell ref="G3:G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19"/>
  <sheetViews>
    <sheetView workbookViewId="0" topLeftCell="A1">
      <selection activeCell="G35" sqref="G35"/>
    </sheetView>
  </sheetViews>
  <sheetFormatPr defaultColWidth="8.75390625" defaultRowHeight="12.75"/>
  <cols>
    <col min="1" max="1" width="6.875" style="37" customWidth="1"/>
    <col min="2" max="2" width="17.00390625" style="15" customWidth="1"/>
    <col min="3" max="3" width="27.125" style="15" bestFit="1" customWidth="1"/>
    <col min="4" max="4" width="9.125" style="15" customWidth="1"/>
    <col min="5" max="5" width="8.375" style="15" bestFit="1" customWidth="1"/>
    <col min="6" max="6" width="11.75390625" style="15" customWidth="1"/>
    <col min="7" max="7" width="28.25390625" style="15" bestFit="1" customWidth="1"/>
    <col min="8" max="10" width="5.625" style="15" bestFit="1" customWidth="1"/>
    <col min="11" max="11" width="4.625" style="15" bestFit="1" customWidth="1"/>
    <col min="12" max="14" width="5.625" style="15" bestFit="1" customWidth="1"/>
    <col min="15" max="15" width="4.625" style="15" bestFit="1" customWidth="1"/>
    <col min="16" max="18" width="5.625" style="15" bestFit="1" customWidth="1"/>
    <col min="19" max="19" width="4.625" style="15" bestFit="1" customWidth="1"/>
    <col min="20" max="20" width="7.875" style="15" bestFit="1" customWidth="1"/>
    <col min="21" max="21" width="8.625" style="15" bestFit="1" customWidth="1"/>
    <col min="22" max="22" width="15.25390625" style="15" customWidth="1"/>
  </cols>
  <sheetData>
    <row r="1" spans="1:22" s="1" customFormat="1" ht="15" customHeight="1">
      <c r="A1" s="33"/>
      <c r="B1" s="83" t="s">
        <v>419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5"/>
    </row>
    <row r="2" spans="1:22" s="1" customFormat="1" ht="91.5" customHeight="1" thickBot="1">
      <c r="A2" s="33"/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</row>
    <row r="3" spans="1:22" s="2" customFormat="1" ht="12.75" customHeight="1">
      <c r="A3" s="75" t="s">
        <v>286</v>
      </c>
      <c r="B3" s="89" t="s">
        <v>0</v>
      </c>
      <c r="C3" s="91" t="s">
        <v>287</v>
      </c>
      <c r="D3" s="91" t="s">
        <v>288</v>
      </c>
      <c r="E3" s="77" t="s">
        <v>9</v>
      </c>
      <c r="F3" s="93" t="s">
        <v>7</v>
      </c>
      <c r="G3" s="94" t="s">
        <v>289</v>
      </c>
      <c r="H3" s="77" t="s">
        <v>1</v>
      </c>
      <c r="I3" s="77"/>
      <c r="J3" s="77"/>
      <c r="K3" s="77"/>
      <c r="L3" s="77" t="s">
        <v>2</v>
      </c>
      <c r="M3" s="77"/>
      <c r="N3" s="77"/>
      <c r="O3" s="77"/>
      <c r="P3" s="77" t="s">
        <v>3</v>
      </c>
      <c r="Q3" s="77"/>
      <c r="R3" s="77"/>
      <c r="S3" s="77"/>
      <c r="T3" s="77" t="s">
        <v>4</v>
      </c>
      <c r="U3" s="77" t="s">
        <v>6</v>
      </c>
      <c r="V3" s="79" t="s">
        <v>5</v>
      </c>
    </row>
    <row r="4" spans="1:22" s="2" customFormat="1" ht="21" customHeight="1" thickBot="1">
      <c r="A4" s="76"/>
      <c r="B4" s="90"/>
      <c r="C4" s="92"/>
      <c r="D4" s="92"/>
      <c r="E4" s="78"/>
      <c r="F4" s="92"/>
      <c r="G4" s="95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78"/>
      <c r="U4" s="78"/>
      <c r="V4" s="80"/>
    </row>
    <row r="5" spans="2:21" ht="15.75">
      <c r="B5" s="81" t="s">
        <v>17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2" ht="12.75">
      <c r="A6" s="37">
        <v>1</v>
      </c>
      <c r="B6" s="16" t="s">
        <v>352</v>
      </c>
      <c r="C6" s="16" t="s">
        <v>37</v>
      </c>
      <c r="D6" s="16" t="s">
        <v>355</v>
      </c>
      <c r="E6" s="16" t="str">
        <f>"0,7264"</f>
        <v>0,7264</v>
      </c>
      <c r="F6" s="16" t="s">
        <v>38</v>
      </c>
      <c r="G6" s="16" t="s">
        <v>39</v>
      </c>
      <c r="H6" s="31" t="s">
        <v>163</v>
      </c>
      <c r="I6" s="31" t="s">
        <v>54</v>
      </c>
      <c r="J6" s="31" t="s">
        <v>45</v>
      </c>
      <c r="K6" s="34"/>
      <c r="L6" s="31" t="s">
        <v>21</v>
      </c>
      <c r="M6" s="31" t="s">
        <v>40</v>
      </c>
      <c r="N6" s="36" t="s">
        <v>41</v>
      </c>
      <c r="O6" s="34"/>
      <c r="P6" s="31" t="s">
        <v>81</v>
      </c>
      <c r="Q6" s="36" t="s">
        <v>77</v>
      </c>
      <c r="R6" s="31" t="s">
        <v>77</v>
      </c>
      <c r="S6" s="34"/>
      <c r="T6" s="35" t="s">
        <v>195</v>
      </c>
      <c r="U6" s="35" t="str">
        <f>"326,8800"</f>
        <v>326,8800</v>
      </c>
      <c r="V6" s="16" t="s">
        <v>362</v>
      </c>
    </row>
    <row r="8" spans="2:21" ht="15.75">
      <c r="B8" s="82" t="s">
        <v>56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</row>
    <row r="9" spans="1:22" ht="12.75">
      <c r="A9" s="37">
        <v>1</v>
      </c>
      <c r="B9" s="17" t="s">
        <v>164</v>
      </c>
      <c r="C9" s="17" t="s">
        <v>165</v>
      </c>
      <c r="D9" s="17" t="s">
        <v>356</v>
      </c>
      <c r="E9" s="17" t="str">
        <f>"0,6459"</f>
        <v>0,6459</v>
      </c>
      <c r="F9" s="17" t="s">
        <v>13</v>
      </c>
      <c r="G9" s="17" t="s">
        <v>32</v>
      </c>
      <c r="H9" s="42" t="s">
        <v>146</v>
      </c>
      <c r="I9" s="42" t="s">
        <v>166</v>
      </c>
      <c r="J9" s="42" t="s">
        <v>167</v>
      </c>
      <c r="K9" s="39"/>
      <c r="L9" s="42" t="s">
        <v>67</v>
      </c>
      <c r="M9" s="42" t="s">
        <v>168</v>
      </c>
      <c r="N9" s="45" t="s">
        <v>158</v>
      </c>
      <c r="O9" s="39"/>
      <c r="P9" s="42" t="s">
        <v>169</v>
      </c>
      <c r="Q9" s="45" t="s">
        <v>170</v>
      </c>
      <c r="R9" s="45" t="s">
        <v>170</v>
      </c>
      <c r="S9" s="39"/>
      <c r="T9" s="38" t="s">
        <v>192</v>
      </c>
      <c r="U9" s="38" t="str">
        <f>"439,2120"</f>
        <v>439,2120</v>
      </c>
      <c r="V9" s="17" t="s">
        <v>35</v>
      </c>
    </row>
    <row r="10" spans="1:22" ht="12.75">
      <c r="A10" s="37">
        <v>1</v>
      </c>
      <c r="B10" s="18" t="s">
        <v>171</v>
      </c>
      <c r="C10" s="18" t="s">
        <v>172</v>
      </c>
      <c r="D10" s="18" t="s">
        <v>333</v>
      </c>
      <c r="E10" s="18" t="str">
        <f>"0,6499"</f>
        <v>0,6499</v>
      </c>
      <c r="F10" s="18" t="s">
        <v>13</v>
      </c>
      <c r="G10" s="18" t="s">
        <v>14</v>
      </c>
      <c r="H10" s="55" t="s">
        <v>158</v>
      </c>
      <c r="I10" s="55" t="s">
        <v>146</v>
      </c>
      <c r="J10" s="57" t="s">
        <v>173</v>
      </c>
      <c r="K10" s="47"/>
      <c r="L10" s="55" t="s">
        <v>174</v>
      </c>
      <c r="M10" s="55" t="s">
        <v>53</v>
      </c>
      <c r="N10" s="55" t="s">
        <v>45</v>
      </c>
      <c r="O10" s="47"/>
      <c r="P10" s="55" t="s">
        <v>158</v>
      </c>
      <c r="Q10" s="55" t="s">
        <v>175</v>
      </c>
      <c r="R10" s="57" t="s">
        <v>98</v>
      </c>
      <c r="S10" s="47"/>
      <c r="T10" s="46">
        <v>572.5</v>
      </c>
      <c r="U10" s="46" t="str">
        <f>"372,0678"</f>
        <v>372,0678</v>
      </c>
      <c r="V10" s="18" t="s">
        <v>363</v>
      </c>
    </row>
    <row r="11" spans="2:22" ht="12.75">
      <c r="B11" s="19" t="s">
        <v>176</v>
      </c>
      <c r="C11" s="19" t="s">
        <v>177</v>
      </c>
      <c r="D11" s="19" t="s">
        <v>357</v>
      </c>
      <c r="E11" s="19" t="str">
        <f>"0,6491"</f>
        <v>0,6491</v>
      </c>
      <c r="F11" s="19" t="s">
        <v>13</v>
      </c>
      <c r="G11" s="19" t="s">
        <v>14</v>
      </c>
      <c r="H11" s="44" t="s">
        <v>62</v>
      </c>
      <c r="I11" s="43" t="s">
        <v>62</v>
      </c>
      <c r="J11" s="43" t="s">
        <v>178</v>
      </c>
      <c r="K11" s="41"/>
      <c r="L11" s="44" t="s">
        <v>27</v>
      </c>
      <c r="M11" s="44" t="s">
        <v>27</v>
      </c>
      <c r="N11" s="44" t="s">
        <v>27</v>
      </c>
      <c r="O11" s="41"/>
      <c r="P11" s="41"/>
      <c r="Q11" s="41"/>
      <c r="R11" s="41"/>
      <c r="S11" s="41"/>
      <c r="T11" s="40">
        <v>0</v>
      </c>
      <c r="U11" s="40" t="s">
        <v>361</v>
      </c>
      <c r="V11" s="19" t="s">
        <v>364</v>
      </c>
    </row>
    <row r="13" spans="2:21" ht="15.75">
      <c r="B13" s="82" t="s">
        <v>60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</row>
    <row r="14" spans="1:22" ht="12.75">
      <c r="A14" s="37">
        <v>1</v>
      </c>
      <c r="B14" s="17" t="s">
        <v>179</v>
      </c>
      <c r="C14" s="17" t="s">
        <v>180</v>
      </c>
      <c r="D14" s="17" t="s">
        <v>358</v>
      </c>
      <c r="E14" s="17" t="str">
        <f>"0,6257"</f>
        <v>0,6257</v>
      </c>
      <c r="F14" s="17" t="s">
        <v>13</v>
      </c>
      <c r="G14" s="17" t="s">
        <v>14</v>
      </c>
      <c r="H14" s="45" t="s">
        <v>20</v>
      </c>
      <c r="I14" s="42" t="s">
        <v>20</v>
      </c>
      <c r="J14" s="45" t="s">
        <v>21</v>
      </c>
      <c r="K14" s="39"/>
      <c r="L14" s="42" t="s">
        <v>181</v>
      </c>
      <c r="M14" s="42" t="s">
        <v>182</v>
      </c>
      <c r="N14" s="45" t="s">
        <v>183</v>
      </c>
      <c r="O14" s="39"/>
      <c r="P14" s="42" t="s">
        <v>41</v>
      </c>
      <c r="Q14" s="45" t="s">
        <v>27</v>
      </c>
      <c r="R14" s="45" t="s">
        <v>27</v>
      </c>
      <c r="S14" s="39"/>
      <c r="T14" s="38" t="s">
        <v>191</v>
      </c>
      <c r="U14" s="38" t="str">
        <f>"184,5815"</f>
        <v>184,5815</v>
      </c>
      <c r="V14" s="17" t="s">
        <v>322</v>
      </c>
    </row>
    <row r="15" spans="1:22" ht="12.75">
      <c r="A15" s="37">
        <v>1</v>
      </c>
      <c r="B15" s="18" t="s">
        <v>353</v>
      </c>
      <c r="C15" s="18" t="s">
        <v>185</v>
      </c>
      <c r="D15" s="18" t="s">
        <v>305</v>
      </c>
      <c r="E15" s="18" t="str">
        <f>"0,6191"</f>
        <v>0,6191</v>
      </c>
      <c r="F15" s="18" t="s">
        <v>38</v>
      </c>
      <c r="G15" s="18" t="s">
        <v>94</v>
      </c>
      <c r="H15" s="55" t="s">
        <v>98</v>
      </c>
      <c r="I15" s="55" t="s">
        <v>99</v>
      </c>
      <c r="J15" s="55" t="s">
        <v>100</v>
      </c>
      <c r="K15" s="47"/>
      <c r="L15" s="55" t="s">
        <v>81</v>
      </c>
      <c r="M15" s="57" t="s">
        <v>186</v>
      </c>
      <c r="N15" s="47"/>
      <c r="O15" s="47"/>
      <c r="P15" s="57" t="s">
        <v>100</v>
      </c>
      <c r="Q15" s="55" t="s">
        <v>100</v>
      </c>
      <c r="R15" s="47"/>
      <c r="S15" s="47"/>
      <c r="T15" s="46" t="s">
        <v>193</v>
      </c>
      <c r="U15" s="46" t="str">
        <f>"402,4150"</f>
        <v>402,4150</v>
      </c>
      <c r="V15" s="18" t="s">
        <v>35</v>
      </c>
    </row>
    <row r="16" spans="1:22" ht="12.75">
      <c r="A16" s="37">
        <v>1</v>
      </c>
      <c r="B16" s="19" t="s">
        <v>354</v>
      </c>
      <c r="C16" s="19" t="s">
        <v>187</v>
      </c>
      <c r="D16" s="19" t="s">
        <v>359</v>
      </c>
      <c r="E16" s="19" t="str">
        <f>"0,6349"</f>
        <v>0,6349</v>
      </c>
      <c r="F16" s="19" t="s">
        <v>52</v>
      </c>
      <c r="G16" s="19" t="s">
        <v>14</v>
      </c>
      <c r="H16" s="43" t="s">
        <v>158</v>
      </c>
      <c r="I16" s="43" t="s">
        <v>98</v>
      </c>
      <c r="J16" s="44" t="s">
        <v>166</v>
      </c>
      <c r="K16" s="41"/>
      <c r="L16" s="43" t="s">
        <v>163</v>
      </c>
      <c r="M16" s="43" t="s">
        <v>54</v>
      </c>
      <c r="N16" s="43" t="s">
        <v>188</v>
      </c>
      <c r="O16" s="41"/>
      <c r="P16" s="43" t="s">
        <v>158</v>
      </c>
      <c r="Q16" s="43" t="s">
        <v>166</v>
      </c>
      <c r="R16" s="44" t="s">
        <v>167</v>
      </c>
      <c r="S16" s="41"/>
      <c r="T16" s="40">
        <v>592.5</v>
      </c>
      <c r="U16" s="40" t="str">
        <f>"376,1782"</f>
        <v>376,1782</v>
      </c>
      <c r="V16" s="19" t="s">
        <v>321</v>
      </c>
    </row>
    <row r="17" ht="12.75">
      <c r="L17" s="56"/>
    </row>
    <row r="18" spans="2:21" ht="15.75">
      <c r="B18" s="82" t="s">
        <v>95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</row>
    <row r="19" spans="1:22" ht="12.75">
      <c r="A19" s="37">
        <v>1</v>
      </c>
      <c r="B19" s="16" t="s">
        <v>189</v>
      </c>
      <c r="C19" s="16" t="s">
        <v>190</v>
      </c>
      <c r="D19" s="16" t="s">
        <v>360</v>
      </c>
      <c r="E19" s="16" t="str">
        <f>"0,5824"</f>
        <v>0,5824</v>
      </c>
      <c r="F19" s="16" t="s">
        <v>52</v>
      </c>
      <c r="G19" s="16" t="s">
        <v>14</v>
      </c>
      <c r="H19" s="31" t="s">
        <v>158</v>
      </c>
      <c r="I19" s="31" t="s">
        <v>98</v>
      </c>
      <c r="J19" s="36" t="s">
        <v>166</v>
      </c>
      <c r="K19" s="34"/>
      <c r="L19" s="31" t="s">
        <v>29</v>
      </c>
      <c r="M19" s="31" t="s">
        <v>81</v>
      </c>
      <c r="N19" s="36" t="s">
        <v>62</v>
      </c>
      <c r="O19" s="34"/>
      <c r="P19" s="31" t="s">
        <v>99</v>
      </c>
      <c r="Q19" s="31" t="s">
        <v>169</v>
      </c>
      <c r="R19" s="31" t="s">
        <v>148</v>
      </c>
      <c r="S19" s="34"/>
      <c r="T19" s="35" t="s">
        <v>194</v>
      </c>
      <c r="U19" s="35" t="str">
        <f>"375,6480"</f>
        <v>375,6480</v>
      </c>
      <c r="V19" s="16" t="s">
        <v>321</v>
      </c>
    </row>
  </sheetData>
  <sheetProtection/>
  <mergeCells count="18"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  <mergeCell ref="A3:A4"/>
    <mergeCell ref="B18:U18"/>
    <mergeCell ref="T3:T4"/>
    <mergeCell ref="U3:U4"/>
    <mergeCell ref="V3:V4"/>
    <mergeCell ref="B5:U5"/>
    <mergeCell ref="B8:U8"/>
    <mergeCell ref="B13:U13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F20" sqref="F20"/>
    </sheetView>
  </sheetViews>
  <sheetFormatPr defaultColWidth="8.75390625" defaultRowHeight="12.75"/>
  <cols>
    <col min="1" max="1" width="8.125" style="0" customWidth="1"/>
    <col min="2" max="2" width="21.875" style="15" customWidth="1"/>
    <col min="3" max="3" width="27.625" style="15" customWidth="1"/>
    <col min="4" max="4" width="9.125" style="15" customWidth="1"/>
    <col min="5" max="5" width="8.375" style="15" bestFit="1" customWidth="1"/>
    <col min="6" max="6" width="16.125" style="15" customWidth="1"/>
    <col min="7" max="7" width="26.875" style="15" bestFit="1" customWidth="1"/>
    <col min="8" max="10" width="5.625" style="15" bestFit="1" customWidth="1"/>
    <col min="11" max="11" width="4.625" style="15" bestFit="1" customWidth="1"/>
    <col min="12" max="12" width="11.375" style="15" customWidth="1"/>
    <col min="13" max="13" width="8.625" style="15" bestFit="1" customWidth="1"/>
    <col min="14" max="14" width="15.75390625" style="15" bestFit="1" customWidth="1"/>
  </cols>
  <sheetData>
    <row r="1" spans="2:14" s="1" customFormat="1" ht="15" customHeight="1">
      <c r="B1" s="83" t="s">
        <v>425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5"/>
    </row>
    <row r="2" spans="2:14" s="1" customFormat="1" ht="96" customHeight="1" thickBot="1"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</row>
    <row r="3" spans="1:14" s="2" customFormat="1" ht="12.75" customHeight="1">
      <c r="A3" s="75" t="s">
        <v>286</v>
      </c>
      <c r="B3" s="89" t="s">
        <v>0</v>
      </c>
      <c r="C3" s="91" t="s">
        <v>287</v>
      </c>
      <c r="D3" s="91" t="s">
        <v>288</v>
      </c>
      <c r="E3" s="77" t="s">
        <v>9</v>
      </c>
      <c r="F3" s="93" t="s">
        <v>7</v>
      </c>
      <c r="G3" s="94" t="s">
        <v>289</v>
      </c>
      <c r="H3" s="77" t="s">
        <v>3</v>
      </c>
      <c r="I3" s="77"/>
      <c r="J3" s="77"/>
      <c r="K3" s="77"/>
      <c r="L3" s="77" t="s">
        <v>290</v>
      </c>
      <c r="M3" s="77" t="s">
        <v>6</v>
      </c>
      <c r="N3" s="79" t="s">
        <v>5</v>
      </c>
    </row>
    <row r="4" spans="1:14" s="2" customFormat="1" ht="21" customHeight="1" thickBot="1">
      <c r="A4" s="76"/>
      <c r="B4" s="90"/>
      <c r="C4" s="92"/>
      <c r="D4" s="92"/>
      <c r="E4" s="78"/>
      <c r="F4" s="92"/>
      <c r="G4" s="95"/>
      <c r="H4" s="3">
        <v>1</v>
      </c>
      <c r="I4" s="3">
        <v>2</v>
      </c>
      <c r="J4" s="3">
        <v>3</v>
      </c>
      <c r="K4" s="3" t="s">
        <v>8</v>
      </c>
      <c r="L4" s="78"/>
      <c r="M4" s="78"/>
      <c r="N4" s="80"/>
    </row>
    <row r="5" spans="2:13" ht="15.75">
      <c r="B5" s="81" t="s">
        <v>78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4" ht="12.75">
      <c r="A6" s="37">
        <v>1</v>
      </c>
      <c r="B6" s="16" t="s">
        <v>231</v>
      </c>
      <c r="C6" s="16" t="s">
        <v>232</v>
      </c>
      <c r="D6" s="16" t="s">
        <v>326</v>
      </c>
      <c r="E6" s="16" t="str">
        <f>"0,5902"</f>
        <v>0,5902</v>
      </c>
      <c r="F6" s="16" t="s">
        <v>52</v>
      </c>
      <c r="G6" s="16" t="s">
        <v>14</v>
      </c>
      <c r="H6" s="31" t="s">
        <v>170</v>
      </c>
      <c r="I6" s="31" t="s">
        <v>233</v>
      </c>
      <c r="J6" s="31" t="s">
        <v>234</v>
      </c>
      <c r="K6" s="34"/>
      <c r="L6" s="35">
        <v>302.5</v>
      </c>
      <c r="M6" s="35" t="str">
        <f>"178,5355"</f>
        <v>178,5355</v>
      </c>
      <c r="N6" s="16" t="s">
        <v>35</v>
      </c>
    </row>
  </sheetData>
  <sheetProtection/>
  <mergeCells count="13">
    <mergeCell ref="M3:M4"/>
    <mergeCell ref="N3:N4"/>
    <mergeCell ref="B5:M5"/>
    <mergeCell ref="A3:A4"/>
    <mergeCell ref="B1:N2"/>
    <mergeCell ref="B3:B4"/>
    <mergeCell ref="C3:C4"/>
    <mergeCell ref="D3:D4"/>
    <mergeCell ref="E3:E4"/>
    <mergeCell ref="F3:F4"/>
    <mergeCell ref="G3:G4"/>
    <mergeCell ref="H3:K3"/>
    <mergeCell ref="L3:L4"/>
  </mergeCell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G28" sqref="G28"/>
    </sheetView>
  </sheetViews>
  <sheetFormatPr defaultColWidth="8.75390625" defaultRowHeight="12.75"/>
  <cols>
    <col min="1" max="1" width="8.125" style="0" customWidth="1"/>
    <col min="2" max="2" width="20.375" style="15" customWidth="1"/>
    <col min="3" max="3" width="26.00390625" style="15" bestFit="1" customWidth="1"/>
    <col min="4" max="4" width="9.25390625" style="15" customWidth="1"/>
    <col min="5" max="5" width="8.375" style="15" bestFit="1" customWidth="1"/>
    <col min="6" max="6" width="15.125" style="15" customWidth="1"/>
    <col min="7" max="7" width="26.875" style="15" bestFit="1" customWidth="1"/>
    <col min="8" max="10" width="5.625" style="15" bestFit="1" customWidth="1"/>
    <col min="11" max="11" width="4.625" style="15" bestFit="1" customWidth="1"/>
    <col min="12" max="12" width="12.375" style="15" customWidth="1"/>
    <col min="13" max="13" width="8.625" style="15" bestFit="1" customWidth="1"/>
    <col min="14" max="14" width="15.375" style="15" bestFit="1" customWidth="1"/>
  </cols>
  <sheetData>
    <row r="1" spans="2:14" s="1" customFormat="1" ht="15" customHeight="1">
      <c r="B1" s="83" t="s">
        <v>426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5"/>
    </row>
    <row r="2" spans="2:14" s="1" customFormat="1" ht="87" customHeight="1" thickBot="1"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</row>
    <row r="3" spans="1:14" s="2" customFormat="1" ht="12.75" customHeight="1">
      <c r="A3" s="75" t="s">
        <v>286</v>
      </c>
      <c r="B3" s="89" t="s">
        <v>0</v>
      </c>
      <c r="C3" s="91" t="s">
        <v>287</v>
      </c>
      <c r="D3" s="91" t="s">
        <v>288</v>
      </c>
      <c r="E3" s="77" t="s">
        <v>9</v>
      </c>
      <c r="F3" s="93" t="s">
        <v>7</v>
      </c>
      <c r="G3" s="94" t="s">
        <v>289</v>
      </c>
      <c r="H3" s="77" t="s">
        <v>3</v>
      </c>
      <c r="I3" s="77"/>
      <c r="J3" s="77"/>
      <c r="K3" s="77"/>
      <c r="L3" s="77" t="s">
        <v>290</v>
      </c>
      <c r="M3" s="77" t="s">
        <v>6</v>
      </c>
      <c r="N3" s="79" t="s">
        <v>5</v>
      </c>
    </row>
    <row r="4" spans="1:14" s="2" customFormat="1" ht="21" customHeight="1" thickBot="1">
      <c r="A4" s="76"/>
      <c r="B4" s="90"/>
      <c r="C4" s="92"/>
      <c r="D4" s="92"/>
      <c r="E4" s="78"/>
      <c r="F4" s="92"/>
      <c r="G4" s="95"/>
      <c r="H4" s="3">
        <v>1</v>
      </c>
      <c r="I4" s="3">
        <v>2</v>
      </c>
      <c r="J4" s="3">
        <v>3</v>
      </c>
      <c r="K4" s="3" t="s">
        <v>8</v>
      </c>
      <c r="L4" s="78"/>
      <c r="M4" s="78"/>
      <c r="N4" s="80"/>
    </row>
    <row r="5" spans="2:13" ht="15.75">
      <c r="B5" s="81" t="s">
        <v>60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4" ht="12.75">
      <c r="A6" s="37">
        <v>1</v>
      </c>
      <c r="B6" s="17" t="s">
        <v>329</v>
      </c>
      <c r="C6" s="17" t="s">
        <v>226</v>
      </c>
      <c r="D6" s="17" t="s">
        <v>327</v>
      </c>
      <c r="E6" s="17" t="str">
        <f>"0,6166"</f>
        <v>0,6166</v>
      </c>
      <c r="F6" s="17" t="s">
        <v>38</v>
      </c>
      <c r="G6" s="17" t="s">
        <v>39</v>
      </c>
      <c r="H6" s="42" t="s">
        <v>77</v>
      </c>
      <c r="I6" s="42" t="s">
        <v>158</v>
      </c>
      <c r="J6" s="45" t="s">
        <v>159</v>
      </c>
      <c r="K6" s="39"/>
      <c r="L6" s="38" t="s">
        <v>158</v>
      </c>
      <c r="M6" s="38" t="str">
        <f>"123,3200"</f>
        <v>123,3200</v>
      </c>
      <c r="N6" s="17" t="s">
        <v>35</v>
      </c>
    </row>
    <row r="7" spans="1:14" ht="12.75">
      <c r="A7" s="37">
        <v>1</v>
      </c>
      <c r="B7" s="19" t="s">
        <v>227</v>
      </c>
      <c r="C7" s="19" t="s">
        <v>228</v>
      </c>
      <c r="D7" s="19" t="s">
        <v>328</v>
      </c>
      <c r="E7" s="19" t="str">
        <f>"0,6136"</f>
        <v>0,6136</v>
      </c>
      <c r="F7" s="19" t="s">
        <v>52</v>
      </c>
      <c r="G7" s="19" t="s">
        <v>14</v>
      </c>
      <c r="H7" s="43" t="s">
        <v>169</v>
      </c>
      <c r="I7" s="43" t="s">
        <v>229</v>
      </c>
      <c r="J7" s="43" t="s">
        <v>230</v>
      </c>
      <c r="K7" s="41"/>
      <c r="L7" s="40" t="s">
        <v>230</v>
      </c>
      <c r="M7" s="40" t="str">
        <f>"168,7400"</f>
        <v>168,7400</v>
      </c>
      <c r="N7" s="19" t="s">
        <v>35</v>
      </c>
    </row>
  </sheetData>
  <sheetProtection/>
  <mergeCells count="13">
    <mergeCell ref="M3:M4"/>
    <mergeCell ref="N3:N4"/>
    <mergeCell ref="B5:M5"/>
    <mergeCell ref="A3:A4"/>
    <mergeCell ref="B1:N2"/>
    <mergeCell ref="B3:B4"/>
    <mergeCell ref="C3:C4"/>
    <mergeCell ref="D3:D4"/>
    <mergeCell ref="E3:E4"/>
    <mergeCell ref="F3:F4"/>
    <mergeCell ref="G3:G4"/>
    <mergeCell ref="H3:K3"/>
    <mergeCell ref="L3:L4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F34" sqref="F34"/>
    </sheetView>
  </sheetViews>
  <sheetFormatPr defaultColWidth="8.75390625" defaultRowHeight="12.75"/>
  <cols>
    <col min="1" max="1" width="9.125" style="37" customWidth="1"/>
    <col min="2" max="2" width="21.875" style="15" customWidth="1"/>
    <col min="3" max="3" width="26.875" style="15" bestFit="1" customWidth="1"/>
    <col min="4" max="4" width="9.125" style="15" customWidth="1"/>
    <col min="5" max="5" width="8.375" style="15" bestFit="1" customWidth="1"/>
    <col min="6" max="6" width="13.375" style="15" customWidth="1"/>
    <col min="7" max="7" width="26.875" style="15" bestFit="1" customWidth="1"/>
    <col min="8" max="10" width="5.625" style="15" bestFit="1" customWidth="1"/>
    <col min="11" max="11" width="4.625" style="15" bestFit="1" customWidth="1"/>
    <col min="12" max="12" width="11.125" style="15" customWidth="1"/>
    <col min="13" max="13" width="8.625" style="15" bestFit="1" customWidth="1"/>
    <col min="14" max="14" width="14.00390625" style="15" customWidth="1"/>
  </cols>
  <sheetData>
    <row r="1" spans="1:14" s="1" customFormat="1" ht="15" customHeight="1">
      <c r="A1" s="33"/>
      <c r="B1" s="83" t="s">
        <v>427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s="1" customFormat="1" ht="91.5" customHeight="1" thickBot="1">
      <c r="A2" s="33"/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</row>
    <row r="3" spans="1:14" s="2" customFormat="1" ht="12.75" customHeight="1">
      <c r="A3" s="75" t="s">
        <v>286</v>
      </c>
      <c r="B3" s="89" t="s">
        <v>0</v>
      </c>
      <c r="C3" s="91" t="s">
        <v>287</v>
      </c>
      <c r="D3" s="91" t="s">
        <v>288</v>
      </c>
      <c r="E3" s="77" t="s">
        <v>9</v>
      </c>
      <c r="F3" s="93" t="s">
        <v>7</v>
      </c>
      <c r="G3" s="94" t="s">
        <v>289</v>
      </c>
      <c r="H3" s="77" t="s">
        <v>3</v>
      </c>
      <c r="I3" s="77"/>
      <c r="J3" s="77"/>
      <c r="K3" s="77"/>
      <c r="L3" s="77" t="s">
        <v>290</v>
      </c>
      <c r="M3" s="77" t="s">
        <v>6</v>
      </c>
      <c r="N3" s="79" t="s">
        <v>5</v>
      </c>
    </row>
    <row r="4" spans="1:14" s="2" customFormat="1" ht="21" customHeight="1" thickBot="1">
      <c r="A4" s="76"/>
      <c r="B4" s="90"/>
      <c r="C4" s="92"/>
      <c r="D4" s="92"/>
      <c r="E4" s="78"/>
      <c r="F4" s="92"/>
      <c r="G4" s="95"/>
      <c r="H4" s="3">
        <v>1</v>
      </c>
      <c r="I4" s="3">
        <v>2</v>
      </c>
      <c r="J4" s="3">
        <v>3</v>
      </c>
      <c r="K4" s="3" t="s">
        <v>8</v>
      </c>
      <c r="L4" s="78"/>
      <c r="M4" s="78"/>
      <c r="N4" s="80"/>
    </row>
    <row r="5" spans="2:13" ht="12.75" customHeight="1">
      <c r="B5" s="99" t="s">
        <v>56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1:14" ht="13.5" customHeight="1">
      <c r="A6" s="37">
        <v>1</v>
      </c>
      <c r="B6" s="16" t="s">
        <v>216</v>
      </c>
      <c r="C6" s="16" t="s">
        <v>217</v>
      </c>
      <c r="D6" s="16" t="s">
        <v>333</v>
      </c>
      <c r="E6" s="16" t="str">
        <f>"0,6499"</f>
        <v>0,6499</v>
      </c>
      <c r="F6" s="16" t="s">
        <v>52</v>
      </c>
      <c r="G6" s="16" t="s">
        <v>14</v>
      </c>
      <c r="H6" s="36" t="s">
        <v>98</v>
      </c>
      <c r="I6" s="31" t="s">
        <v>98</v>
      </c>
      <c r="J6" s="31" t="s">
        <v>99</v>
      </c>
      <c r="K6" s="34"/>
      <c r="L6" s="35" t="s">
        <v>99</v>
      </c>
      <c r="M6" s="35" t="str">
        <f>"149,4770"</f>
        <v>149,4770</v>
      </c>
      <c r="N6" s="16" t="s">
        <v>337</v>
      </c>
    </row>
    <row r="8" spans="2:13" ht="13.5" customHeight="1">
      <c r="B8" s="98" t="s">
        <v>60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</row>
    <row r="9" spans="1:14" ht="12.75" customHeight="1">
      <c r="A9" s="37">
        <v>1</v>
      </c>
      <c r="B9" s="16" t="s">
        <v>330</v>
      </c>
      <c r="C9" s="16" t="s">
        <v>218</v>
      </c>
      <c r="D9" s="16" t="s">
        <v>334</v>
      </c>
      <c r="E9" s="16" t="str">
        <f>"0,6139"</f>
        <v>0,6139</v>
      </c>
      <c r="F9" s="16" t="s">
        <v>13</v>
      </c>
      <c r="G9" s="16" t="s">
        <v>14</v>
      </c>
      <c r="H9" s="31" t="s">
        <v>162</v>
      </c>
      <c r="I9" s="31" t="s">
        <v>219</v>
      </c>
      <c r="J9" s="36" t="s">
        <v>220</v>
      </c>
      <c r="K9" s="34"/>
      <c r="L9" s="35" t="s">
        <v>219</v>
      </c>
      <c r="M9" s="35" t="str">
        <f>"184,1700"</f>
        <v>184,1700</v>
      </c>
      <c r="N9" s="16" t="s">
        <v>221</v>
      </c>
    </row>
    <row r="11" spans="2:13" ht="12.75" customHeight="1">
      <c r="B11" s="98" t="s">
        <v>95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</row>
    <row r="12" spans="1:14" ht="13.5" customHeight="1">
      <c r="A12" s="37">
        <v>1</v>
      </c>
      <c r="B12" s="16" t="s">
        <v>331</v>
      </c>
      <c r="C12" s="16" t="s">
        <v>222</v>
      </c>
      <c r="D12" s="16" t="s">
        <v>335</v>
      </c>
      <c r="E12" s="16" t="str">
        <f>"0,5733"</f>
        <v>0,5733</v>
      </c>
      <c r="F12" s="16" t="s">
        <v>52</v>
      </c>
      <c r="G12" s="16" t="s">
        <v>14</v>
      </c>
      <c r="H12" s="31" t="s">
        <v>158</v>
      </c>
      <c r="I12" s="31" t="s">
        <v>99</v>
      </c>
      <c r="J12" s="36" t="s">
        <v>100</v>
      </c>
      <c r="K12" s="34"/>
      <c r="L12" s="35" t="s">
        <v>99</v>
      </c>
      <c r="M12" s="35" t="str">
        <f>"132,5183"</f>
        <v>132,5183</v>
      </c>
      <c r="N12" s="16" t="s">
        <v>223</v>
      </c>
    </row>
    <row r="14" spans="2:13" ht="13.5" customHeight="1">
      <c r="B14" s="98" t="s">
        <v>101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</row>
    <row r="15" spans="1:14" ht="12.75" customHeight="1">
      <c r="A15" s="37">
        <v>1</v>
      </c>
      <c r="B15" s="16" t="s">
        <v>332</v>
      </c>
      <c r="C15" s="16" t="s">
        <v>224</v>
      </c>
      <c r="D15" s="16" t="s">
        <v>336</v>
      </c>
      <c r="E15" s="16" t="str">
        <f>"0,5614"</f>
        <v>0,5614</v>
      </c>
      <c r="F15" s="16" t="s">
        <v>38</v>
      </c>
      <c r="G15" s="16" t="s">
        <v>39</v>
      </c>
      <c r="H15" s="31" t="s">
        <v>63</v>
      </c>
      <c r="I15" s="31" t="s">
        <v>158</v>
      </c>
      <c r="J15" s="34"/>
      <c r="K15" s="34"/>
      <c r="L15" s="35" t="s">
        <v>158</v>
      </c>
      <c r="M15" s="35" t="str">
        <f>"112,2800"</f>
        <v>112,2800</v>
      </c>
      <c r="N15" s="16" t="s">
        <v>338</v>
      </c>
    </row>
    <row r="17" ht="12.75" customHeight="1"/>
    <row r="18" ht="13.5" customHeight="1"/>
    <row r="19" ht="12.75" customHeight="1"/>
    <row r="20" ht="13.5" customHeight="1"/>
    <row r="21" ht="12.75" customHeight="1"/>
    <row r="22" ht="13.5" customHeight="1"/>
    <row r="23" ht="12.75" customHeight="1"/>
    <row r="24" ht="13.5" customHeight="1"/>
    <row r="25" ht="12.75" customHeight="1"/>
    <row r="26" ht="13.5" customHeight="1"/>
    <row r="27" ht="12.75" customHeight="1"/>
    <row r="28" ht="13.5" customHeight="1"/>
    <row r="29" ht="12.75" customHeight="1"/>
    <row r="30" ht="13.5" customHeight="1"/>
    <row r="31" ht="12.75" customHeight="1"/>
    <row r="32" ht="13.5" customHeight="1"/>
    <row r="33" ht="12.75" customHeight="1"/>
    <row r="34" ht="13.5" customHeight="1"/>
    <row r="35" ht="12.75" customHeight="1"/>
  </sheetData>
  <sheetProtection/>
  <mergeCells count="16">
    <mergeCell ref="A3:A4"/>
    <mergeCell ref="B1:N2"/>
    <mergeCell ref="B11:M11"/>
    <mergeCell ref="B14:M14"/>
    <mergeCell ref="B3:B4"/>
    <mergeCell ref="B8:M8"/>
    <mergeCell ref="B5:M5"/>
    <mergeCell ref="N3:N4"/>
    <mergeCell ref="M3:M4"/>
    <mergeCell ref="L3:L4"/>
    <mergeCell ref="H3:K3"/>
    <mergeCell ref="G3:G4"/>
    <mergeCell ref="F3:F4"/>
    <mergeCell ref="E3:E4"/>
    <mergeCell ref="D3:D4"/>
    <mergeCell ref="C3:C4"/>
  </mergeCells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 topLeftCell="A1">
      <selection activeCell="F16" sqref="F15:F16"/>
    </sheetView>
  </sheetViews>
  <sheetFormatPr defaultColWidth="9.125" defaultRowHeight="12.75"/>
  <cols>
    <col min="1" max="1" width="9.125" style="1" customWidth="1"/>
    <col min="2" max="2" width="28.25390625" style="4" bestFit="1" customWidth="1"/>
    <col min="3" max="3" width="26.875" style="1" bestFit="1" customWidth="1"/>
    <col min="4" max="4" width="8.75390625" style="1" customWidth="1"/>
    <col min="5" max="5" width="8.375" style="1" bestFit="1" customWidth="1"/>
    <col min="6" max="6" width="15.875" style="5" customWidth="1"/>
    <col min="7" max="7" width="26.00390625" style="5" bestFit="1" customWidth="1"/>
    <col min="8" max="8" width="6.25390625" style="1" customWidth="1"/>
    <col min="9" max="9" width="9.75390625" style="1" customWidth="1"/>
    <col min="10" max="10" width="8.75390625" style="4" customWidth="1"/>
    <col min="11" max="11" width="9.625" style="1" bestFit="1" customWidth="1"/>
    <col min="12" max="12" width="15.375" style="5" bestFit="1" customWidth="1"/>
    <col min="13" max="16384" width="9.125" style="1" customWidth="1"/>
  </cols>
  <sheetData>
    <row r="1" spans="2:12" ht="15" customHeight="1">
      <c r="B1" s="83" t="s">
        <v>431</v>
      </c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2:12" ht="78.75" customHeight="1" thickBot="1">
      <c r="B2" s="86"/>
      <c r="C2" s="87"/>
      <c r="D2" s="87"/>
      <c r="E2" s="87"/>
      <c r="F2" s="87"/>
      <c r="G2" s="87"/>
      <c r="H2" s="87"/>
      <c r="I2" s="87"/>
      <c r="J2" s="87"/>
      <c r="K2" s="87"/>
      <c r="L2" s="88"/>
    </row>
    <row r="3" spans="1:12" s="2" customFormat="1" ht="12.75" customHeight="1">
      <c r="A3" s="75" t="s">
        <v>286</v>
      </c>
      <c r="B3" s="89" t="s">
        <v>0</v>
      </c>
      <c r="C3" s="91" t="s">
        <v>287</v>
      </c>
      <c r="D3" s="91" t="s">
        <v>288</v>
      </c>
      <c r="E3" s="93" t="s">
        <v>263</v>
      </c>
      <c r="F3" s="93" t="s">
        <v>7</v>
      </c>
      <c r="G3" s="94" t="s">
        <v>289</v>
      </c>
      <c r="H3" s="77" t="s">
        <v>2</v>
      </c>
      <c r="I3" s="77"/>
      <c r="J3" s="77" t="s">
        <v>300</v>
      </c>
      <c r="K3" s="77" t="s">
        <v>6</v>
      </c>
      <c r="L3" s="79" t="s">
        <v>5</v>
      </c>
    </row>
    <row r="4" spans="1:12" s="2" customFormat="1" ht="21" customHeight="1" thickBot="1">
      <c r="A4" s="76"/>
      <c r="B4" s="90"/>
      <c r="C4" s="92"/>
      <c r="D4" s="92"/>
      <c r="E4" s="92"/>
      <c r="F4" s="92"/>
      <c r="G4" s="95"/>
      <c r="H4" s="3" t="s">
        <v>262</v>
      </c>
      <c r="I4" s="3" t="s">
        <v>261</v>
      </c>
      <c r="J4" s="78"/>
      <c r="K4" s="78"/>
      <c r="L4" s="80"/>
    </row>
    <row r="5" spans="2:11" ht="15.75">
      <c r="B5" s="97" t="s">
        <v>17</v>
      </c>
      <c r="C5" s="81"/>
      <c r="D5" s="81"/>
      <c r="E5" s="81"/>
      <c r="F5" s="81"/>
      <c r="G5" s="81"/>
      <c r="H5" s="81"/>
      <c r="I5" s="81"/>
      <c r="J5" s="81"/>
      <c r="K5" s="81"/>
    </row>
    <row r="6" spans="1:12" ht="12.75">
      <c r="A6" s="33" t="s">
        <v>291</v>
      </c>
      <c r="B6" s="27" t="s">
        <v>126</v>
      </c>
      <c r="C6" s="7" t="s">
        <v>127</v>
      </c>
      <c r="D6" s="7" t="s">
        <v>296</v>
      </c>
      <c r="E6" s="6" t="str">
        <f>"0,6983"</f>
        <v>0,6983</v>
      </c>
      <c r="F6" s="7" t="s">
        <v>13</v>
      </c>
      <c r="G6" s="7" t="s">
        <v>39</v>
      </c>
      <c r="H6" s="29" t="s">
        <v>182</v>
      </c>
      <c r="I6" s="29" t="s">
        <v>297</v>
      </c>
      <c r="J6" s="29" t="s">
        <v>265</v>
      </c>
      <c r="K6" s="29" t="str">
        <f>"1256,9400"</f>
        <v>1256,9400</v>
      </c>
      <c r="L6" s="7" t="s">
        <v>299</v>
      </c>
    </row>
    <row r="8" spans="2:11" ht="15.75">
      <c r="B8" s="96" t="s">
        <v>56</v>
      </c>
      <c r="C8" s="82"/>
      <c r="D8" s="82"/>
      <c r="E8" s="82"/>
      <c r="F8" s="82"/>
      <c r="G8" s="82"/>
      <c r="H8" s="82"/>
      <c r="I8" s="82"/>
      <c r="J8" s="82"/>
      <c r="K8" s="82"/>
    </row>
    <row r="9" spans="1:12" ht="12.75">
      <c r="A9" s="33" t="s">
        <v>291</v>
      </c>
      <c r="B9" s="27" t="s">
        <v>140</v>
      </c>
      <c r="C9" s="7" t="s">
        <v>266</v>
      </c>
      <c r="D9" s="7" t="s">
        <v>295</v>
      </c>
      <c r="E9" s="6" t="str">
        <f>"0,6411"</f>
        <v>0,6411</v>
      </c>
      <c r="F9" s="7" t="s">
        <v>13</v>
      </c>
      <c r="G9" s="7" t="s">
        <v>39</v>
      </c>
      <c r="H9" s="29" t="s">
        <v>199</v>
      </c>
      <c r="I9" s="29" t="s">
        <v>298</v>
      </c>
      <c r="J9" s="29" t="s">
        <v>264</v>
      </c>
      <c r="K9" s="29" t="str">
        <f>"1535,3543"</f>
        <v>1535,3543</v>
      </c>
      <c r="L9" s="7" t="s">
        <v>35</v>
      </c>
    </row>
    <row r="29" ht="12.75">
      <c r="F29" s="5" t="s">
        <v>424</v>
      </c>
    </row>
  </sheetData>
  <sheetProtection/>
  <mergeCells count="14">
    <mergeCell ref="B1:L2"/>
    <mergeCell ref="H3:I3"/>
    <mergeCell ref="B3:B4"/>
    <mergeCell ref="C3:C4"/>
    <mergeCell ref="D3:D4"/>
    <mergeCell ref="L3:L4"/>
    <mergeCell ref="G3:G4"/>
    <mergeCell ref="F3:F4"/>
    <mergeCell ref="A3:A4"/>
    <mergeCell ref="B5:K5"/>
    <mergeCell ref="B8:K8"/>
    <mergeCell ref="E3:E4"/>
    <mergeCell ref="J3:J4"/>
    <mergeCell ref="K3:K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F14" sqref="F14"/>
    </sheetView>
  </sheetViews>
  <sheetFormatPr defaultColWidth="8.75390625" defaultRowHeight="12.75"/>
  <cols>
    <col min="1" max="1" width="9.125" style="37" customWidth="1"/>
    <col min="2" max="2" width="21.25390625" style="15" customWidth="1"/>
    <col min="3" max="3" width="26.875" style="15" bestFit="1" customWidth="1"/>
    <col min="4" max="4" width="10.625" style="15" bestFit="1" customWidth="1"/>
    <col min="5" max="5" width="8.375" style="15" bestFit="1" customWidth="1"/>
    <col min="6" max="6" width="17.25390625" style="15" customWidth="1"/>
    <col min="7" max="7" width="28.25390625" style="15" bestFit="1" customWidth="1"/>
    <col min="8" max="8" width="5.625" style="15" bestFit="1" customWidth="1"/>
    <col min="9" max="9" width="9.625" style="15" bestFit="1" customWidth="1"/>
    <col min="10" max="10" width="8.75390625" style="52" customWidth="1"/>
    <col min="11" max="11" width="9.625" style="15" bestFit="1" customWidth="1"/>
    <col min="12" max="12" width="16.00390625" style="15" bestFit="1" customWidth="1"/>
  </cols>
  <sheetData>
    <row r="1" spans="1:12" s="1" customFormat="1" ht="15" customHeight="1">
      <c r="A1" s="33"/>
      <c r="B1" s="83" t="s">
        <v>432</v>
      </c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s="1" customFormat="1" ht="93" customHeight="1" thickBot="1">
      <c r="A2" s="33"/>
      <c r="B2" s="86"/>
      <c r="C2" s="87"/>
      <c r="D2" s="87"/>
      <c r="E2" s="87"/>
      <c r="F2" s="87"/>
      <c r="G2" s="87"/>
      <c r="H2" s="87"/>
      <c r="I2" s="87"/>
      <c r="J2" s="87"/>
      <c r="K2" s="87"/>
      <c r="L2" s="88"/>
    </row>
    <row r="3" spans="1:12" s="2" customFormat="1" ht="12.75" customHeight="1">
      <c r="A3" s="75" t="s">
        <v>286</v>
      </c>
      <c r="B3" s="89" t="s">
        <v>0</v>
      </c>
      <c r="C3" s="91" t="s">
        <v>287</v>
      </c>
      <c r="D3" s="91" t="s">
        <v>288</v>
      </c>
      <c r="E3" s="93" t="s">
        <v>263</v>
      </c>
      <c r="F3" s="93" t="s">
        <v>7</v>
      </c>
      <c r="G3" s="94" t="s">
        <v>289</v>
      </c>
      <c r="H3" s="77" t="s">
        <v>2</v>
      </c>
      <c r="I3" s="77"/>
      <c r="J3" s="105" t="s">
        <v>300</v>
      </c>
      <c r="K3" s="77" t="s">
        <v>6</v>
      </c>
      <c r="L3" s="79" t="s">
        <v>5</v>
      </c>
    </row>
    <row r="4" spans="1:12" s="2" customFormat="1" ht="21" customHeight="1" thickBot="1">
      <c r="A4" s="76"/>
      <c r="B4" s="90"/>
      <c r="C4" s="92"/>
      <c r="D4" s="92"/>
      <c r="E4" s="92"/>
      <c r="F4" s="92"/>
      <c r="G4" s="95"/>
      <c r="H4" s="3" t="s">
        <v>262</v>
      </c>
      <c r="I4" s="3" t="s">
        <v>261</v>
      </c>
      <c r="J4" s="106"/>
      <c r="K4" s="78"/>
      <c r="L4" s="80"/>
    </row>
    <row r="5" spans="2:11" ht="15.75">
      <c r="B5" s="81" t="s">
        <v>22</v>
      </c>
      <c r="C5" s="81"/>
      <c r="D5" s="81"/>
      <c r="E5" s="81"/>
      <c r="F5" s="81"/>
      <c r="G5" s="81"/>
      <c r="H5" s="81"/>
      <c r="I5" s="81"/>
      <c r="J5" s="81"/>
      <c r="K5" s="81"/>
    </row>
    <row r="6" spans="1:12" ht="12.75">
      <c r="A6" s="37">
        <v>1</v>
      </c>
      <c r="B6" s="16" t="s">
        <v>23</v>
      </c>
      <c r="C6" s="16" t="s">
        <v>24</v>
      </c>
      <c r="D6" s="16" t="s">
        <v>301</v>
      </c>
      <c r="E6" s="16" t="str">
        <f>"0,7630"</f>
        <v>0,7630</v>
      </c>
      <c r="F6" s="16" t="s">
        <v>13</v>
      </c>
      <c r="G6" s="16" t="s">
        <v>26</v>
      </c>
      <c r="H6" s="35" t="s">
        <v>260</v>
      </c>
      <c r="I6" s="35" t="s">
        <v>310</v>
      </c>
      <c r="J6" s="48">
        <v>2767.5</v>
      </c>
      <c r="K6" s="35" t="str">
        <f>"2111,6025"</f>
        <v>2111,6025</v>
      </c>
      <c r="L6" s="16" t="s">
        <v>35</v>
      </c>
    </row>
    <row r="8" spans="2:11" ht="15.75">
      <c r="B8" s="82" t="s">
        <v>17</v>
      </c>
      <c r="C8" s="82"/>
      <c r="D8" s="82"/>
      <c r="E8" s="82"/>
      <c r="F8" s="82"/>
      <c r="G8" s="82"/>
      <c r="H8" s="82"/>
      <c r="I8" s="82"/>
      <c r="J8" s="82"/>
      <c r="K8" s="82"/>
    </row>
    <row r="9" spans="1:12" ht="12.75">
      <c r="A9" s="37">
        <v>1</v>
      </c>
      <c r="B9" s="17" t="s">
        <v>42</v>
      </c>
      <c r="C9" s="17" t="s">
        <v>258</v>
      </c>
      <c r="D9" s="17" t="s">
        <v>259</v>
      </c>
      <c r="E9" s="17" t="str">
        <f>"0,6930"</f>
        <v>0,6930</v>
      </c>
      <c r="F9" s="17" t="s">
        <v>44</v>
      </c>
      <c r="G9" s="17" t="s">
        <v>39</v>
      </c>
      <c r="H9" s="38" t="s">
        <v>182</v>
      </c>
      <c r="I9" s="38" t="s">
        <v>311</v>
      </c>
      <c r="J9" s="49">
        <v>2550</v>
      </c>
      <c r="K9" s="38" t="str">
        <f>"1784,8215"</f>
        <v>1784,8215</v>
      </c>
      <c r="L9" s="17" t="s">
        <v>35</v>
      </c>
    </row>
    <row r="10" spans="1:12" ht="12.75">
      <c r="A10" s="37">
        <v>2</v>
      </c>
      <c r="B10" s="19" t="s">
        <v>46</v>
      </c>
      <c r="C10" s="19" t="s">
        <v>258</v>
      </c>
      <c r="D10" s="19" t="s">
        <v>302</v>
      </c>
      <c r="E10" s="19" t="str">
        <f>"0,7049"</f>
        <v>0,7049</v>
      </c>
      <c r="F10" s="19" t="s">
        <v>13</v>
      </c>
      <c r="G10" s="19" t="s">
        <v>39</v>
      </c>
      <c r="H10" s="40" t="s">
        <v>182</v>
      </c>
      <c r="I10" s="40" t="s">
        <v>312</v>
      </c>
      <c r="J10" s="50">
        <v>1650</v>
      </c>
      <c r="K10" s="40" t="str">
        <f>"1174,6326"</f>
        <v>1174,6326</v>
      </c>
      <c r="L10" s="19" t="s">
        <v>35</v>
      </c>
    </row>
    <row r="12" spans="2:11" ht="15.75">
      <c r="B12" s="82" t="s">
        <v>47</v>
      </c>
      <c r="C12" s="82"/>
      <c r="D12" s="82"/>
      <c r="E12" s="82"/>
      <c r="F12" s="82"/>
      <c r="G12" s="82"/>
      <c r="H12" s="82"/>
      <c r="I12" s="82"/>
      <c r="J12" s="82"/>
      <c r="K12" s="82"/>
    </row>
    <row r="13" spans="1:12" ht="12.75">
      <c r="A13" s="37">
        <v>1</v>
      </c>
      <c r="B13" s="17" t="s">
        <v>130</v>
      </c>
      <c r="C13" s="17" t="s">
        <v>131</v>
      </c>
      <c r="D13" s="17" t="s">
        <v>257</v>
      </c>
      <c r="E13" s="17" t="str">
        <f>"0,6724"</f>
        <v>0,6724</v>
      </c>
      <c r="F13" s="17" t="s">
        <v>13</v>
      </c>
      <c r="G13" s="17" t="s">
        <v>39</v>
      </c>
      <c r="H13" s="38" t="s">
        <v>257</v>
      </c>
      <c r="I13" s="38" t="s">
        <v>311</v>
      </c>
      <c r="J13" s="49">
        <v>2635</v>
      </c>
      <c r="K13" s="38" t="str">
        <f>"1771,7740"</f>
        <v>1771,7740</v>
      </c>
      <c r="L13" s="17" t="s">
        <v>35</v>
      </c>
    </row>
    <row r="14" spans="1:12" ht="12.75">
      <c r="A14" s="37">
        <v>2</v>
      </c>
      <c r="B14" s="18" t="s">
        <v>50</v>
      </c>
      <c r="C14" s="18" t="s">
        <v>51</v>
      </c>
      <c r="D14" s="18" t="s">
        <v>303</v>
      </c>
      <c r="E14" s="18" t="str">
        <f>"0,6589"</f>
        <v>0,6589</v>
      </c>
      <c r="F14" s="18" t="s">
        <v>52</v>
      </c>
      <c r="G14" s="18" t="s">
        <v>14</v>
      </c>
      <c r="H14" s="46" t="s">
        <v>183</v>
      </c>
      <c r="I14" s="46" t="s">
        <v>313</v>
      </c>
      <c r="J14" s="51">
        <v>2320</v>
      </c>
      <c r="K14" s="46" t="str">
        <f>"1528,7639"</f>
        <v>1528,7639</v>
      </c>
      <c r="L14" s="18" t="s">
        <v>35</v>
      </c>
    </row>
    <row r="15" spans="1:12" ht="12.75">
      <c r="A15" s="37">
        <v>3</v>
      </c>
      <c r="B15" s="18" t="s">
        <v>240</v>
      </c>
      <c r="C15" s="18" t="s">
        <v>256</v>
      </c>
      <c r="D15" s="18" t="s">
        <v>304</v>
      </c>
      <c r="E15" s="18" t="str">
        <f>"0,6518"</f>
        <v>0,6518</v>
      </c>
      <c r="F15" s="18" t="s">
        <v>13</v>
      </c>
      <c r="G15" s="18" t="s">
        <v>14</v>
      </c>
      <c r="H15" s="46" t="s">
        <v>198</v>
      </c>
      <c r="I15" s="46" t="s">
        <v>314</v>
      </c>
      <c r="J15" s="51">
        <v>2227.5</v>
      </c>
      <c r="K15" s="46" t="str">
        <f>"1451,9958"</f>
        <v>1451,9958</v>
      </c>
      <c r="L15" s="18" t="s">
        <v>35</v>
      </c>
    </row>
    <row r="16" spans="1:12" ht="12.75">
      <c r="A16" s="37">
        <v>1</v>
      </c>
      <c r="B16" s="19" t="s">
        <v>237</v>
      </c>
      <c r="C16" s="19" t="s">
        <v>255</v>
      </c>
      <c r="D16" s="19" t="s">
        <v>304</v>
      </c>
      <c r="E16" s="19" t="str">
        <f>"0,6518"</f>
        <v>0,6518</v>
      </c>
      <c r="F16" s="19" t="s">
        <v>13</v>
      </c>
      <c r="G16" s="19" t="s">
        <v>39</v>
      </c>
      <c r="H16" s="40" t="s">
        <v>198</v>
      </c>
      <c r="I16" s="40" t="s">
        <v>315</v>
      </c>
      <c r="J16" s="50">
        <v>2722.5</v>
      </c>
      <c r="K16" s="40" t="str">
        <f>"1850,9720"</f>
        <v>1850,9720</v>
      </c>
      <c r="L16" s="19" t="s">
        <v>35</v>
      </c>
    </row>
    <row r="18" spans="2:11" ht="15.75">
      <c r="B18" s="82" t="s">
        <v>60</v>
      </c>
      <c r="C18" s="82"/>
      <c r="D18" s="82"/>
      <c r="E18" s="82"/>
      <c r="F18" s="82"/>
      <c r="G18" s="82"/>
      <c r="H18" s="82"/>
      <c r="I18" s="82"/>
      <c r="J18" s="82"/>
      <c r="K18" s="82"/>
    </row>
    <row r="19" spans="1:12" ht="12.75">
      <c r="A19" s="37">
        <v>1</v>
      </c>
      <c r="B19" s="17" t="s">
        <v>184</v>
      </c>
      <c r="C19" s="17" t="s">
        <v>185</v>
      </c>
      <c r="D19" s="17" t="s">
        <v>305</v>
      </c>
      <c r="E19" s="17" t="str">
        <f>"0,5919"</f>
        <v>0,5919</v>
      </c>
      <c r="F19" s="17" t="s">
        <v>13</v>
      </c>
      <c r="G19" s="17" t="s">
        <v>94</v>
      </c>
      <c r="H19" s="38" t="s">
        <v>254</v>
      </c>
      <c r="I19" s="38" t="s">
        <v>316</v>
      </c>
      <c r="J19" s="49">
        <v>2925</v>
      </c>
      <c r="K19" s="38" t="str">
        <f>"1731,4537"</f>
        <v>1731,4537</v>
      </c>
      <c r="L19" s="17" t="s">
        <v>35</v>
      </c>
    </row>
    <row r="20" spans="1:12" ht="12.75">
      <c r="A20" s="37">
        <v>2</v>
      </c>
      <c r="B20" s="18" t="s">
        <v>65</v>
      </c>
      <c r="C20" s="18" t="s">
        <v>66</v>
      </c>
      <c r="D20" s="18" t="s">
        <v>125</v>
      </c>
      <c r="E20" s="18" t="str">
        <f>"0,5949"</f>
        <v>0,5949</v>
      </c>
      <c r="F20" s="18" t="s">
        <v>13</v>
      </c>
      <c r="G20" s="18" t="s">
        <v>39</v>
      </c>
      <c r="H20" s="46" t="s">
        <v>125</v>
      </c>
      <c r="I20" s="46" t="s">
        <v>313</v>
      </c>
      <c r="J20" s="51">
        <v>2755</v>
      </c>
      <c r="K20" s="46" t="str">
        <f>"1638,9495"</f>
        <v>1638,9495</v>
      </c>
      <c r="L20" s="18" t="s">
        <v>35</v>
      </c>
    </row>
    <row r="21" spans="1:12" ht="12.75">
      <c r="A21" s="37">
        <v>3</v>
      </c>
      <c r="B21" s="18" t="s">
        <v>241</v>
      </c>
      <c r="C21" s="18" t="s">
        <v>253</v>
      </c>
      <c r="D21" s="18" t="s">
        <v>306</v>
      </c>
      <c r="E21" s="18" t="str">
        <f>"0,6010"</f>
        <v>0,6010</v>
      </c>
      <c r="F21" s="18" t="s">
        <v>13</v>
      </c>
      <c r="G21" s="18" t="s">
        <v>39</v>
      </c>
      <c r="H21" s="46" t="s">
        <v>125</v>
      </c>
      <c r="I21" s="46" t="s">
        <v>317</v>
      </c>
      <c r="J21" s="51">
        <v>2470</v>
      </c>
      <c r="K21" s="46" t="str">
        <f>"1484,3465"</f>
        <v>1484,3465</v>
      </c>
      <c r="L21" s="18" t="s">
        <v>35</v>
      </c>
    </row>
    <row r="22" spans="1:12" ht="12.75">
      <c r="A22" s="37">
        <v>4</v>
      </c>
      <c r="B22" s="18" t="s">
        <v>239</v>
      </c>
      <c r="C22" s="18" t="s">
        <v>252</v>
      </c>
      <c r="D22" s="18" t="s">
        <v>307</v>
      </c>
      <c r="E22" s="18" t="str">
        <f>"0,5823"</f>
        <v>0,5823</v>
      </c>
      <c r="F22" s="18" t="s">
        <v>52</v>
      </c>
      <c r="G22" s="18" t="s">
        <v>14</v>
      </c>
      <c r="H22" s="46" t="s">
        <v>20</v>
      </c>
      <c r="I22" s="46" t="s">
        <v>297</v>
      </c>
      <c r="J22" s="51">
        <v>2400</v>
      </c>
      <c r="K22" s="46" t="str">
        <f>"1397,5200"</f>
        <v>1397,5200</v>
      </c>
      <c r="L22" s="18" t="s">
        <v>35</v>
      </c>
    </row>
    <row r="23" spans="1:12" ht="12.75">
      <c r="A23" s="37">
        <v>5</v>
      </c>
      <c r="B23" s="18" t="s">
        <v>73</v>
      </c>
      <c r="C23" s="18" t="s">
        <v>74</v>
      </c>
      <c r="D23" s="18" t="s">
        <v>20</v>
      </c>
      <c r="E23" s="18" t="str">
        <f>"0,5813"</f>
        <v>0,5813</v>
      </c>
      <c r="F23" s="18" t="s">
        <v>13</v>
      </c>
      <c r="G23" s="18" t="s">
        <v>14</v>
      </c>
      <c r="H23" s="46" t="s">
        <v>20</v>
      </c>
      <c r="I23" s="46" t="s">
        <v>297</v>
      </c>
      <c r="J23" s="51">
        <v>2400</v>
      </c>
      <c r="K23" s="46" t="str">
        <f>"1395,1200"</f>
        <v>1395,1200</v>
      </c>
      <c r="L23" s="18" t="s">
        <v>321</v>
      </c>
    </row>
    <row r="24" spans="1:12" ht="12.75">
      <c r="A24" s="37">
        <v>6</v>
      </c>
      <c r="B24" s="18" t="s">
        <v>71</v>
      </c>
      <c r="C24" s="18" t="s">
        <v>72</v>
      </c>
      <c r="D24" s="18" t="s">
        <v>308</v>
      </c>
      <c r="E24" s="18" t="str">
        <f>"0,5861"</f>
        <v>0,5861</v>
      </c>
      <c r="F24" s="18" t="s">
        <v>13</v>
      </c>
      <c r="G24" s="18" t="s">
        <v>39</v>
      </c>
      <c r="H24" s="46" t="s">
        <v>20</v>
      </c>
      <c r="I24" s="46" t="s">
        <v>318</v>
      </c>
      <c r="J24" s="51">
        <v>1900</v>
      </c>
      <c r="K24" s="46" t="str">
        <f>"1113,6850"</f>
        <v>1113,6850</v>
      </c>
      <c r="L24" s="18" t="s">
        <v>35</v>
      </c>
    </row>
    <row r="25" spans="1:12" ht="12.75">
      <c r="A25" s="37">
        <v>1</v>
      </c>
      <c r="B25" s="19" t="s">
        <v>75</v>
      </c>
      <c r="C25" s="19" t="s">
        <v>251</v>
      </c>
      <c r="D25" s="19" t="s">
        <v>250</v>
      </c>
      <c r="E25" s="19" t="str">
        <f>"0,5819"</f>
        <v>0,5819</v>
      </c>
      <c r="F25" s="19" t="s">
        <v>44</v>
      </c>
      <c r="G25" s="19" t="s">
        <v>14</v>
      </c>
      <c r="H25" s="40" t="s">
        <v>20</v>
      </c>
      <c r="I25" s="40" t="s">
        <v>319</v>
      </c>
      <c r="J25" s="50">
        <v>2500</v>
      </c>
      <c r="K25" s="40" t="str">
        <f>"1499,9116"</f>
        <v>1499,9116</v>
      </c>
      <c r="L25" s="19" t="s">
        <v>35</v>
      </c>
    </row>
    <row r="27" spans="2:11" ht="15.75">
      <c r="B27" s="82" t="s">
        <v>78</v>
      </c>
      <c r="C27" s="82"/>
      <c r="D27" s="82"/>
      <c r="E27" s="82"/>
      <c r="F27" s="82"/>
      <c r="G27" s="82"/>
      <c r="H27" s="82"/>
      <c r="I27" s="82"/>
      <c r="J27" s="82"/>
      <c r="K27" s="82"/>
    </row>
    <row r="28" spans="1:12" ht="12.75">
      <c r="A28" s="37">
        <v>1</v>
      </c>
      <c r="B28" s="17" t="s">
        <v>79</v>
      </c>
      <c r="C28" s="17" t="s">
        <v>80</v>
      </c>
      <c r="D28" s="17" t="s">
        <v>249</v>
      </c>
      <c r="E28" s="17" t="str">
        <f>"0,5745"</f>
        <v>0,5745</v>
      </c>
      <c r="F28" s="17" t="s">
        <v>13</v>
      </c>
      <c r="G28" s="17" t="s">
        <v>39</v>
      </c>
      <c r="H28" s="38" t="s">
        <v>205</v>
      </c>
      <c r="I28" s="38" t="s">
        <v>320</v>
      </c>
      <c r="J28" s="49">
        <v>2940</v>
      </c>
      <c r="K28" s="38" t="str">
        <f>"1689,0301"</f>
        <v>1689,0301</v>
      </c>
      <c r="L28" s="17" t="s">
        <v>35</v>
      </c>
    </row>
    <row r="29" spans="1:12" ht="12.75">
      <c r="A29" s="37">
        <v>1</v>
      </c>
      <c r="B29" s="19" t="s">
        <v>85</v>
      </c>
      <c r="C29" s="19" t="s">
        <v>248</v>
      </c>
      <c r="D29" s="19" t="s">
        <v>309</v>
      </c>
      <c r="E29" s="19" t="str">
        <f>"0,5627"</f>
        <v>0,5627</v>
      </c>
      <c r="F29" s="19" t="s">
        <v>13</v>
      </c>
      <c r="G29" s="19" t="s">
        <v>88</v>
      </c>
      <c r="H29" s="40" t="s">
        <v>21</v>
      </c>
      <c r="I29" s="40" t="s">
        <v>312</v>
      </c>
      <c r="J29" s="50">
        <v>2420</v>
      </c>
      <c r="K29" s="40" t="str">
        <f>"1361,6131"</f>
        <v>1361,6131</v>
      </c>
      <c r="L29" s="19" t="s">
        <v>322</v>
      </c>
    </row>
    <row r="31" ht="15.75">
      <c r="F31" s="20"/>
    </row>
    <row r="33" spans="2:3" ht="18">
      <c r="B33" s="21" t="s">
        <v>106</v>
      </c>
      <c r="C33" s="21"/>
    </row>
    <row r="34" spans="2:3" ht="15.75">
      <c r="B34" s="22" t="s">
        <v>113</v>
      </c>
      <c r="C34" s="22"/>
    </row>
    <row r="35" spans="2:3" ht="13.5">
      <c r="B35" s="24"/>
      <c r="C35" s="25" t="s">
        <v>107</v>
      </c>
    </row>
    <row r="36" spans="2:6" ht="13.5">
      <c r="B36" s="26" t="s">
        <v>108</v>
      </c>
      <c r="C36" s="26" t="s">
        <v>109</v>
      </c>
      <c r="D36" s="26" t="s">
        <v>110</v>
      </c>
      <c r="E36" s="26" t="s">
        <v>111</v>
      </c>
      <c r="F36" s="26" t="s">
        <v>238</v>
      </c>
    </row>
    <row r="37" spans="1:6" ht="12.75">
      <c r="A37" s="37">
        <v>1</v>
      </c>
      <c r="B37" s="23" t="s">
        <v>23</v>
      </c>
      <c r="C37" s="53" t="s">
        <v>107</v>
      </c>
      <c r="D37" s="54" t="s">
        <v>323</v>
      </c>
      <c r="E37" s="54" t="s">
        <v>247</v>
      </c>
      <c r="F37" s="54" t="s">
        <v>246</v>
      </c>
    </row>
    <row r="38" spans="1:6" ht="12.75">
      <c r="A38" s="37">
        <v>2</v>
      </c>
      <c r="B38" s="23" t="s">
        <v>130</v>
      </c>
      <c r="C38" s="53" t="s">
        <v>107</v>
      </c>
      <c r="D38" s="54" t="s">
        <v>324</v>
      </c>
      <c r="E38" s="54" t="s">
        <v>245</v>
      </c>
      <c r="F38" s="54" t="s">
        <v>244</v>
      </c>
    </row>
    <row r="39" spans="1:6" ht="12.75">
      <c r="A39" s="37">
        <v>3</v>
      </c>
      <c r="B39" s="23" t="s">
        <v>184</v>
      </c>
      <c r="C39" s="53" t="s">
        <v>107</v>
      </c>
      <c r="D39" s="54" t="s">
        <v>325</v>
      </c>
      <c r="E39" s="54" t="s">
        <v>243</v>
      </c>
      <c r="F39" s="54" t="s">
        <v>242</v>
      </c>
    </row>
  </sheetData>
  <sheetProtection/>
  <mergeCells count="17">
    <mergeCell ref="B18:K18"/>
    <mergeCell ref="B27:K27"/>
    <mergeCell ref="J3:J4"/>
    <mergeCell ref="K3:K4"/>
    <mergeCell ref="L3:L4"/>
    <mergeCell ref="B5:K5"/>
    <mergeCell ref="B8:K8"/>
    <mergeCell ref="B12:K12"/>
    <mergeCell ref="A3:A4"/>
    <mergeCell ref="B1:L2"/>
    <mergeCell ref="B3:B4"/>
    <mergeCell ref="C3:C4"/>
    <mergeCell ref="D3:D4"/>
    <mergeCell ref="E3:E4"/>
    <mergeCell ref="F3:F4"/>
    <mergeCell ref="G3:G4"/>
    <mergeCell ref="H3:I3"/>
  </mergeCells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F38" sqref="F38:G38"/>
    </sheetView>
  </sheetViews>
  <sheetFormatPr defaultColWidth="8.75390625" defaultRowHeight="12.75"/>
  <cols>
    <col min="1" max="1" width="8.75390625" style="0" customWidth="1"/>
    <col min="2" max="2" width="18.375" style="15" customWidth="1"/>
    <col min="3" max="3" width="26.875" style="15" bestFit="1" customWidth="1"/>
    <col min="4" max="4" width="8.75390625" style="15" customWidth="1"/>
    <col min="5" max="5" width="8.375" style="15" bestFit="1" customWidth="1"/>
    <col min="6" max="6" width="18.875" style="15" customWidth="1"/>
    <col min="7" max="7" width="26.00390625" style="15" bestFit="1" customWidth="1"/>
    <col min="8" max="10" width="5.625" style="15" bestFit="1" customWidth="1"/>
    <col min="11" max="11" width="4.625" style="15" bestFit="1" customWidth="1"/>
    <col min="12" max="12" width="11.00390625" style="15" customWidth="1"/>
    <col min="13" max="13" width="8.625" style="15" bestFit="1" customWidth="1"/>
    <col min="14" max="14" width="15.75390625" style="15" bestFit="1" customWidth="1"/>
  </cols>
  <sheetData>
    <row r="1" spans="2:14" s="1" customFormat="1" ht="15" customHeight="1">
      <c r="B1" s="83" t="s">
        <v>422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5"/>
    </row>
    <row r="2" spans="2:14" s="1" customFormat="1" ht="95.25" customHeight="1" thickBot="1"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</row>
    <row r="3" spans="1:14" s="2" customFormat="1" ht="12.75" customHeight="1">
      <c r="A3" s="75" t="s">
        <v>286</v>
      </c>
      <c r="B3" s="89" t="s">
        <v>0</v>
      </c>
      <c r="C3" s="91" t="s">
        <v>287</v>
      </c>
      <c r="D3" s="91" t="s">
        <v>288</v>
      </c>
      <c r="E3" s="93" t="s">
        <v>263</v>
      </c>
      <c r="F3" s="93" t="s">
        <v>7</v>
      </c>
      <c r="G3" s="94" t="s">
        <v>289</v>
      </c>
      <c r="H3" s="77" t="s">
        <v>2</v>
      </c>
      <c r="I3" s="77"/>
      <c r="J3" s="77"/>
      <c r="K3" s="77"/>
      <c r="L3" s="77" t="s">
        <v>290</v>
      </c>
      <c r="M3" s="77" t="s">
        <v>6</v>
      </c>
      <c r="N3" s="79" t="s">
        <v>5</v>
      </c>
    </row>
    <row r="4" spans="1:14" s="2" customFormat="1" ht="21" customHeight="1" thickBot="1">
      <c r="A4" s="76"/>
      <c r="B4" s="90"/>
      <c r="C4" s="92"/>
      <c r="D4" s="92"/>
      <c r="E4" s="92"/>
      <c r="F4" s="92"/>
      <c r="G4" s="95"/>
      <c r="H4" s="3">
        <v>1</v>
      </c>
      <c r="I4" s="3">
        <v>2</v>
      </c>
      <c r="J4" s="3">
        <v>3</v>
      </c>
      <c r="K4" s="3" t="s">
        <v>8</v>
      </c>
      <c r="L4" s="78"/>
      <c r="M4" s="78"/>
      <c r="N4" s="80"/>
    </row>
    <row r="5" spans="2:13" ht="15.75">
      <c r="B5" s="81" t="s">
        <v>17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4" ht="12.75">
      <c r="A6" s="37">
        <v>1</v>
      </c>
      <c r="B6" s="16" t="s">
        <v>276</v>
      </c>
      <c r="C6" s="16" t="s">
        <v>281</v>
      </c>
      <c r="D6" s="16" t="s">
        <v>259</v>
      </c>
      <c r="E6" s="16" t="str">
        <f>"0,6930"</f>
        <v>0,6930</v>
      </c>
      <c r="F6" s="16" t="s">
        <v>13</v>
      </c>
      <c r="G6" s="16" t="s">
        <v>39</v>
      </c>
      <c r="H6" s="36" t="s">
        <v>104</v>
      </c>
      <c r="I6" s="36" t="s">
        <v>104</v>
      </c>
      <c r="J6" s="31" t="s">
        <v>104</v>
      </c>
      <c r="K6" s="34"/>
      <c r="L6" s="35">
        <v>137.5</v>
      </c>
      <c r="M6" s="35" t="str">
        <f>"106,0550"</f>
        <v>106,0550</v>
      </c>
      <c r="N6" s="16" t="s">
        <v>292</v>
      </c>
    </row>
    <row r="8" spans="2:13" ht="15.75">
      <c r="B8" s="82" t="s">
        <v>60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4" ht="12.75">
      <c r="A9" s="37">
        <v>1</v>
      </c>
      <c r="B9" s="16" t="s">
        <v>277</v>
      </c>
      <c r="C9" s="16" t="s">
        <v>280</v>
      </c>
      <c r="D9" s="16" t="s">
        <v>279</v>
      </c>
      <c r="E9" s="16" t="str">
        <f>"0,5907"</f>
        <v>0,5907</v>
      </c>
      <c r="F9" s="16" t="s">
        <v>13</v>
      </c>
      <c r="G9" s="16" t="s">
        <v>39</v>
      </c>
      <c r="H9" s="31" t="s">
        <v>278</v>
      </c>
      <c r="I9" s="31" t="s">
        <v>146</v>
      </c>
      <c r="J9" s="36" t="s">
        <v>166</v>
      </c>
      <c r="K9" s="34"/>
      <c r="L9" s="35" t="s">
        <v>146</v>
      </c>
      <c r="M9" s="35" t="str">
        <f>"126,9898"</f>
        <v>126,9898</v>
      </c>
      <c r="N9" s="16" t="s">
        <v>35</v>
      </c>
    </row>
  </sheetData>
  <sheetProtection/>
  <mergeCells count="14"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A3:A4"/>
    <mergeCell ref="B5:M5"/>
    <mergeCell ref="B8:M8"/>
  </mergeCells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workbookViewId="0" topLeftCell="A1">
      <selection activeCell="F35" sqref="F35"/>
    </sheetView>
  </sheetViews>
  <sheetFormatPr defaultColWidth="9.125" defaultRowHeight="12.75"/>
  <cols>
    <col min="1" max="1" width="7.25390625" style="33" customWidth="1"/>
    <col min="2" max="2" width="19.25390625" style="28" customWidth="1"/>
    <col min="3" max="3" width="26.875" style="5" bestFit="1" customWidth="1"/>
    <col min="4" max="4" width="10.625" style="5" bestFit="1" customWidth="1"/>
    <col min="5" max="5" width="8.375" style="1" bestFit="1" customWidth="1"/>
    <col min="6" max="6" width="15.00390625" style="5" customWidth="1"/>
    <col min="7" max="7" width="26.875" style="5" bestFit="1" customWidth="1"/>
    <col min="8" max="10" width="5.625" style="1" bestFit="1" customWidth="1"/>
    <col min="11" max="11" width="4.625" style="1" bestFit="1" customWidth="1"/>
    <col min="12" max="12" width="11.875" style="4" customWidth="1"/>
    <col min="13" max="13" width="8.625" style="1" bestFit="1" customWidth="1"/>
    <col min="14" max="14" width="15.75390625" style="5" bestFit="1" customWidth="1"/>
    <col min="15" max="16384" width="9.125" style="1" customWidth="1"/>
  </cols>
  <sheetData>
    <row r="1" spans="2:14" ht="15" customHeight="1">
      <c r="B1" s="83" t="s">
        <v>421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5"/>
    </row>
    <row r="2" spans="2:14" ht="96" customHeight="1" thickBot="1"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</row>
    <row r="3" spans="1:14" s="2" customFormat="1" ht="12.75" customHeight="1">
      <c r="A3" s="75" t="s">
        <v>286</v>
      </c>
      <c r="B3" s="89" t="s">
        <v>0</v>
      </c>
      <c r="C3" s="91" t="s">
        <v>287</v>
      </c>
      <c r="D3" s="91" t="s">
        <v>288</v>
      </c>
      <c r="E3" s="93" t="s">
        <v>263</v>
      </c>
      <c r="F3" s="93" t="s">
        <v>7</v>
      </c>
      <c r="G3" s="94" t="s">
        <v>289</v>
      </c>
      <c r="H3" s="77" t="s">
        <v>2</v>
      </c>
      <c r="I3" s="77"/>
      <c r="J3" s="77"/>
      <c r="K3" s="77"/>
      <c r="L3" s="77" t="s">
        <v>290</v>
      </c>
      <c r="M3" s="77" t="s">
        <v>6</v>
      </c>
      <c r="N3" s="79" t="s">
        <v>5</v>
      </c>
    </row>
    <row r="4" spans="1:14" s="2" customFormat="1" ht="21" customHeight="1" thickBot="1">
      <c r="A4" s="76"/>
      <c r="B4" s="90"/>
      <c r="C4" s="92"/>
      <c r="D4" s="92"/>
      <c r="E4" s="92"/>
      <c r="F4" s="92"/>
      <c r="G4" s="95"/>
      <c r="H4" s="3">
        <v>1</v>
      </c>
      <c r="I4" s="3">
        <v>2</v>
      </c>
      <c r="J4" s="3">
        <v>3</v>
      </c>
      <c r="K4" s="3" t="s">
        <v>8</v>
      </c>
      <c r="L4" s="78"/>
      <c r="M4" s="78"/>
      <c r="N4" s="80"/>
    </row>
    <row r="5" spans="2:13" ht="15.75">
      <c r="B5" s="97" t="s">
        <v>17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4" ht="12.75">
      <c r="A6" s="33" t="s">
        <v>291</v>
      </c>
      <c r="B6" s="27" t="s">
        <v>42</v>
      </c>
      <c r="C6" s="7" t="s">
        <v>258</v>
      </c>
      <c r="D6" s="7" t="s">
        <v>259</v>
      </c>
      <c r="E6" s="6" t="str">
        <f>"0,6930"</f>
        <v>0,6930</v>
      </c>
      <c r="F6" s="7" t="s">
        <v>44</v>
      </c>
      <c r="G6" s="7" t="s">
        <v>39</v>
      </c>
      <c r="H6" s="31" t="s">
        <v>81</v>
      </c>
      <c r="I6" s="31" t="s">
        <v>63</v>
      </c>
      <c r="J6" s="31" t="s">
        <v>77</v>
      </c>
      <c r="K6" s="30"/>
      <c r="L6" s="29" t="s">
        <v>77</v>
      </c>
      <c r="M6" s="29" t="str">
        <f>"132,9867"</f>
        <v>132,9867</v>
      </c>
      <c r="N6" s="7" t="s">
        <v>35</v>
      </c>
    </row>
    <row r="8" spans="2:13" ht="15.75">
      <c r="B8" s="96" t="s">
        <v>47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4" ht="12.75">
      <c r="A9" s="33" t="s">
        <v>291</v>
      </c>
      <c r="B9" s="27" t="s">
        <v>282</v>
      </c>
      <c r="C9" s="7" t="s">
        <v>285</v>
      </c>
      <c r="D9" s="7" t="s">
        <v>284</v>
      </c>
      <c r="E9" s="6" t="str">
        <f>"0,6570"</f>
        <v>0,6570</v>
      </c>
      <c r="F9" s="7" t="s">
        <v>38</v>
      </c>
      <c r="G9" s="7" t="s">
        <v>39</v>
      </c>
      <c r="H9" s="31" t="s">
        <v>62</v>
      </c>
      <c r="I9" s="31" t="s">
        <v>67</v>
      </c>
      <c r="J9" s="32" t="s">
        <v>77</v>
      </c>
      <c r="K9" s="30"/>
      <c r="L9" s="29" t="s">
        <v>67</v>
      </c>
      <c r="M9" s="29" t="str">
        <f>"121,5450"</f>
        <v>121,5450</v>
      </c>
      <c r="N9" s="7" t="s">
        <v>35</v>
      </c>
    </row>
    <row r="11" spans="2:13" ht="15.75">
      <c r="B11" s="96" t="s">
        <v>56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4" ht="12.75">
      <c r="A12" s="33" t="s">
        <v>291</v>
      </c>
      <c r="B12" s="27" t="s">
        <v>156</v>
      </c>
      <c r="C12" s="7" t="s">
        <v>157</v>
      </c>
      <c r="D12" s="7" t="s">
        <v>199</v>
      </c>
      <c r="E12" s="6" t="str">
        <f>"0,6326"</f>
        <v>0,6326</v>
      </c>
      <c r="F12" s="7" t="s">
        <v>283</v>
      </c>
      <c r="G12" s="7" t="s">
        <v>32</v>
      </c>
      <c r="H12" s="31" t="s">
        <v>159</v>
      </c>
      <c r="I12" s="32" t="s">
        <v>98</v>
      </c>
      <c r="J12" s="32" t="s">
        <v>98</v>
      </c>
      <c r="K12" s="30"/>
      <c r="L12" s="29" t="s">
        <v>159</v>
      </c>
      <c r="M12" s="29" t="str">
        <f>"132,8460"</f>
        <v>132,8460</v>
      </c>
      <c r="N12" s="7" t="s">
        <v>35</v>
      </c>
    </row>
    <row r="14" spans="2:13" ht="15.75">
      <c r="B14" s="96" t="s">
        <v>60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</row>
    <row r="15" spans="1:14" ht="12.75">
      <c r="A15" s="33" t="s">
        <v>291</v>
      </c>
      <c r="B15" s="27" t="s">
        <v>75</v>
      </c>
      <c r="C15" s="7" t="s">
        <v>251</v>
      </c>
      <c r="D15" s="7" t="s">
        <v>250</v>
      </c>
      <c r="E15" s="6" t="str">
        <f>"0,5819"</f>
        <v>0,5819</v>
      </c>
      <c r="F15" s="7" t="s">
        <v>13</v>
      </c>
      <c r="G15" s="7" t="s">
        <v>14</v>
      </c>
      <c r="H15" s="31" t="s">
        <v>158</v>
      </c>
      <c r="I15" s="31" t="s">
        <v>159</v>
      </c>
      <c r="J15" s="31" t="s">
        <v>98</v>
      </c>
      <c r="K15" s="30"/>
      <c r="L15" s="29" t="s">
        <v>98</v>
      </c>
      <c r="M15" s="29" t="str">
        <f>"131,9922"</f>
        <v>131,9922</v>
      </c>
      <c r="N15" s="7" t="s">
        <v>35</v>
      </c>
    </row>
  </sheetData>
  <sheetProtection/>
  <mergeCells count="16">
    <mergeCell ref="M3:M4"/>
    <mergeCell ref="B1:N2"/>
    <mergeCell ref="H3:K3"/>
    <mergeCell ref="B3:B4"/>
    <mergeCell ref="C3:C4"/>
    <mergeCell ref="D3:D4"/>
    <mergeCell ref="B14:M14"/>
    <mergeCell ref="N3:N4"/>
    <mergeCell ref="G3:G4"/>
    <mergeCell ref="F3:F4"/>
    <mergeCell ref="B5:M5"/>
    <mergeCell ref="A3:A4"/>
    <mergeCell ref="B8:M8"/>
    <mergeCell ref="B11:M11"/>
    <mergeCell ref="E3:E4"/>
    <mergeCell ref="L3:L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Сергей Длужневский</cp:lastModifiedBy>
  <cp:lastPrinted>2015-07-16T19:10:53Z</cp:lastPrinted>
  <dcterms:created xsi:type="dcterms:W3CDTF">2002-06-16T13:36:44Z</dcterms:created>
  <dcterms:modified xsi:type="dcterms:W3CDTF">2016-05-05T14:58:14Z</dcterms:modified>
  <cp:category/>
  <cp:version/>
  <cp:contentType/>
  <cp:contentStatus/>
</cp:coreProperties>
</file>