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0" windowWidth="11340" windowHeight="9700" firstSheet="9" activeTab="9"/>
  </bookViews>
  <sheets>
    <sheet name="Лист1" sheetId="1" state="hidden" r:id="rId1"/>
    <sheet name="Пауэрлифтинг без экипировки ДК" sheetId="2" r:id="rId2"/>
    <sheet name="Пауэрлифтинг без экипировки" sheetId="3" r:id="rId3"/>
    <sheet name="Приседание в бинтах ДК" sheetId="4" r:id="rId4"/>
    <sheet name="Жим лежа без экипировки" sheetId="5" r:id="rId5"/>
    <sheet name="Жим лежа без экипировки ДК" sheetId="6" r:id="rId6"/>
    <sheet name="Жим лежа SOFT экипировка" sheetId="7" r:id="rId7"/>
    <sheet name="Жим лежа SOFT экипировка ДК" sheetId="8" r:id="rId8"/>
    <sheet name="Народный жим 1 вес" sheetId="9" r:id="rId9"/>
    <sheet name="Народный жим 1_2 веса" sheetId="10" r:id="rId10"/>
    <sheet name="Становая тяга без экипировки" sheetId="11" r:id="rId11"/>
    <sheet name="Становая тяга без экипировки ДК" sheetId="12" r:id="rId12"/>
  </sheets>
  <definedNames/>
  <calcPr fullCalcOnLoad="1"/>
</workbook>
</file>

<file path=xl/sharedStrings.xml><?xml version="1.0" encoding="utf-8"?>
<sst xmlns="http://schemas.openxmlformats.org/spreadsheetml/2006/main" count="1583" uniqueCount="553">
  <si>
    <t>ФИО</t>
  </si>
  <si>
    <t>Присед</t>
  </si>
  <si>
    <t>Жим</t>
  </si>
  <si>
    <t>Тяга</t>
  </si>
  <si>
    <t>Сумма</t>
  </si>
  <si>
    <t>С вес</t>
  </si>
  <si>
    <t>Тренер</t>
  </si>
  <si>
    <t>Очки</t>
  </si>
  <si>
    <t>Команда</t>
  </si>
  <si>
    <t>Рек</t>
  </si>
  <si>
    <t>Город</t>
  </si>
  <si>
    <t>Возр груп
Год. р./Возраст</t>
  </si>
  <si>
    <t>Мастерский турнир "Столица Сибири" IPL Жим лежа без экипировки
02 - 03.Июль.2016</t>
  </si>
  <si>
    <t>Wilks</t>
  </si>
  <si>
    <t>ВЕСОВАЯ КАТЕГОРИЯ   75</t>
  </si>
  <si>
    <t>Клоповский Андрей</t>
  </si>
  <si>
    <t>Open (17.08.1990)/25</t>
  </si>
  <si>
    <t xml:space="preserve">Локомотив </t>
  </si>
  <si>
    <t>125,0</t>
  </si>
  <si>
    <t>130,0</t>
  </si>
  <si>
    <t>135,0</t>
  </si>
  <si>
    <t>ВЕСОВАЯ КАТЕГОРИЯ   82.5</t>
  </si>
  <si>
    <t>Open (22.06.1983)/33</t>
  </si>
  <si>
    <t xml:space="preserve">Лично </t>
  </si>
  <si>
    <t>150,0</t>
  </si>
  <si>
    <t>155,0</t>
  </si>
  <si>
    <t>165,0</t>
  </si>
  <si>
    <t>Савченко Дмитрий</t>
  </si>
  <si>
    <t>Open (03.08.1981)/34</t>
  </si>
  <si>
    <t xml:space="preserve">Проф лига </t>
  </si>
  <si>
    <t xml:space="preserve">Новосибирск/Новосибирская область </t>
  </si>
  <si>
    <t>142,5</t>
  </si>
  <si>
    <t>ВЕСОВАЯ КАТЕГОРИЯ   90</t>
  </si>
  <si>
    <t>Juniors 20-23 (25.07.1994)/21</t>
  </si>
  <si>
    <t>140,0</t>
  </si>
  <si>
    <t>152,5</t>
  </si>
  <si>
    <t>Juniors 20-23 (02.07.1995)/21</t>
  </si>
  <si>
    <t xml:space="preserve">Стальной медведь </t>
  </si>
  <si>
    <t>132,5</t>
  </si>
  <si>
    <t>Open (29.07.1988)/27</t>
  </si>
  <si>
    <t>177,5</t>
  </si>
  <si>
    <t>185,0</t>
  </si>
  <si>
    <t>187,5</t>
  </si>
  <si>
    <t>Курбаков Юрий</t>
  </si>
  <si>
    <t>Open (02.12.1984)/31</t>
  </si>
  <si>
    <t>175,0</t>
  </si>
  <si>
    <t>ВЕСОВАЯ КАТЕГОРИЯ   100</t>
  </si>
  <si>
    <t>Open (24.04.1994)/22</t>
  </si>
  <si>
    <t>200,0</t>
  </si>
  <si>
    <t>215,0</t>
  </si>
  <si>
    <t>220,0</t>
  </si>
  <si>
    <t>Open (03.04.1992)/24</t>
  </si>
  <si>
    <t>147,5</t>
  </si>
  <si>
    <t>ВЕСОВАЯ КАТЕГОРИЯ   110</t>
  </si>
  <si>
    <t>Juniors 20-23 (17.02.1994)/22</t>
  </si>
  <si>
    <t>180,0</t>
  </si>
  <si>
    <t>192,5</t>
  </si>
  <si>
    <t>205,0</t>
  </si>
  <si>
    <t>Open (16.05.1981)/35</t>
  </si>
  <si>
    <t xml:space="preserve">Идеал спорт </t>
  </si>
  <si>
    <t xml:space="preserve">Барнаул/Алтайский край </t>
  </si>
  <si>
    <t>ВЕСОВАЯ КАТЕГОРИЯ   125</t>
  </si>
  <si>
    <t>Open (15.11.1988)/27</t>
  </si>
  <si>
    <t>ВЕСОВАЯ КАТЕГОРИЯ   140</t>
  </si>
  <si>
    <t>Кураков Сергей</t>
  </si>
  <si>
    <t>Open (16.04.1971)/45</t>
  </si>
  <si>
    <t>Masters 45-49 (16.04.1971)/45</t>
  </si>
  <si>
    <t>ВЕСОВАЯ КАТЕГОРИЯ   140+</t>
  </si>
  <si>
    <t>Open (14.10.1990)/25</t>
  </si>
  <si>
    <t>170,0</t>
  </si>
  <si>
    <t xml:space="preserve">Абсолютный зачёт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</si>
  <si>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</si>
  <si>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</si>
  <si>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</si>
  <si>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</si>
  <si>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Wilks </t>
  </si>
  <si>
    <t xml:space="preserve">Открытая </t>
  </si>
  <si>
    <t xml:space="preserve">82.5 </t>
  </si>
  <si>
    <t xml:space="preserve">Красильников Д. </t>
  </si>
  <si>
    <t>Фарафонтьев С.</t>
  </si>
  <si>
    <t xml:space="preserve">Клименко А. </t>
  </si>
  <si>
    <t>Романенко В.</t>
  </si>
  <si>
    <t>ВЕСОВАЯ КАТЕГОРИЯ   44</t>
  </si>
  <si>
    <t>Juniors 20-23 (11.06.1995)/21</t>
  </si>
  <si>
    <t>35,0</t>
  </si>
  <si>
    <t>40,0</t>
  </si>
  <si>
    <t>42,5</t>
  </si>
  <si>
    <t xml:space="preserve">Самостоятельно </t>
  </si>
  <si>
    <t>ВЕСОВАЯ КАТЕГОРИЯ   52</t>
  </si>
  <si>
    <t>Open (20.01.1991)/25</t>
  </si>
  <si>
    <t>45,0</t>
  </si>
  <si>
    <t>Романов Д.</t>
  </si>
  <si>
    <t>ВЕСОВАЯ КАТЕГОРИЯ   56</t>
  </si>
  <si>
    <t>Teenage 15-19 (16.11.2002)/13</t>
  </si>
  <si>
    <t>50,0</t>
  </si>
  <si>
    <t>55,0</t>
  </si>
  <si>
    <t>Teenage 15-19 (30.11.2000)/15</t>
  </si>
  <si>
    <t>80,0</t>
  </si>
  <si>
    <t>85,0</t>
  </si>
  <si>
    <t>90,0</t>
  </si>
  <si>
    <t>ВЕСОВАЯ КАТЕГОРИЯ   67.5</t>
  </si>
  <si>
    <t>Open (10.03.1989)/27</t>
  </si>
  <si>
    <t>137,5</t>
  </si>
  <si>
    <t>Teenage 15-19 (02.03.1998)/18</t>
  </si>
  <si>
    <t>Рогулин Антон</t>
  </si>
  <si>
    <t>Teenage 15-19 (20.11.2000)/15</t>
  </si>
  <si>
    <t>60,0</t>
  </si>
  <si>
    <t>65,0</t>
  </si>
  <si>
    <t>75,0</t>
  </si>
  <si>
    <t>Open (02.11.1980)/35</t>
  </si>
  <si>
    <t>117,5</t>
  </si>
  <si>
    <t>Open (28.08.1984)/31</t>
  </si>
  <si>
    <t>110,0</t>
  </si>
  <si>
    <t>Open (30.01.1991)/25</t>
  </si>
  <si>
    <t>82,5</t>
  </si>
  <si>
    <t>87,5</t>
  </si>
  <si>
    <t>Teenage 15-19 (03.03.1998)/18</t>
  </si>
  <si>
    <t>Open (08.12.1986)/29</t>
  </si>
  <si>
    <t>Open (04.09.1990)/25</t>
  </si>
  <si>
    <t>127,5</t>
  </si>
  <si>
    <t>Masters 40-44 (28.07.1974)/41</t>
  </si>
  <si>
    <t>120,0</t>
  </si>
  <si>
    <t xml:space="preserve">Романов Д. </t>
  </si>
  <si>
    <t>Яворский Андрей</t>
  </si>
  <si>
    <t>Juniors 20-23 (13.05.1995)/21</t>
  </si>
  <si>
    <t>70,0</t>
  </si>
  <si>
    <t>100,0</t>
  </si>
  <si>
    <t>Open (11.10.1989)/26</t>
  </si>
  <si>
    <t xml:space="preserve">Кемерово/Кемеровская область </t>
  </si>
  <si>
    <t>160,0</t>
  </si>
  <si>
    <t>162,5</t>
  </si>
  <si>
    <t>Open (24.09.1989)/26</t>
  </si>
  <si>
    <t>Open (23.05.1960)/56</t>
  </si>
  <si>
    <t>Juniors 20-23 (05.06.1994)/22</t>
  </si>
  <si>
    <t>145,0</t>
  </si>
  <si>
    <t>Open (15.03.1992)/24</t>
  </si>
  <si>
    <t>Open (06.06.1990)/26</t>
  </si>
  <si>
    <t xml:space="preserve">Спартак </t>
  </si>
  <si>
    <t>Masters 55-59 (11.04.1958)/58</t>
  </si>
  <si>
    <t>Open (02.07.1992)/24</t>
  </si>
  <si>
    <t>157,0</t>
  </si>
  <si>
    <t>167,5</t>
  </si>
  <si>
    <t>Masters 40-44 (08.06.1974)/42</t>
  </si>
  <si>
    <t>157,5</t>
  </si>
  <si>
    <t>Воробьева Мария</t>
  </si>
  <si>
    <t>Кузьминых Карина</t>
  </si>
  <si>
    <t>Близнюк Владислав</t>
  </si>
  <si>
    <t>Лукичев Георгий</t>
  </si>
  <si>
    <t>Побойкин Сергей</t>
  </si>
  <si>
    <t xml:space="preserve">67.5 </t>
  </si>
  <si>
    <t>107,9650</t>
  </si>
  <si>
    <t>Богданов Станислав</t>
  </si>
  <si>
    <t>104,5200</t>
  </si>
  <si>
    <t>Крюков Александр</t>
  </si>
  <si>
    <t>97,2945</t>
  </si>
  <si>
    <t>Воронин Антон</t>
  </si>
  <si>
    <t>Кюббар Александр</t>
  </si>
  <si>
    <t>Open (17.04.1982)/34</t>
  </si>
  <si>
    <t>62,5</t>
  </si>
  <si>
    <t>182,5</t>
  </si>
  <si>
    <t xml:space="preserve">Клемешов А.О. </t>
  </si>
  <si>
    <t>Open (29.03.1988)/28</t>
  </si>
  <si>
    <t xml:space="preserve">Спортивный клуб "Обь" </t>
  </si>
  <si>
    <t>235,0</t>
  </si>
  <si>
    <t>242,0</t>
  </si>
  <si>
    <t>237,5</t>
  </si>
  <si>
    <t>Полушина Юлия</t>
  </si>
  <si>
    <t>ВЕСОВАЯ КАТЕГОРИЯ   48</t>
  </si>
  <si>
    <t>Батенёва Алина</t>
  </si>
  <si>
    <t>Open (01.09.1997)/18</t>
  </si>
  <si>
    <t xml:space="preserve">Энергия </t>
  </si>
  <si>
    <t>42,0</t>
  </si>
  <si>
    <t>47,5</t>
  </si>
  <si>
    <t>92,5</t>
  </si>
  <si>
    <t>95,0</t>
  </si>
  <si>
    <t>Медведева Ю.</t>
  </si>
  <si>
    <t>Кочурина Анастасия</t>
  </si>
  <si>
    <t>Juniors 20-23 (15.09.1995)/20</t>
  </si>
  <si>
    <t>97,5</t>
  </si>
  <si>
    <t>102,5</t>
  </si>
  <si>
    <t>52,0</t>
  </si>
  <si>
    <t>57,5</t>
  </si>
  <si>
    <t>Тюленев А.</t>
  </si>
  <si>
    <t>Афанасенкова Дарья</t>
  </si>
  <si>
    <t>Juniors 20-23 (01.06.1996)/20</t>
  </si>
  <si>
    <t>Кузьмина Алина</t>
  </si>
  <si>
    <t>Open (03.07.1988)/27</t>
  </si>
  <si>
    <t>105,0</t>
  </si>
  <si>
    <t>115,0</t>
  </si>
  <si>
    <t>Горбачев Д.</t>
  </si>
  <si>
    <t>ВЕСОВАЯ КАТЕГОРИЯ   60</t>
  </si>
  <si>
    <t>Лапин Артём</t>
  </si>
  <si>
    <t>Teenage 15-19 (01.06.1999)/17</t>
  </si>
  <si>
    <t>72,0</t>
  </si>
  <si>
    <t>152,0</t>
  </si>
  <si>
    <t>Щелков А.</t>
  </si>
  <si>
    <t>Якубовский Семен</t>
  </si>
  <si>
    <t>Teenage 15-19 (19.08.2000)/15</t>
  </si>
  <si>
    <t>Тузиков Кирилл</t>
  </si>
  <si>
    <t>Teenage 15-19 (16.10.1999)/16</t>
  </si>
  <si>
    <t>Open (01.06.1999)/17</t>
  </si>
  <si>
    <t>Мельников Сергей</t>
  </si>
  <si>
    <t>Teenage 15-19 (22.11.2001)/14</t>
  </si>
  <si>
    <t>57,0</t>
  </si>
  <si>
    <t>62,0</t>
  </si>
  <si>
    <t>67,0</t>
  </si>
  <si>
    <t>Будыгин Сергей</t>
  </si>
  <si>
    <t>Teenage 15-19 (24.10.2000)/15</t>
  </si>
  <si>
    <t>Пасынков В.</t>
  </si>
  <si>
    <t>Фоменко Игорь</t>
  </si>
  <si>
    <t>Juniors 20-23 (20.12.1994)/21</t>
  </si>
  <si>
    <t>122,0</t>
  </si>
  <si>
    <t>Якубов П.</t>
  </si>
  <si>
    <t>182,0</t>
  </si>
  <si>
    <t>Яковлев Данил</t>
  </si>
  <si>
    <t>Teenage 15-19 (01.11.1999)/16</t>
  </si>
  <si>
    <t>107,5</t>
  </si>
  <si>
    <t>195,0</t>
  </si>
  <si>
    <t>225,0</t>
  </si>
  <si>
    <t>Чайкин Денис</t>
  </si>
  <si>
    <t>Teenage 15-19 (14.09.2000)/15</t>
  </si>
  <si>
    <t>Дрожанов Александр</t>
  </si>
  <si>
    <t>Juniors 20-23 (19.07.1995)/20</t>
  </si>
  <si>
    <t>122,5</t>
  </si>
  <si>
    <t>245,0</t>
  </si>
  <si>
    <t>250,0</t>
  </si>
  <si>
    <t>Щелков Александр</t>
  </si>
  <si>
    <t>Open (05.11.1989)/26</t>
  </si>
  <si>
    <t>207,5</t>
  </si>
  <si>
    <t>230,0</t>
  </si>
  <si>
    <t>242,5</t>
  </si>
  <si>
    <t xml:space="preserve">Самостоятелно </t>
  </si>
  <si>
    <t>Платошин Алексей</t>
  </si>
  <si>
    <t>Open (01.10.1984)/31</t>
  </si>
  <si>
    <t>210,0</t>
  </si>
  <si>
    <t>Абрамов Андрей</t>
  </si>
  <si>
    <t>Masters 40-44 (01.10.1974)/41</t>
  </si>
  <si>
    <t>190,0</t>
  </si>
  <si>
    <t>Артюх Александр</t>
  </si>
  <si>
    <t>Juniors 20-23 (17.08.1995)/20</t>
  </si>
  <si>
    <t>142,0</t>
  </si>
  <si>
    <t>Карпов Дмитрий</t>
  </si>
  <si>
    <t>Open (20.02.1988)/28</t>
  </si>
  <si>
    <t>Masters 55-59 (23.05.1960)/56</t>
  </si>
  <si>
    <t>Рыбин Павел</t>
  </si>
  <si>
    <t>Teenage 15-19 (19.04.2000)/16</t>
  </si>
  <si>
    <t>117,0</t>
  </si>
  <si>
    <t>Менщиков Алексей</t>
  </si>
  <si>
    <t>Open (20.06.1990)/26</t>
  </si>
  <si>
    <t>107,0</t>
  </si>
  <si>
    <t>222,5</t>
  </si>
  <si>
    <t>Бокарев А.</t>
  </si>
  <si>
    <t>Евстюфеев Александр</t>
  </si>
  <si>
    <t>Open (23.02.1992)/24</t>
  </si>
  <si>
    <t>167,0</t>
  </si>
  <si>
    <t>172,0</t>
  </si>
  <si>
    <t>607,5</t>
  </si>
  <si>
    <t>411,5205</t>
  </si>
  <si>
    <t>582,5</t>
  </si>
  <si>
    <t>391,6730</t>
  </si>
  <si>
    <t>495,0</t>
  </si>
  <si>
    <t>390,1095</t>
  </si>
  <si>
    <t>Gloss</t>
  </si>
  <si>
    <t>Багаев Александр</t>
  </si>
  <si>
    <t>Open (04.04.1986)/30</t>
  </si>
  <si>
    <t>Епихин Антон</t>
  </si>
  <si>
    <t>Open (11.10.1988)/27</t>
  </si>
  <si>
    <t xml:space="preserve">Томск/Томская область </t>
  </si>
  <si>
    <t xml:space="preserve">Кочмарев Д. Коваженко К. </t>
  </si>
  <si>
    <t>Панферов Евгений</t>
  </si>
  <si>
    <t>Open (13.05.1983)/33</t>
  </si>
  <si>
    <t>217,5</t>
  </si>
  <si>
    <t>Приходько Мария</t>
  </si>
  <si>
    <t>Juniors 20-23 (14.09.1992)/23</t>
  </si>
  <si>
    <t>Новоселова Анна</t>
  </si>
  <si>
    <t>Juniors 20-23 (02.07.1993)/23</t>
  </si>
  <si>
    <t>Николенко Елена</t>
  </si>
  <si>
    <t>Open (15.06.1978)/38</t>
  </si>
  <si>
    <t>Лазуткин Михаил</t>
  </si>
  <si>
    <t>Juniors 20-23 (02.05.1995)/21</t>
  </si>
  <si>
    <t>Быховец Артем</t>
  </si>
  <si>
    <t>Open (19.07.1983)/32</t>
  </si>
  <si>
    <t>Овчаренко Олег</t>
  </si>
  <si>
    <t>Open (29.08.1991)/24</t>
  </si>
  <si>
    <t>202,5</t>
  </si>
  <si>
    <t>Juniors 20-23 (05.03.1995)/21</t>
  </si>
  <si>
    <t>260,0</t>
  </si>
  <si>
    <t>272,5</t>
  </si>
  <si>
    <t>Кайгородов Олег</t>
  </si>
  <si>
    <t>Вишняк Анна</t>
  </si>
  <si>
    <t>Open (12.12.1984)/31</t>
  </si>
  <si>
    <t>Чир Алексей</t>
  </si>
  <si>
    <t>Open (30.06.1987)/29</t>
  </si>
  <si>
    <t>Мамаев Александр</t>
  </si>
  <si>
    <t>Open (24.02.1985)/31</t>
  </si>
  <si>
    <t>Sub Masters 33-39 (24.02.1985)/31</t>
  </si>
  <si>
    <t>Самойленко Данил</t>
  </si>
  <si>
    <t>Teenage 15-19 (22.08.2000)/15</t>
  </si>
  <si>
    <t>Кашин Михаил</t>
  </si>
  <si>
    <t>Juniors 20-23 (04.02.1993)/23</t>
  </si>
  <si>
    <t>Верещагин Андрей</t>
  </si>
  <si>
    <t>Open (08.07.1985)/30</t>
  </si>
  <si>
    <t xml:space="preserve">Спортивный клуб "Голливуд" </t>
  </si>
  <si>
    <t>Жихарев Иван</t>
  </si>
  <si>
    <t>Open (05.06.1990)/26</t>
  </si>
  <si>
    <t>Вес</t>
  </si>
  <si>
    <t>Повторы</t>
  </si>
  <si>
    <t>Open (05.12.1989)/26</t>
  </si>
  <si>
    <t xml:space="preserve">Бердск/Новосибирская область </t>
  </si>
  <si>
    <t>Open (12.04.1987)/29</t>
  </si>
  <si>
    <t>77,5</t>
  </si>
  <si>
    <t>Белокопытов В.</t>
  </si>
  <si>
    <t>Смолянинов Иван</t>
  </si>
  <si>
    <t>Open (16.11.1983)/32</t>
  </si>
  <si>
    <t>Open (02.02.1989)/27</t>
  </si>
  <si>
    <t>Open (14.01.1986)/30</t>
  </si>
  <si>
    <t>Masters 40-49 (28.03.1972)/44</t>
  </si>
  <si>
    <t>95,05</t>
  </si>
  <si>
    <t>Teen 13-19 (20.11.2000)/15</t>
  </si>
  <si>
    <t>37,5</t>
  </si>
  <si>
    <t>Возрастная группа/Дата рождения/возраст</t>
  </si>
  <si>
    <t>Собств. вес</t>
  </si>
  <si>
    <t>74,8</t>
  </si>
  <si>
    <t>81,5</t>
  </si>
  <si>
    <t>80,1</t>
  </si>
  <si>
    <t>84,4</t>
  </si>
  <si>
    <t>85,8</t>
  </si>
  <si>
    <t>86,4</t>
  </si>
  <si>
    <t>99,1</t>
  </si>
  <si>
    <t>91,9</t>
  </si>
  <si>
    <t>106,2</t>
  </si>
  <si>
    <t>102,3</t>
  </si>
  <si>
    <t>122,2</t>
  </si>
  <si>
    <t>133,8</t>
  </si>
  <si>
    <t>Быховец А.</t>
  </si>
  <si>
    <t xml:space="preserve">Савченко Дмитрий </t>
  </si>
  <si>
    <t xml:space="preserve">Свиридов Дмитрий </t>
  </si>
  <si>
    <t xml:space="preserve">Матюшин Валерий </t>
  </si>
  <si>
    <t>2</t>
  </si>
  <si>
    <t xml:space="preserve">Дюков Игорь </t>
  </si>
  <si>
    <t xml:space="preserve">Сагайдак Максим </t>
  </si>
  <si>
    <t xml:space="preserve">Курбаков Юрий </t>
  </si>
  <si>
    <t>1</t>
  </si>
  <si>
    <t xml:space="preserve">Романов Денис </t>
  </si>
  <si>
    <t xml:space="preserve">Щёголев Кирилл </t>
  </si>
  <si>
    <t xml:space="preserve">Алемчук Сергей </t>
  </si>
  <si>
    <t xml:space="preserve">Медведев Максим </t>
  </si>
  <si>
    <t xml:space="preserve">Бернгардт Матвей </t>
  </si>
  <si>
    <t xml:space="preserve">Кураков Сергей </t>
  </si>
  <si>
    <t xml:space="preserve">Горшков Алексей </t>
  </si>
  <si>
    <t>140,2</t>
  </si>
  <si>
    <t>40,8</t>
  </si>
  <si>
    <t xml:space="preserve">Сиглова Наталья </t>
  </si>
  <si>
    <t>54,8</t>
  </si>
  <si>
    <t xml:space="preserve">Мурзов Алексей </t>
  </si>
  <si>
    <t>55,2</t>
  </si>
  <si>
    <t xml:space="preserve">Побойкин Сергей </t>
  </si>
  <si>
    <t>73,3</t>
  </si>
  <si>
    <t>71,9</t>
  </si>
  <si>
    <t>73,8</t>
  </si>
  <si>
    <t>74,0</t>
  </si>
  <si>
    <t>3</t>
  </si>
  <si>
    <t xml:space="preserve">Пасынков Евгений </t>
  </si>
  <si>
    <t xml:space="preserve">Крюков Александр </t>
  </si>
  <si>
    <t xml:space="preserve">Воронин Антон </t>
  </si>
  <si>
    <t xml:space="preserve">Леванов Эдуард </t>
  </si>
  <si>
    <t xml:space="preserve">Близнюк Владислав </t>
  </si>
  <si>
    <t xml:space="preserve">Шохтин Илья </t>
  </si>
  <si>
    <t xml:space="preserve">Верхоглядов Ян </t>
  </si>
  <si>
    <t xml:space="preserve">Гаенко Константин </t>
  </si>
  <si>
    <t>81,1</t>
  </si>
  <si>
    <t>81,8</t>
  </si>
  <si>
    <t>82,0</t>
  </si>
  <si>
    <t>75,3</t>
  </si>
  <si>
    <t>79,9</t>
  </si>
  <si>
    <t xml:space="preserve">Кюббар Александр </t>
  </si>
  <si>
    <t xml:space="preserve">Богданов Станислав </t>
  </si>
  <si>
    <t xml:space="preserve">Нормантович Евгений </t>
  </si>
  <si>
    <t>83,4</t>
  </si>
  <si>
    <t>88,7</t>
  </si>
  <si>
    <t>85,5</t>
  </si>
  <si>
    <t>89,0</t>
  </si>
  <si>
    <t>Филипович В.</t>
  </si>
  <si>
    <t xml:space="preserve">Харченко Сергей </t>
  </si>
  <si>
    <t xml:space="preserve">Ларин Вячеслав </t>
  </si>
  <si>
    <t xml:space="preserve">Анненков Сергей </t>
  </si>
  <si>
    <t>99,0</t>
  </si>
  <si>
    <t>92,9</t>
  </si>
  <si>
    <t>98,2</t>
  </si>
  <si>
    <t xml:space="preserve">Толоконников Николай </t>
  </si>
  <si>
    <t xml:space="preserve">Грязнов Александр </t>
  </si>
  <si>
    <t>106,7</t>
  </si>
  <si>
    <t>104,1</t>
  </si>
  <si>
    <t xml:space="preserve">Полушина Юлия </t>
  </si>
  <si>
    <t xml:space="preserve">Никулина Ирина </t>
  </si>
  <si>
    <t>67,2</t>
  </si>
  <si>
    <t>81,9</t>
  </si>
  <si>
    <t>Клемешов А.</t>
  </si>
  <si>
    <t>Левченко Ю.</t>
  </si>
  <si>
    <t>46,4</t>
  </si>
  <si>
    <t>65,5</t>
  </si>
  <si>
    <t>64,5</t>
  </si>
  <si>
    <t>63,2</t>
  </si>
  <si>
    <t xml:space="preserve">Прокопьевск/Кемеровская область </t>
  </si>
  <si>
    <t>59,2</t>
  </si>
  <si>
    <t>58,0</t>
  </si>
  <si>
    <t>56,4</t>
  </si>
  <si>
    <t>64,6</t>
  </si>
  <si>
    <t>66,6</t>
  </si>
  <si>
    <t>67,3</t>
  </si>
  <si>
    <t>65,7</t>
  </si>
  <si>
    <t>74,4</t>
  </si>
  <si>
    <t>81,4</t>
  </si>
  <si>
    <t>81,0</t>
  </si>
  <si>
    <t>80,8</t>
  </si>
  <si>
    <t>89,7</t>
  </si>
  <si>
    <t>86,0</t>
  </si>
  <si>
    <t>94,3</t>
  </si>
  <si>
    <t>98,5</t>
  </si>
  <si>
    <t>Анненков С.</t>
  </si>
  <si>
    <t xml:space="preserve">Клемешов А. </t>
  </si>
  <si>
    <t>106,6</t>
  </si>
  <si>
    <t>106,4</t>
  </si>
  <si>
    <t>54,5</t>
  </si>
  <si>
    <t>56,0</t>
  </si>
  <si>
    <t>74,9</t>
  </si>
  <si>
    <t>66,4</t>
  </si>
  <si>
    <t>84,5</t>
  </si>
  <si>
    <t>89,2</t>
  </si>
  <si>
    <t>97,6</t>
  </si>
  <si>
    <t>54,2</t>
  </si>
  <si>
    <t>64,0</t>
  </si>
  <si>
    <t>59,0</t>
  </si>
  <si>
    <t>70,8</t>
  </si>
  <si>
    <t>72,2</t>
  </si>
  <si>
    <t>88,6</t>
  </si>
  <si>
    <t>95,8</t>
  </si>
  <si>
    <t>Спартак</t>
  </si>
  <si>
    <t xml:space="preserve">Селедков Юрий </t>
  </si>
  <si>
    <t xml:space="preserve">Князев Алексей </t>
  </si>
  <si>
    <t xml:space="preserve">Красильников Данила </t>
  </si>
  <si>
    <t xml:space="preserve">Дерин Дмитрий </t>
  </si>
  <si>
    <t xml:space="preserve">Воробьев Александр </t>
  </si>
  <si>
    <t>77,3</t>
  </si>
  <si>
    <t>88,9</t>
  </si>
  <si>
    <t>Место</t>
  </si>
  <si>
    <t>Результат</t>
  </si>
  <si>
    <t>111,7400</t>
  </si>
  <si>
    <t>94,7700</t>
  </si>
  <si>
    <t>142.5</t>
  </si>
  <si>
    <t>152.5</t>
  </si>
  <si>
    <t>177.5</t>
  </si>
  <si>
    <t>192.5</t>
  </si>
  <si>
    <t>г. Новосибирск, 02 - 03 июля 2016 г.</t>
  </si>
  <si>
    <t>Собств.     вес</t>
  </si>
  <si>
    <t>137.5</t>
  </si>
  <si>
    <t>387.5</t>
  </si>
  <si>
    <t>637.5</t>
  </si>
  <si>
    <t>207.5</t>
  </si>
  <si>
    <t>277.5</t>
  </si>
  <si>
    <t>372.5</t>
  </si>
  <si>
    <t>562.5</t>
  </si>
  <si>
    <t>607.5</t>
  </si>
  <si>
    <t>582.5</t>
  </si>
  <si>
    <t>547.5</t>
  </si>
  <si>
    <t>217.5</t>
  </si>
  <si>
    <t>62.5</t>
  </si>
  <si>
    <t>92.5</t>
  </si>
  <si>
    <t>107.5</t>
  </si>
  <si>
    <t>97.5</t>
  </si>
  <si>
    <t>132.5</t>
  </si>
  <si>
    <t>147.5</t>
  </si>
  <si>
    <t>190.0</t>
  </si>
  <si>
    <t>180.0</t>
  </si>
  <si>
    <t>215.0</t>
  </si>
  <si>
    <t>205.0</t>
  </si>
  <si>
    <t>220.0</t>
  </si>
  <si>
    <t>200.0</t>
  </si>
  <si>
    <t>140.0</t>
  </si>
  <si>
    <t>135.0</t>
  </si>
  <si>
    <t>1240.0</t>
  </si>
  <si>
    <t>907.5</t>
  </si>
  <si>
    <t>2450.0</t>
  </si>
  <si>
    <t>2520.0</t>
  </si>
  <si>
    <t>1942.5</t>
  </si>
  <si>
    <t>1365.0</t>
  </si>
  <si>
    <t>3075.0</t>
  </si>
  <si>
    <t>1312.5</t>
  </si>
  <si>
    <t>1162.5</t>
  </si>
  <si>
    <t>130.0</t>
  </si>
  <si>
    <t>155.0</t>
  </si>
  <si>
    <t>125.0</t>
  </si>
  <si>
    <t>165.0</t>
  </si>
  <si>
    <t>150.0</t>
  </si>
  <si>
    <t>175.0</t>
  </si>
  <si>
    <t>40.0</t>
  </si>
  <si>
    <t>45.0</t>
  </si>
  <si>
    <t>55.0</t>
  </si>
  <si>
    <t>85.0</t>
  </si>
  <si>
    <t>65.0</t>
  </si>
  <si>
    <t>110.0</t>
  </si>
  <si>
    <t>90.0</t>
  </si>
  <si>
    <t>80.0</t>
  </si>
  <si>
    <t>162.5</t>
  </si>
  <si>
    <t>120.0</t>
  </si>
  <si>
    <t>127.5</t>
  </si>
  <si>
    <t>157.0</t>
  </si>
  <si>
    <t>157.5</t>
  </si>
  <si>
    <t>445.0</t>
  </si>
  <si>
    <t>280.0</t>
  </si>
  <si>
    <t>322.0</t>
  </si>
  <si>
    <t>275.0</t>
  </si>
  <si>
    <t>245.0</t>
  </si>
  <si>
    <t>307.0</t>
  </si>
  <si>
    <t>290.0</t>
  </si>
  <si>
    <t>425.0</t>
  </si>
  <si>
    <t>495.0</t>
  </si>
  <si>
    <t>420.0</t>
  </si>
  <si>
    <t>570.0</t>
  </si>
  <si>
    <t>400.0</t>
  </si>
  <si>
    <t>465.0</t>
  </si>
  <si>
    <t>410.0</t>
  </si>
  <si>
    <t>460.0</t>
  </si>
  <si>
    <t>485.0</t>
  </si>
  <si>
    <t>480.0</t>
  </si>
  <si>
    <t>260.0</t>
  </si>
  <si>
    <t xml:space="preserve">90,0 </t>
  </si>
  <si>
    <t xml:space="preserve">75,0 </t>
  </si>
  <si>
    <t xml:space="preserve">67,5 </t>
  </si>
  <si>
    <t>0</t>
  </si>
  <si>
    <t xml:space="preserve">Жим лежа без экипировки  </t>
  </si>
  <si>
    <t>Город/область</t>
  </si>
  <si>
    <t>21</t>
  </si>
  <si>
    <t>16</t>
  </si>
  <si>
    <t>11</t>
  </si>
  <si>
    <t>28</t>
  </si>
  <si>
    <t>14</t>
  </si>
  <si>
    <t>30</t>
  </si>
  <si>
    <t>31</t>
  </si>
  <si>
    <t>Мастерский турнир "Столица Сибири" IPL                                                                                                                                                                                                      Пауэрлифтинг без экипировки ДК
г. Новосибирск, 02 - 03 июля 2016 г.</t>
  </si>
  <si>
    <t xml:space="preserve">                                                                        Мастерский турнир "Столица Сибири" IPL                                                                                                                                                 </t>
  </si>
  <si>
    <t>Мастерский турнир "Столица Сибири" IPL                                                                                                              Жим лежа без экипировки
г. Новосибирск, 02 - 03 июля 2016 г.</t>
  </si>
  <si>
    <t>Мастерский турнир "Столица Сибири" IPL                                                                                                                                                                    Пауэрлифтинг без экипировки
г. Новосибирск, 02 - 03 июля 2016 г.</t>
  </si>
  <si>
    <t xml:space="preserve">   </t>
  </si>
  <si>
    <t>Мастерский турнир "Столица Сибири"                                                                                                                           Жим лежа в SOFT экипировке
г. Новосибирск, 02 - 03 июля 2016 г.</t>
  </si>
  <si>
    <t xml:space="preserve">  </t>
  </si>
  <si>
    <t xml:space="preserve"> </t>
  </si>
  <si>
    <t>Мастерский турнир "Столица Сибири"                                                                                                                              Жим лежа в SOFT экипировке ДК
г. Новосибирск, 02 - 03 июля 2016 г.</t>
  </si>
  <si>
    <t>Мастерский турнир "Столица Сибири" IPL                                                                                                   Присед в бинтах ДК
г. Новосибирск, 02 - 03 июля 2016 г.</t>
  </si>
  <si>
    <t>Мастерский турнир "Столица Сибири" IPL                                                                                                            Становая тяга без экипировки
г. Новосибирск, 02 - 03 июля 2016 г.</t>
  </si>
  <si>
    <t>Мастерский турнир "Столица Сибири" IPL                                                                                                                                   Становая тяга без экипировки ДК
г. Новосибирск, 02 - 03 июля 2016 г.</t>
  </si>
  <si>
    <t>Мастерский турнир "Столица Сибири"                                                                                                                Народный жим (1 вес)
г. Новосибирск, 02 - 03 июля 2016 г.</t>
  </si>
  <si>
    <t>Мастерский турнир "Столица Сибири"                                                                                                   Народный жим (1/2 вес)
г. Новосибирск, 02 - 03 июля 2016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</si>
</sst>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0.0000"/>
    <numFmt numFmtId="175" formatCode="000000"/>
    <numFmt numFmtId="176" formatCode="0.000"/>
  </numFmts>
  <fonts count="53">
    <font>
      <sz val="10"/>
      <name val="Arial Cyr"/>
      <family val="0"/>
    </font>
    <font>
      <sz val="24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b/>
      <strike/>
      <sz val="10"/>
      <name val="Arial Cyr"/>
      <family val="0"/>
    </font>
    <font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trike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trike/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43" fillId="0" borderId="7" applyNumberFormat="0" applyFill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0" fillId="0" borderId="0" xfId="0" applyNumberForma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11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left"/>
    </xf>
    <xf numFmtId="49" fontId="8" fillId="0" borderId="11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left" indent="1"/>
    </xf>
    <xf numFmtId="49" fontId="3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/>
    </xf>
    <xf numFmtId="49" fontId="52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2" fillId="33" borderId="14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 indent="1"/>
    </xf>
    <xf numFmtId="49" fontId="2" fillId="0" borderId="0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49" fontId="2" fillId="33" borderId="11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/>
    </xf>
    <xf numFmtId="49" fontId="2" fillId="34" borderId="1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14" fillId="0" borderId="0" xfId="0" applyNumberFormat="1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49" fontId="3" fillId="0" borderId="25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wrapText="1"/>
    </xf>
    <xf numFmtId="49" fontId="7" fillId="0" borderId="26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"/>
  <sheetViews>
    <sheetView workbookViewId="0" topLeftCell="A1">
      <selection activeCell="F37" sqref="F37"/>
    </sheetView>
  </sheetViews>
  <sheetFormatPr defaultColWidth="8.75390625" defaultRowHeight="12.75"/>
  <sheetData>
    <row r="1" spans="1:21" s="1" customFormat="1" ht="15" customHeight="1">
      <c r="A1" s="40" t="s">
        <v>12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</row>
    <row r="2" spans="1:21" s="1" customFormat="1" ht="66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</row>
    <row r="3" spans="1:21" s="2" customFormat="1" ht="12.75" customHeight="1">
      <c r="A3" s="46" t="s">
        <v>0</v>
      </c>
      <c r="B3" s="48" t="s">
        <v>11</v>
      </c>
      <c r="C3" s="50" t="s">
        <v>5</v>
      </c>
      <c r="D3" s="50" t="s">
        <v>13</v>
      </c>
      <c r="E3" s="50" t="s">
        <v>8</v>
      </c>
      <c r="F3" s="50" t="s">
        <v>10</v>
      </c>
      <c r="G3" s="50" t="s">
        <v>1</v>
      </c>
      <c r="H3" s="50"/>
      <c r="I3" s="50"/>
      <c r="J3" s="50"/>
      <c r="K3" s="50" t="s">
        <v>2</v>
      </c>
      <c r="L3" s="50"/>
      <c r="M3" s="50"/>
      <c r="N3" s="50"/>
      <c r="O3" s="50" t="s">
        <v>3</v>
      </c>
      <c r="P3" s="50"/>
      <c r="Q3" s="50"/>
      <c r="R3" s="50"/>
      <c r="S3" s="50" t="s">
        <v>4</v>
      </c>
      <c r="T3" s="50" t="s">
        <v>7</v>
      </c>
      <c r="U3" s="51" t="s">
        <v>6</v>
      </c>
    </row>
    <row r="4" spans="1:21" s="2" customFormat="1" ht="21" customHeight="1" thickBot="1">
      <c r="A4" s="47"/>
      <c r="B4" s="49"/>
      <c r="C4" s="49"/>
      <c r="D4" s="49"/>
      <c r="E4" s="49"/>
      <c r="F4" s="49"/>
      <c r="G4" s="3">
        <v>1</v>
      </c>
      <c r="H4" s="3">
        <v>2</v>
      </c>
      <c r="I4" s="3">
        <v>3</v>
      </c>
      <c r="J4" s="3" t="s">
        <v>9</v>
      </c>
      <c r="K4" s="3">
        <v>1</v>
      </c>
      <c r="L4" s="3">
        <v>2</v>
      </c>
      <c r="M4" s="3">
        <v>3</v>
      </c>
      <c r="N4" s="3" t="s">
        <v>9</v>
      </c>
      <c r="O4" s="3">
        <v>1</v>
      </c>
      <c r="P4" s="3">
        <v>2</v>
      </c>
      <c r="Q4" s="3">
        <v>3</v>
      </c>
      <c r="R4" s="3" t="s">
        <v>9</v>
      </c>
      <c r="S4" s="49"/>
      <c r="T4" s="49"/>
      <c r="U4" s="52"/>
    </row>
  </sheetData>
  <sheetProtection/>
  <mergeCells count="13">
    <mergeCell ref="S3:S4"/>
    <mergeCell ref="T3:T4"/>
    <mergeCell ref="U3:U4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C1">
      <selection activeCell="F21" sqref="F21"/>
    </sheetView>
  </sheetViews>
  <sheetFormatPr defaultColWidth="8.75390625" defaultRowHeight="12.75"/>
  <cols>
    <col min="1" max="1" width="8.75390625" style="0" customWidth="1"/>
    <col min="2" max="2" width="18.25390625" style="0" customWidth="1"/>
    <col min="3" max="3" width="24.00390625" style="0" bestFit="1" customWidth="1"/>
    <col min="4" max="5" width="8.75390625" style="0" customWidth="1"/>
    <col min="6" max="6" width="22.75390625" style="0" bestFit="1" customWidth="1"/>
    <col min="7" max="7" width="33.25390625" style="0" customWidth="1"/>
    <col min="8" max="9" width="8.75390625" style="0" customWidth="1"/>
    <col min="10" max="10" width="13.375" style="0" customWidth="1"/>
    <col min="11" max="11" width="8.75390625" style="0" customWidth="1"/>
    <col min="12" max="12" width="14.375" style="0" bestFit="1" customWidth="1"/>
  </cols>
  <sheetData>
    <row r="1" spans="1:12" ht="12.75">
      <c r="A1" s="19"/>
      <c r="B1" s="40" t="s">
        <v>552</v>
      </c>
      <c r="C1" s="41"/>
      <c r="D1" s="41"/>
      <c r="E1" s="41"/>
      <c r="F1" s="41"/>
      <c r="G1" s="41"/>
      <c r="H1" s="41"/>
      <c r="I1" s="41"/>
      <c r="J1" s="41"/>
      <c r="K1" s="41"/>
      <c r="L1" s="42"/>
    </row>
    <row r="2" spans="1:12" ht="117" customHeight="1" thickBot="1">
      <c r="A2" s="19"/>
      <c r="B2" s="43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3.5" customHeight="1">
      <c r="A3" s="46" t="s">
        <v>445</v>
      </c>
      <c r="B3" s="74" t="s">
        <v>0</v>
      </c>
      <c r="C3" s="76" t="s">
        <v>320</v>
      </c>
      <c r="D3" s="58" t="s">
        <v>321</v>
      </c>
      <c r="E3" s="50" t="s">
        <v>262</v>
      </c>
      <c r="F3" s="50" t="s">
        <v>8</v>
      </c>
      <c r="G3" s="50" t="s">
        <v>10</v>
      </c>
      <c r="H3" s="50" t="s">
        <v>2</v>
      </c>
      <c r="I3" s="50"/>
      <c r="J3" s="50" t="s">
        <v>446</v>
      </c>
      <c r="K3" s="50" t="s">
        <v>7</v>
      </c>
      <c r="L3" s="51" t="s">
        <v>6</v>
      </c>
    </row>
    <row r="4" spans="1:12" ht="15" thickBot="1">
      <c r="A4" s="47"/>
      <c r="B4" s="75"/>
      <c r="C4" s="56"/>
      <c r="D4" s="69"/>
      <c r="E4" s="49"/>
      <c r="F4" s="49"/>
      <c r="G4" s="49"/>
      <c r="H4" s="3" t="s">
        <v>305</v>
      </c>
      <c r="I4" s="3" t="s">
        <v>306</v>
      </c>
      <c r="J4" s="49"/>
      <c r="K4" s="49"/>
      <c r="L4" s="52"/>
    </row>
    <row r="5" spans="2:12" ht="15.75">
      <c r="B5" s="60" t="s">
        <v>14</v>
      </c>
      <c r="C5" s="61"/>
      <c r="D5" s="61"/>
      <c r="E5" s="61"/>
      <c r="F5" s="61"/>
      <c r="G5" s="61"/>
      <c r="H5" s="61"/>
      <c r="I5" s="61"/>
      <c r="J5" s="61"/>
      <c r="K5" s="61"/>
      <c r="L5" s="5"/>
    </row>
    <row r="6" spans="1:12" ht="12.75">
      <c r="A6" s="15" t="s">
        <v>342</v>
      </c>
      <c r="B6" s="13" t="s">
        <v>104</v>
      </c>
      <c r="C6" s="7" t="s">
        <v>318</v>
      </c>
      <c r="D6" s="6" t="s">
        <v>358</v>
      </c>
      <c r="E6" s="6" t="str">
        <f>"0,7110"</f>
        <v>0,7110</v>
      </c>
      <c r="F6" s="7" t="s">
        <v>17</v>
      </c>
      <c r="G6" s="7" t="s">
        <v>30</v>
      </c>
      <c r="H6" s="15" t="s">
        <v>319</v>
      </c>
      <c r="I6" s="38" t="s">
        <v>538</v>
      </c>
      <c r="J6" s="15" t="s">
        <v>488</v>
      </c>
      <c r="K6" s="15" t="str">
        <f>"826,4794"</f>
        <v>826,4794</v>
      </c>
      <c r="L6" s="7" t="s">
        <v>208</v>
      </c>
    </row>
    <row r="7" spans="2:12" ht="12.75">
      <c r="B7" s="4"/>
      <c r="C7" s="1"/>
      <c r="D7" s="1"/>
      <c r="E7" s="1"/>
      <c r="F7" s="5"/>
      <c r="G7" s="5"/>
      <c r="H7" s="1"/>
      <c r="I7" s="1"/>
      <c r="J7" s="4"/>
      <c r="K7" s="1"/>
      <c r="L7" s="5"/>
    </row>
    <row r="8" spans="2:12" ht="15.75">
      <c r="B8" s="4"/>
      <c r="C8" s="1"/>
      <c r="D8" s="1"/>
      <c r="E8" s="1"/>
      <c r="F8" s="9"/>
      <c r="G8" s="5"/>
      <c r="H8" s="1"/>
      <c r="I8" s="1"/>
      <c r="J8" s="4"/>
      <c r="K8" s="1"/>
      <c r="L8" s="5"/>
    </row>
    <row r="9" spans="2:12" ht="12.75">
      <c r="B9" s="4"/>
      <c r="C9" s="1"/>
      <c r="D9" s="1"/>
      <c r="E9" s="1"/>
      <c r="F9" s="5"/>
      <c r="G9" s="5"/>
      <c r="H9" s="1"/>
      <c r="I9" s="1"/>
      <c r="J9" s="4"/>
      <c r="K9" s="1"/>
      <c r="L9" s="5"/>
    </row>
  </sheetData>
  <sheetProtection/>
  <mergeCells count="13">
    <mergeCell ref="H3:I3"/>
    <mergeCell ref="J3:J4"/>
    <mergeCell ref="K3:K4"/>
    <mergeCell ref="L3:L4"/>
    <mergeCell ref="B5:K5"/>
    <mergeCell ref="A3:A4"/>
    <mergeCell ref="B1:L2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G26" sqref="G26"/>
    </sheetView>
  </sheetViews>
  <sheetFormatPr defaultColWidth="8.75390625" defaultRowHeight="12.75"/>
  <cols>
    <col min="1" max="1" width="9.125" style="32" customWidth="1"/>
    <col min="2" max="2" width="28.25390625" style="0" bestFit="1" customWidth="1"/>
    <col min="3" max="3" width="26.00390625" style="28" bestFit="1" customWidth="1"/>
    <col min="4" max="5" width="8.75390625" style="0" customWidth="1"/>
    <col min="6" max="6" width="10.875" style="0" customWidth="1"/>
    <col min="7" max="7" width="34.125" style="0" customWidth="1"/>
    <col min="8" max="11" width="8.75390625" style="0" customWidth="1"/>
    <col min="12" max="12" width="11.25390625" style="0" customWidth="1"/>
    <col min="13" max="13" width="8.75390625" style="0" customWidth="1"/>
    <col min="14" max="14" width="15.75390625" style="0" bestFit="1" customWidth="1"/>
  </cols>
  <sheetData>
    <row r="1" spans="1:14" ht="12.75">
      <c r="A1" s="30"/>
      <c r="B1" s="57" t="s">
        <v>549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/>
    </row>
    <row r="2" spans="1:14" ht="115.5" customHeight="1" thickBot="1">
      <c r="A2" s="31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5"/>
    </row>
    <row r="3" spans="1:14" ht="13.5" customHeight="1">
      <c r="A3" s="46" t="s">
        <v>445</v>
      </c>
      <c r="B3" s="46" t="s">
        <v>0</v>
      </c>
      <c r="C3" s="67" t="s">
        <v>320</v>
      </c>
      <c r="D3" s="58" t="s">
        <v>321</v>
      </c>
      <c r="E3" s="50" t="s">
        <v>13</v>
      </c>
      <c r="F3" s="50" t="s">
        <v>8</v>
      </c>
      <c r="G3" s="50" t="s">
        <v>531</v>
      </c>
      <c r="H3" s="50" t="s">
        <v>3</v>
      </c>
      <c r="I3" s="50"/>
      <c r="J3" s="50"/>
      <c r="K3" s="50"/>
      <c r="L3" s="50" t="s">
        <v>446</v>
      </c>
      <c r="M3" s="50" t="s">
        <v>7</v>
      </c>
      <c r="N3" s="51" t="s">
        <v>6</v>
      </c>
    </row>
    <row r="4" spans="1:14" ht="30" customHeight="1" thickBot="1">
      <c r="A4" s="47"/>
      <c r="B4" s="47"/>
      <c r="C4" s="68"/>
      <c r="D4" s="69"/>
      <c r="E4" s="49"/>
      <c r="F4" s="49"/>
      <c r="G4" s="49"/>
      <c r="H4" s="3">
        <v>1</v>
      </c>
      <c r="I4" s="3">
        <v>2</v>
      </c>
      <c r="J4" s="3">
        <v>3</v>
      </c>
      <c r="K4" s="3" t="s">
        <v>9</v>
      </c>
      <c r="L4" s="49"/>
      <c r="M4" s="49"/>
      <c r="N4" s="52"/>
    </row>
    <row r="5" spans="2:14" ht="15.75">
      <c r="B5" s="60" t="s">
        <v>100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5"/>
    </row>
    <row r="6" spans="1:14" ht="12.75">
      <c r="A6" s="15" t="s">
        <v>342</v>
      </c>
      <c r="B6" s="7" t="s">
        <v>166</v>
      </c>
      <c r="C6" s="7" t="s">
        <v>157</v>
      </c>
      <c r="D6" s="6" t="s">
        <v>395</v>
      </c>
      <c r="E6" s="6" t="str">
        <f>"1,0239"</f>
        <v>1,0239</v>
      </c>
      <c r="F6" s="7" t="s">
        <v>137</v>
      </c>
      <c r="G6" s="7" t="s">
        <v>30</v>
      </c>
      <c r="H6" s="29" t="s">
        <v>26</v>
      </c>
      <c r="I6" s="29" t="s">
        <v>45</v>
      </c>
      <c r="J6" s="8"/>
      <c r="K6" s="8"/>
      <c r="L6" s="15" t="s">
        <v>494</v>
      </c>
      <c r="M6" s="15" t="str">
        <f>"179,1825"</f>
        <v>179,1825</v>
      </c>
      <c r="N6" s="7" t="s">
        <v>397</v>
      </c>
    </row>
    <row r="7" spans="1:14" ht="12.75">
      <c r="A7" s="33"/>
      <c r="B7" s="4"/>
      <c r="C7" s="5"/>
      <c r="D7" s="1"/>
      <c r="E7" s="1"/>
      <c r="F7" s="5"/>
      <c r="G7" s="5"/>
      <c r="H7" s="1"/>
      <c r="I7" s="1"/>
      <c r="J7" s="1"/>
      <c r="K7" s="1"/>
      <c r="L7" s="4"/>
      <c r="M7" s="1"/>
      <c r="N7" s="5"/>
    </row>
    <row r="8" spans="1:14" ht="15.75">
      <c r="A8" s="33"/>
      <c r="B8" s="53" t="s">
        <v>46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"/>
    </row>
    <row r="9" spans="1:14" ht="12.75">
      <c r="A9" s="15" t="s">
        <v>342</v>
      </c>
      <c r="B9" s="7" t="s">
        <v>288</v>
      </c>
      <c r="C9" s="7" t="s">
        <v>285</v>
      </c>
      <c r="D9" s="6" t="s">
        <v>429</v>
      </c>
      <c r="E9" s="6" t="str">
        <f>"0,6147"</f>
        <v>0,6147</v>
      </c>
      <c r="F9" s="7" t="s">
        <v>23</v>
      </c>
      <c r="G9" s="7" t="s">
        <v>60</v>
      </c>
      <c r="H9" s="29" t="s">
        <v>225</v>
      </c>
      <c r="I9" s="29" t="s">
        <v>286</v>
      </c>
      <c r="J9" s="14" t="s">
        <v>287</v>
      </c>
      <c r="K9" s="8"/>
      <c r="L9" s="15" t="s">
        <v>525</v>
      </c>
      <c r="M9" s="15" t="str">
        <f>"159,8220"</f>
        <v>159,8220</v>
      </c>
      <c r="N9" s="7" t="s">
        <v>87</v>
      </c>
    </row>
    <row r="10" spans="2:14" ht="12.75">
      <c r="B10" s="4"/>
      <c r="C10" s="5"/>
      <c r="D10" s="1"/>
      <c r="E10" s="1"/>
      <c r="F10" s="5"/>
      <c r="G10" s="5"/>
      <c r="H10" s="1"/>
      <c r="I10" s="1"/>
      <c r="J10" s="1"/>
      <c r="K10" s="1"/>
      <c r="L10" s="4"/>
      <c r="M10" s="1"/>
      <c r="N10" s="5"/>
    </row>
    <row r="11" spans="2:14" ht="15.75">
      <c r="B11" s="4"/>
      <c r="C11" s="5"/>
      <c r="D11" s="1"/>
      <c r="E11" s="1"/>
      <c r="F11" s="9"/>
      <c r="G11" s="5"/>
      <c r="H11" s="1"/>
      <c r="I11" s="1"/>
      <c r="J11" s="1"/>
      <c r="K11" s="1"/>
      <c r="L11" s="4"/>
      <c r="M11" s="1"/>
      <c r="N11" s="5"/>
    </row>
    <row r="12" spans="2:14" ht="12.75">
      <c r="B12" s="4"/>
      <c r="C12" s="5"/>
      <c r="D12" s="1"/>
      <c r="E12" s="1"/>
      <c r="F12" s="5"/>
      <c r="G12" s="5"/>
      <c r="H12" s="1"/>
      <c r="I12" s="1"/>
      <c r="J12" s="1"/>
      <c r="K12" s="1"/>
      <c r="L12" s="4"/>
      <c r="M12" s="1"/>
      <c r="N12" s="5"/>
    </row>
    <row r="26" ht="12.75">
      <c r="G26" t="s">
        <v>546</v>
      </c>
    </row>
  </sheetData>
  <sheetProtection/>
  <mergeCells count="14">
    <mergeCell ref="H3:K3"/>
    <mergeCell ref="L3:L4"/>
    <mergeCell ref="M3:M4"/>
    <mergeCell ref="N3:N4"/>
    <mergeCell ref="B5:M5"/>
    <mergeCell ref="B8:M8"/>
    <mergeCell ref="A3:A4"/>
    <mergeCell ref="B1:N2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4"/>
  <sheetViews>
    <sheetView zoomScale="90" zoomScaleNormal="90" workbookViewId="0" topLeftCell="A1">
      <selection activeCell="F42" sqref="F42"/>
    </sheetView>
  </sheetViews>
  <sheetFormatPr defaultColWidth="8.75390625" defaultRowHeight="12.75"/>
  <cols>
    <col min="1" max="1" width="9.125" style="32" customWidth="1"/>
    <col min="2" max="2" width="28.25390625" style="0" bestFit="1" customWidth="1"/>
    <col min="3" max="3" width="30.875" style="28" bestFit="1" customWidth="1"/>
    <col min="4" max="5" width="8.75390625" style="0" customWidth="1"/>
    <col min="6" max="6" width="27.00390625" style="0" bestFit="1" customWidth="1"/>
    <col min="7" max="7" width="36.875" style="0" customWidth="1"/>
    <col min="8" max="11" width="8.75390625" style="0" customWidth="1"/>
    <col min="12" max="12" width="11.625" style="0" customWidth="1"/>
    <col min="13" max="13" width="8.75390625" style="0" customWidth="1"/>
    <col min="14" max="14" width="17.25390625" style="0" customWidth="1"/>
  </cols>
  <sheetData>
    <row r="1" spans="1:14" ht="12.75">
      <c r="A1" s="30"/>
      <c r="B1" s="57" t="s">
        <v>550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84" customHeight="1" thickBot="1">
      <c r="A2" s="31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3.5" customHeight="1">
      <c r="A3" s="46" t="s">
        <v>445</v>
      </c>
      <c r="B3" s="46" t="s">
        <v>0</v>
      </c>
      <c r="C3" s="67" t="s">
        <v>320</v>
      </c>
      <c r="D3" s="58" t="s">
        <v>321</v>
      </c>
      <c r="E3" s="50" t="s">
        <v>13</v>
      </c>
      <c r="F3" s="50" t="s">
        <v>8</v>
      </c>
      <c r="G3" s="50" t="s">
        <v>531</v>
      </c>
      <c r="H3" s="50" t="s">
        <v>3</v>
      </c>
      <c r="I3" s="50"/>
      <c r="J3" s="50"/>
      <c r="K3" s="50"/>
      <c r="L3" s="50" t="s">
        <v>446</v>
      </c>
      <c r="M3" s="50" t="s">
        <v>7</v>
      </c>
      <c r="N3" s="51" t="s">
        <v>6</v>
      </c>
    </row>
    <row r="4" spans="1:14" ht="15" customHeight="1" thickBot="1">
      <c r="A4" s="47"/>
      <c r="B4" s="47"/>
      <c r="C4" s="68"/>
      <c r="D4" s="69"/>
      <c r="E4" s="49"/>
      <c r="F4" s="49"/>
      <c r="G4" s="49"/>
      <c r="H4" s="3">
        <v>1</v>
      </c>
      <c r="I4" s="3">
        <v>2</v>
      </c>
      <c r="J4" s="3">
        <v>3</v>
      </c>
      <c r="K4" s="3" t="s">
        <v>9</v>
      </c>
      <c r="L4" s="49"/>
      <c r="M4" s="49"/>
      <c r="N4" s="52"/>
    </row>
    <row r="5" spans="2:14" ht="15.75">
      <c r="B5" s="60" t="s">
        <v>92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5"/>
    </row>
    <row r="6" spans="1:14" ht="12.75">
      <c r="A6" s="15" t="s">
        <v>342</v>
      </c>
      <c r="B6" s="13" t="s">
        <v>144</v>
      </c>
      <c r="C6" s="7" t="s">
        <v>93</v>
      </c>
      <c r="D6" s="6" t="s">
        <v>353</v>
      </c>
      <c r="E6" s="6" t="str">
        <f>"1,1967"</f>
        <v>1,1967</v>
      </c>
      <c r="F6" s="7" t="s">
        <v>17</v>
      </c>
      <c r="G6" s="7" t="s">
        <v>30</v>
      </c>
      <c r="H6" s="29" t="s">
        <v>99</v>
      </c>
      <c r="I6" s="29" t="s">
        <v>178</v>
      </c>
      <c r="J6" s="18"/>
      <c r="K6" s="18"/>
      <c r="L6" s="15" t="s">
        <v>469</v>
      </c>
      <c r="M6" s="15" t="str">
        <f>"116,6782"</f>
        <v>116,6782</v>
      </c>
      <c r="N6" s="7" t="s">
        <v>208</v>
      </c>
    </row>
    <row r="7" spans="1:14" ht="12.75">
      <c r="A7" s="15" t="s">
        <v>342</v>
      </c>
      <c r="B7" s="13" t="s">
        <v>289</v>
      </c>
      <c r="C7" s="7" t="s">
        <v>290</v>
      </c>
      <c r="D7" s="6" t="s">
        <v>430</v>
      </c>
      <c r="E7" s="6" t="str">
        <f>"1,2071"</f>
        <v>1,2071</v>
      </c>
      <c r="F7" s="7" t="s">
        <v>37</v>
      </c>
      <c r="G7" s="7" t="s">
        <v>30</v>
      </c>
      <c r="H7" s="29" t="s">
        <v>126</v>
      </c>
      <c r="I7" s="29" t="s">
        <v>121</v>
      </c>
      <c r="J7" s="29" t="s">
        <v>34</v>
      </c>
      <c r="K7" s="18"/>
      <c r="L7" s="15" t="s">
        <v>478</v>
      </c>
      <c r="M7" s="15" t="str">
        <f>"168,9940"</f>
        <v>168,9940</v>
      </c>
      <c r="N7" s="7" t="s">
        <v>334</v>
      </c>
    </row>
    <row r="8" spans="1:14" ht="12.75">
      <c r="A8" s="33"/>
      <c r="B8" s="4"/>
      <c r="C8" s="5"/>
      <c r="D8" s="1"/>
      <c r="E8" s="1"/>
      <c r="F8" s="5"/>
      <c r="G8" s="5"/>
      <c r="H8" s="1"/>
      <c r="I8" s="1"/>
      <c r="J8" s="1"/>
      <c r="K8" s="1"/>
      <c r="L8" s="4"/>
      <c r="M8" s="1"/>
      <c r="N8" s="5"/>
    </row>
    <row r="9" spans="1:14" ht="15.75">
      <c r="A9" s="33"/>
      <c r="B9" s="53" t="s">
        <v>100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"/>
    </row>
    <row r="10" spans="1:14" ht="12.75">
      <c r="A10" s="15" t="s">
        <v>342</v>
      </c>
      <c r="B10" s="13" t="s">
        <v>183</v>
      </c>
      <c r="C10" s="7" t="s">
        <v>184</v>
      </c>
      <c r="D10" s="6" t="s">
        <v>431</v>
      </c>
      <c r="E10" s="6" t="str">
        <f>"1,0613"</f>
        <v>1,0613</v>
      </c>
      <c r="F10" s="7" t="s">
        <v>17</v>
      </c>
      <c r="G10" s="7" t="s">
        <v>30</v>
      </c>
      <c r="H10" s="29" t="s">
        <v>121</v>
      </c>
      <c r="I10" s="29" t="s">
        <v>19</v>
      </c>
      <c r="J10" s="29" t="s">
        <v>20</v>
      </c>
      <c r="K10" s="8"/>
      <c r="L10" s="15" t="s">
        <v>479</v>
      </c>
      <c r="M10" s="15" t="str">
        <f>"143,2755"</f>
        <v>143,2755</v>
      </c>
      <c r="N10" s="7" t="s">
        <v>208</v>
      </c>
    </row>
    <row r="11" spans="1:14" ht="12.75">
      <c r="A11" s="33"/>
      <c r="B11" s="4"/>
      <c r="C11" s="5"/>
      <c r="D11" s="1"/>
      <c r="E11" s="1"/>
      <c r="F11" s="5"/>
      <c r="G11" s="5"/>
      <c r="H11" s="1"/>
      <c r="I11" s="1"/>
      <c r="J11" s="1"/>
      <c r="K11" s="1"/>
      <c r="L11" s="4"/>
      <c r="M11" s="1"/>
      <c r="N11" s="5"/>
    </row>
    <row r="12" spans="1:14" ht="15.75">
      <c r="A12" s="33"/>
      <c r="B12" s="53" t="s">
        <v>190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"/>
    </row>
    <row r="13" spans="1:14" ht="12.75">
      <c r="A13" s="15" t="s">
        <v>342</v>
      </c>
      <c r="B13" s="13" t="s">
        <v>291</v>
      </c>
      <c r="C13" s="7" t="s">
        <v>292</v>
      </c>
      <c r="D13" s="6" t="s">
        <v>432</v>
      </c>
      <c r="E13" s="6" t="str">
        <f>"0,8662"</f>
        <v>0,8662</v>
      </c>
      <c r="F13" s="7" t="s">
        <v>23</v>
      </c>
      <c r="G13" s="7" t="s">
        <v>30</v>
      </c>
      <c r="H13" s="29" t="s">
        <v>55</v>
      </c>
      <c r="I13" s="29" t="s">
        <v>237</v>
      </c>
      <c r="J13" s="14" t="s">
        <v>48</v>
      </c>
      <c r="K13" s="18"/>
      <c r="L13" s="15" t="s">
        <v>472</v>
      </c>
      <c r="M13" s="15" t="str">
        <f>"164,5780"</f>
        <v>164,5780</v>
      </c>
      <c r="N13" s="7" t="s">
        <v>175</v>
      </c>
    </row>
    <row r="14" spans="1:14" ht="12.75">
      <c r="A14" s="15" t="s">
        <v>338</v>
      </c>
      <c r="B14" s="13" t="s">
        <v>293</v>
      </c>
      <c r="C14" s="7" t="s">
        <v>294</v>
      </c>
      <c r="D14" s="6" t="s">
        <v>106</v>
      </c>
      <c r="E14" s="6" t="str">
        <f>"0,8529"</f>
        <v>0,8529</v>
      </c>
      <c r="F14" s="7" t="s">
        <v>23</v>
      </c>
      <c r="G14" s="7" t="s">
        <v>30</v>
      </c>
      <c r="H14" s="29" t="s">
        <v>223</v>
      </c>
      <c r="I14" s="29" t="s">
        <v>38</v>
      </c>
      <c r="J14" s="14" t="s">
        <v>102</v>
      </c>
      <c r="K14" s="18"/>
      <c r="L14" s="15" t="s">
        <v>470</v>
      </c>
      <c r="M14" s="15" t="str">
        <f>"113,0093"</f>
        <v>113,0093</v>
      </c>
      <c r="N14" s="7" t="s">
        <v>334</v>
      </c>
    </row>
    <row r="15" spans="1:14" ht="12.75">
      <c r="A15" s="15" t="s">
        <v>342</v>
      </c>
      <c r="B15" s="13" t="s">
        <v>293</v>
      </c>
      <c r="C15" s="7" t="s">
        <v>295</v>
      </c>
      <c r="D15" s="6" t="s">
        <v>106</v>
      </c>
      <c r="E15" s="6" t="str">
        <f>"0,8529"</f>
        <v>0,8529</v>
      </c>
      <c r="F15" s="7" t="s">
        <v>37</v>
      </c>
      <c r="G15" s="7" t="s">
        <v>30</v>
      </c>
      <c r="H15" s="29" t="s">
        <v>223</v>
      </c>
      <c r="I15" s="29" t="s">
        <v>38</v>
      </c>
      <c r="J15" s="14" t="s">
        <v>102</v>
      </c>
      <c r="K15" s="18"/>
      <c r="L15" s="15" t="s">
        <v>470</v>
      </c>
      <c r="M15" s="15" t="str">
        <f>"113,0093"</f>
        <v>113,0093</v>
      </c>
      <c r="N15" s="7" t="s">
        <v>334</v>
      </c>
    </row>
    <row r="16" spans="1:14" ht="12.75">
      <c r="A16" s="33"/>
      <c r="B16" s="4"/>
      <c r="C16" s="5"/>
      <c r="D16" s="1"/>
      <c r="E16" s="1"/>
      <c r="F16" s="5"/>
      <c r="G16" s="5"/>
      <c r="H16" s="1"/>
      <c r="I16" s="1"/>
      <c r="J16" s="1"/>
      <c r="K16" s="1"/>
      <c r="L16" s="4"/>
      <c r="M16" s="1"/>
      <c r="N16" s="5"/>
    </row>
    <row r="17" spans="1:14" ht="15.75">
      <c r="A17" s="33"/>
      <c r="B17" s="53" t="s">
        <v>14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"/>
    </row>
    <row r="18" spans="1:14" ht="12.75">
      <c r="A18" s="15" t="s">
        <v>342</v>
      </c>
      <c r="B18" s="13" t="s">
        <v>296</v>
      </c>
      <c r="C18" s="7" t="s">
        <v>297</v>
      </c>
      <c r="D18" s="6" t="s">
        <v>433</v>
      </c>
      <c r="E18" s="6" t="str">
        <f>"0,7430"</f>
        <v>0,7430</v>
      </c>
      <c r="F18" s="7" t="s">
        <v>17</v>
      </c>
      <c r="G18" s="7" t="s">
        <v>30</v>
      </c>
      <c r="H18" s="29" t="s">
        <v>19</v>
      </c>
      <c r="I18" s="29" t="s">
        <v>20</v>
      </c>
      <c r="J18" s="29" t="s">
        <v>52</v>
      </c>
      <c r="K18" s="18"/>
      <c r="L18" s="15" t="s">
        <v>471</v>
      </c>
      <c r="M18" s="15" t="str">
        <f>"109,5925"</f>
        <v>109,5925</v>
      </c>
      <c r="N18" s="7" t="s">
        <v>87</v>
      </c>
    </row>
    <row r="19" spans="1:14" ht="12.75">
      <c r="A19" s="15" t="s">
        <v>342</v>
      </c>
      <c r="B19" s="13" t="s">
        <v>298</v>
      </c>
      <c r="C19" s="7" t="s">
        <v>299</v>
      </c>
      <c r="D19" s="6" t="s">
        <v>434</v>
      </c>
      <c r="E19" s="6" t="str">
        <f>"0,7322"</f>
        <v>0,7322</v>
      </c>
      <c r="F19" s="7" t="s">
        <v>59</v>
      </c>
      <c r="G19" s="7" t="s">
        <v>60</v>
      </c>
      <c r="H19" s="14" t="s">
        <v>237</v>
      </c>
      <c r="I19" s="29" t="s">
        <v>48</v>
      </c>
      <c r="J19" s="29" t="s">
        <v>228</v>
      </c>
      <c r="K19" s="18"/>
      <c r="L19" s="15" t="s">
        <v>458</v>
      </c>
      <c r="M19" s="15" t="str">
        <f>"151,9315"</f>
        <v>151,9315</v>
      </c>
      <c r="N19" s="7" t="s">
        <v>87</v>
      </c>
    </row>
    <row r="20" spans="1:14" ht="12.75">
      <c r="A20" s="33"/>
      <c r="B20" s="4"/>
      <c r="C20" s="5"/>
      <c r="D20" s="1"/>
      <c r="E20" s="1"/>
      <c r="F20" s="5"/>
      <c r="G20" s="5"/>
      <c r="H20" s="1"/>
      <c r="I20" s="1"/>
      <c r="J20" s="1"/>
      <c r="K20" s="1"/>
      <c r="L20" s="4"/>
      <c r="M20" s="1"/>
      <c r="N20" s="5"/>
    </row>
    <row r="21" spans="1:14" ht="15.75">
      <c r="A21" s="33"/>
      <c r="B21" s="53" t="s">
        <v>21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"/>
    </row>
    <row r="22" spans="1:14" ht="12.75">
      <c r="A22" s="15" t="s">
        <v>342</v>
      </c>
      <c r="B22" s="13" t="s">
        <v>235</v>
      </c>
      <c r="C22" s="7" t="s">
        <v>236</v>
      </c>
      <c r="D22" s="6" t="s">
        <v>414</v>
      </c>
      <c r="E22" s="6" t="str">
        <f>"0,6785"</f>
        <v>0,6785</v>
      </c>
      <c r="F22" s="7" t="s">
        <v>17</v>
      </c>
      <c r="G22" s="7" t="s">
        <v>30</v>
      </c>
      <c r="H22" s="29" t="s">
        <v>237</v>
      </c>
      <c r="I22" s="8"/>
      <c r="J22" s="8"/>
      <c r="K22" s="8"/>
      <c r="L22" s="15" t="s">
        <v>472</v>
      </c>
      <c r="M22" s="15" t="str">
        <f>"129,5596"</f>
        <v>129,5596</v>
      </c>
      <c r="N22" s="7" t="s">
        <v>208</v>
      </c>
    </row>
    <row r="23" spans="1:14" ht="12.75">
      <c r="A23" s="33"/>
      <c r="B23" s="4"/>
      <c r="C23" s="5"/>
      <c r="D23" s="1"/>
      <c r="E23" s="1"/>
      <c r="F23" s="5"/>
      <c r="G23" s="5"/>
      <c r="H23" s="1"/>
      <c r="I23" s="1"/>
      <c r="J23" s="1"/>
      <c r="K23" s="1"/>
      <c r="L23" s="4"/>
      <c r="M23" s="1"/>
      <c r="N23" s="5"/>
    </row>
    <row r="24" spans="1:14" ht="15.75">
      <c r="A24" s="33"/>
      <c r="B24" s="53" t="s">
        <v>32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"/>
    </row>
    <row r="25" spans="1:14" ht="12.75">
      <c r="A25" s="15" t="s">
        <v>342</v>
      </c>
      <c r="B25" s="13" t="s">
        <v>238</v>
      </c>
      <c r="C25" s="7" t="s">
        <v>239</v>
      </c>
      <c r="D25" s="6" t="s">
        <v>415</v>
      </c>
      <c r="E25" s="6" t="str">
        <f>"0,6395"</f>
        <v>0,6395</v>
      </c>
      <c r="F25" s="7" t="s">
        <v>137</v>
      </c>
      <c r="G25" s="7" t="s">
        <v>30</v>
      </c>
      <c r="H25" s="29" t="s">
        <v>55</v>
      </c>
      <c r="I25" s="18"/>
      <c r="J25" s="18"/>
      <c r="K25" s="18"/>
      <c r="L25" s="15" t="s">
        <v>473</v>
      </c>
      <c r="M25" s="15" t="str">
        <f>"115,1100"</f>
        <v>115,1100</v>
      </c>
      <c r="N25" s="7" t="s">
        <v>397</v>
      </c>
    </row>
    <row r="26" spans="1:14" ht="12.75">
      <c r="A26" s="15" t="s">
        <v>342</v>
      </c>
      <c r="B26" s="13" t="s">
        <v>300</v>
      </c>
      <c r="C26" s="7" t="s">
        <v>301</v>
      </c>
      <c r="D26" s="6" t="s">
        <v>435</v>
      </c>
      <c r="E26" s="6" t="str">
        <f>"0,6436"</f>
        <v>0,6436</v>
      </c>
      <c r="F26" s="7" t="s">
        <v>302</v>
      </c>
      <c r="G26" s="7" t="s">
        <v>30</v>
      </c>
      <c r="H26" s="29" t="s">
        <v>284</v>
      </c>
      <c r="I26" s="29" t="s">
        <v>49</v>
      </c>
      <c r="J26" s="14" t="s">
        <v>50</v>
      </c>
      <c r="K26" s="18"/>
      <c r="L26" s="15" t="s">
        <v>474</v>
      </c>
      <c r="M26" s="15" t="str">
        <f>"138,3740"</f>
        <v>138,3740</v>
      </c>
      <c r="N26" s="7" t="s">
        <v>87</v>
      </c>
    </row>
    <row r="27" spans="1:14" ht="12.75">
      <c r="A27" s="15" t="s">
        <v>338</v>
      </c>
      <c r="B27" s="13" t="s">
        <v>156</v>
      </c>
      <c r="C27" s="7" t="s">
        <v>132</v>
      </c>
      <c r="D27" s="6" t="s">
        <v>381</v>
      </c>
      <c r="E27" s="6" t="str">
        <f>"0,6421"</f>
        <v>0,6421</v>
      </c>
      <c r="F27" s="7" t="s">
        <v>17</v>
      </c>
      <c r="G27" s="7" t="s">
        <v>30</v>
      </c>
      <c r="H27" s="29" t="s">
        <v>57</v>
      </c>
      <c r="I27" s="18"/>
      <c r="J27" s="18"/>
      <c r="K27" s="18"/>
      <c r="L27" s="15" t="s">
        <v>475</v>
      </c>
      <c r="M27" s="15" t="str">
        <f>"131,6305"</f>
        <v>131,6305</v>
      </c>
      <c r="N27" s="7" t="s">
        <v>208</v>
      </c>
    </row>
    <row r="28" spans="1:14" ht="12.75">
      <c r="A28" s="33"/>
      <c r="B28" s="4"/>
      <c r="C28" s="5"/>
      <c r="D28" s="1"/>
      <c r="E28" s="1"/>
      <c r="F28" s="5"/>
      <c r="G28" s="5"/>
      <c r="H28" s="1"/>
      <c r="I28" s="1"/>
      <c r="J28" s="1"/>
      <c r="K28" s="1"/>
      <c r="L28" s="4"/>
      <c r="M28" s="1"/>
      <c r="N28" s="5"/>
    </row>
    <row r="29" spans="1:14" ht="15.75">
      <c r="A29" s="33"/>
      <c r="B29" s="53" t="s">
        <v>46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"/>
    </row>
    <row r="30" spans="1:14" ht="12.75">
      <c r="A30" s="15" t="s">
        <v>342</v>
      </c>
      <c r="B30" s="13" t="s">
        <v>303</v>
      </c>
      <c r="C30" s="7" t="s">
        <v>304</v>
      </c>
      <c r="D30" s="6" t="s">
        <v>436</v>
      </c>
      <c r="E30" s="6" t="str">
        <f>"0,6197"</f>
        <v>0,6197</v>
      </c>
      <c r="F30" s="7" t="s">
        <v>59</v>
      </c>
      <c r="G30" s="7" t="s">
        <v>60</v>
      </c>
      <c r="H30" s="29" t="s">
        <v>237</v>
      </c>
      <c r="I30" s="29" t="s">
        <v>57</v>
      </c>
      <c r="J30" s="29" t="s">
        <v>50</v>
      </c>
      <c r="K30" s="18"/>
      <c r="L30" s="15" t="s">
        <v>476</v>
      </c>
      <c r="M30" s="15" t="str">
        <f>"136,3340"</f>
        <v>136,3340</v>
      </c>
      <c r="N30" s="7" t="s">
        <v>87</v>
      </c>
    </row>
    <row r="31" spans="1:14" ht="12.75">
      <c r="A31" s="15" t="s">
        <v>338</v>
      </c>
      <c r="B31" s="13" t="s">
        <v>252</v>
      </c>
      <c r="C31" s="7" t="s">
        <v>253</v>
      </c>
      <c r="D31" s="6" t="s">
        <v>418</v>
      </c>
      <c r="E31" s="6" t="str">
        <f>"0,6123"</f>
        <v>0,6123</v>
      </c>
      <c r="F31" s="7" t="s">
        <v>437</v>
      </c>
      <c r="G31" s="7" t="s">
        <v>30</v>
      </c>
      <c r="H31" s="29" t="s">
        <v>48</v>
      </c>
      <c r="I31" s="18"/>
      <c r="J31" s="18"/>
      <c r="K31" s="18"/>
      <c r="L31" s="15" t="s">
        <v>477</v>
      </c>
      <c r="M31" s="15" t="str">
        <f>"122,4600"</f>
        <v>122,4600</v>
      </c>
      <c r="N31" s="7" t="s">
        <v>420</v>
      </c>
    </row>
    <row r="32" spans="2:14" ht="12.75">
      <c r="B32" s="4"/>
      <c r="C32" s="5"/>
      <c r="D32" s="1"/>
      <c r="E32" s="1"/>
      <c r="F32" s="5"/>
      <c r="G32" s="5"/>
      <c r="H32" s="1"/>
      <c r="I32" s="1"/>
      <c r="J32" s="1"/>
      <c r="K32" s="1"/>
      <c r="L32" s="4"/>
      <c r="M32" s="1"/>
      <c r="N32" s="5"/>
    </row>
    <row r="33" spans="2:14" ht="15.75">
      <c r="B33" s="4"/>
      <c r="C33" s="5"/>
      <c r="D33" s="1"/>
      <c r="E33" s="1"/>
      <c r="F33" s="9"/>
      <c r="G33" s="5"/>
      <c r="H33" s="1"/>
      <c r="I33" s="1"/>
      <c r="J33" s="1"/>
      <c r="K33" s="1"/>
      <c r="L33" s="4"/>
      <c r="M33" s="1"/>
      <c r="N33" s="5"/>
    </row>
    <row r="34" spans="2:14" ht="12.75">
      <c r="B34" s="4"/>
      <c r="C34" s="5"/>
      <c r="D34" s="1"/>
      <c r="E34" s="1"/>
      <c r="F34" s="5"/>
      <c r="G34" s="5"/>
      <c r="H34" s="1"/>
      <c r="I34" s="1"/>
      <c r="J34" s="1"/>
      <c r="K34" s="1"/>
      <c r="L34" s="4"/>
      <c r="M34" s="1"/>
      <c r="N34" s="5"/>
    </row>
  </sheetData>
  <sheetProtection/>
  <mergeCells count="19"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A3:A4"/>
    <mergeCell ref="B24:M24"/>
    <mergeCell ref="B29:M29"/>
    <mergeCell ref="N3:N4"/>
    <mergeCell ref="B5:M5"/>
    <mergeCell ref="B9:M9"/>
    <mergeCell ref="B12:M12"/>
    <mergeCell ref="B17:M17"/>
    <mergeCell ref="B21:M21"/>
  </mergeCell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4"/>
  <sheetViews>
    <sheetView workbookViewId="0" topLeftCell="A17">
      <selection activeCell="E62" sqref="E62"/>
    </sheetView>
  </sheetViews>
  <sheetFormatPr defaultColWidth="8.75390625" defaultRowHeight="12.75"/>
  <cols>
    <col min="1" max="1" width="8.875" style="22" customWidth="1"/>
    <col min="2" max="2" width="28.25390625" style="0" bestFit="1" customWidth="1"/>
    <col min="3" max="3" width="30.125" style="28" customWidth="1"/>
    <col min="4" max="5" width="8.75390625" style="0" customWidth="1"/>
    <col min="6" max="6" width="22.75390625" style="0" bestFit="1" customWidth="1"/>
    <col min="7" max="7" width="39.625" style="0" customWidth="1"/>
    <col min="8" max="19" width="8.75390625" style="0" customWidth="1"/>
    <col min="20" max="20" width="12.75390625" style="0" customWidth="1"/>
    <col min="21" max="21" width="8.75390625" style="0" customWidth="1"/>
    <col min="22" max="22" width="17.875" style="0" customWidth="1"/>
  </cols>
  <sheetData>
    <row r="1" spans="1:22" ht="12.75">
      <c r="A1" s="23"/>
      <c r="B1" s="57" t="s">
        <v>539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1:22" ht="93" customHeight="1" thickBot="1">
      <c r="A2" s="2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2" ht="13.5" customHeight="1">
      <c r="A3" s="46" t="s">
        <v>445</v>
      </c>
      <c r="B3" s="46" t="s">
        <v>0</v>
      </c>
      <c r="C3" s="67" t="s">
        <v>320</v>
      </c>
      <c r="D3" s="58" t="s">
        <v>321</v>
      </c>
      <c r="E3" s="50" t="s">
        <v>13</v>
      </c>
      <c r="F3" s="50" t="s">
        <v>8</v>
      </c>
      <c r="G3" s="50" t="s">
        <v>531</v>
      </c>
      <c r="H3" s="50" t="s">
        <v>1</v>
      </c>
      <c r="I3" s="50"/>
      <c r="J3" s="50"/>
      <c r="K3" s="50"/>
      <c r="L3" s="50" t="s">
        <v>2</v>
      </c>
      <c r="M3" s="50"/>
      <c r="N3" s="50"/>
      <c r="O3" s="50"/>
      <c r="P3" s="50" t="s">
        <v>3</v>
      </c>
      <c r="Q3" s="50"/>
      <c r="R3" s="50"/>
      <c r="S3" s="50"/>
      <c r="T3" s="50" t="s">
        <v>4</v>
      </c>
      <c r="U3" s="50" t="s">
        <v>7</v>
      </c>
      <c r="V3" s="51" t="s">
        <v>6</v>
      </c>
    </row>
    <row r="4" spans="1:22" ht="15" customHeight="1" thickBot="1">
      <c r="A4" s="47"/>
      <c r="B4" s="47"/>
      <c r="C4" s="68"/>
      <c r="D4" s="69"/>
      <c r="E4" s="49"/>
      <c r="F4" s="49"/>
      <c r="G4" s="49"/>
      <c r="H4" s="3">
        <v>1</v>
      </c>
      <c r="I4" s="3">
        <v>2</v>
      </c>
      <c r="J4" s="3">
        <v>3</v>
      </c>
      <c r="K4" s="3" t="s">
        <v>9</v>
      </c>
      <c r="L4" s="3">
        <v>1</v>
      </c>
      <c r="M4" s="3">
        <v>2</v>
      </c>
      <c r="N4" s="3">
        <v>3</v>
      </c>
      <c r="O4" s="3" t="s">
        <v>9</v>
      </c>
      <c r="P4" s="3">
        <v>1</v>
      </c>
      <c r="Q4" s="3">
        <v>2</v>
      </c>
      <c r="R4" s="3">
        <v>3</v>
      </c>
      <c r="S4" s="3" t="s">
        <v>9</v>
      </c>
      <c r="T4" s="49"/>
      <c r="U4" s="49"/>
      <c r="V4" s="52"/>
    </row>
    <row r="5" spans="2:22" ht="15.75">
      <c r="B5" s="70" t="s">
        <v>167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5"/>
    </row>
    <row r="6" spans="1:22" ht="12.75">
      <c r="A6" s="15" t="s">
        <v>342</v>
      </c>
      <c r="B6" s="13" t="s">
        <v>168</v>
      </c>
      <c r="C6" s="7" t="s">
        <v>169</v>
      </c>
      <c r="D6" s="6" t="s">
        <v>399</v>
      </c>
      <c r="E6" s="6" t="str">
        <f>"1,3573"</f>
        <v>1,3573</v>
      </c>
      <c r="F6" s="7" t="s">
        <v>170</v>
      </c>
      <c r="G6" s="7" t="s">
        <v>30</v>
      </c>
      <c r="H6" s="29" t="s">
        <v>107</v>
      </c>
      <c r="I6" s="14" t="s">
        <v>125</v>
      </c>
      <c r="J6" s="29" t="s">
        <v>125</v>
      </c>
      <c r="K6" s="18"/>
      <c r="L6" s="29" t="s">
        <v>171</v>
      </c>
      <c r="M6" s="29" t="s">
        <v>90</v>
      </c>
      <c r="N6" s="14" t="s">
        <v>172</v>
      </c>
      <c r="O6" s="18"/>
      <c r="P6" s="29" t="s">
        <v>98</v>
      </c>
      <c r="Q6" s="29" t="s">
        <v>173</v>
      </c>
      <c r="R6" s="14" t="s">
        <v>174</v>
      </c>
      <c r="S6" s="18"/>
      <c r="T6" s="15" t="s">
        <v>458</v>
      </c>
      <c r="U6" s="15" t="str">
        <f>"281,6398"</f>
        <v>281,6398</v>
      </c>
      <c r="V6" s="7" t="s">
        <v>175</v>
      </c>
    </row>
    <row r="7" spans="2:22" ht="12.75">
      <c r="B7" s="4"/>
      <c r="C7" s="5"/>
      <c r="D7" s="1"/>
      <c r="E7" s="1"/>
      <c r="F7" s="5"/>
      <c r="G7" s="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4"/>
      <c r="U7" s="1"/>
      <c r="V7" s="5"/>
    </row>
    <row r="8" spans="2:22" ht="15.75">
      <c r="B8" s="53" t="s">
        <v>100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"/>
    </row>
    <row r="9" spans="1:22" ht="12.75">
      <c r="A9" s="15" t="s">
        <v>342</v>
      </c>
      <c r="B9" s="13" t="s">
        <v>176</v>
      </c>
      <c r="C9" s="7" t="s">
        <v>177</v>
      </c>
      <c r="D9" s="6" t="s">
        <v>400</v>
      </c>
      <c r="E9" s="6" t="str">
        <f>"1,0432"</f>
        <v>1,0432</v>
      </c>
      <c r="F9" s="7" t="s">
        <v>23</v>
      </c>
      <c r="G9" s="7" t="s">
        <v>403</v>
      </c>
      <c r="H9" s="29" t="s">
        <v>99</v>
      </c>
      <c r="I9" s="29" t="s">
        <v>178</v>
      </c>
      <c r="J9" s="29" t="s">
        <v>179</v>
      </c>
      <c r="K9" s="18"/>
      <c r="L9" s="29" t="s">
        <v>180</v>
      </c>
      <c r="M9" s="14" t="s">
        <v>181</v>
      </c>
      <c r="N9" s="29" t="s">
        <v>181</v>
      </c>
      <c r="O9" s="18"/>
      <c r="P9" s="29" t="s">
        <v>112</v>
      </c>
      <c r="Q9" s="29" t="s">
        <v>110</v>
      </c>
      <c r="R9" s="18"/>
      <c r="S9" s="18"/>
      <c r="T9" s="15" t="s">
        <v>459</v>
      </c>
      <c r="U9" s="15" t="str">
        <f>"289,4880"</f>
        <v>289,4880</v>
      </c>
      <c r="V9" s="7" t="s">
        <v>182</v>
      </c>
    </row>
    <row r="10" spans="1:22" ht="12.75">
      <c r="A10" s="15" t="s">
        <v>338</v>
      </c>
      <c r="B10" s="13" t="s">
        <v>183</v>
      </c>
      <c r="C10" s="7" t="s">
        <v>184</v>
      </c>
      <c r="D10" s="6" t="s">
        <v>401</v>
      </c>
      <c r="E10" s="6" t="str">
        <f>"1,0551"</f>
        <v>1,0551</v>
      </c>
      <c r="F10" s="7" t="s">
        <v>17</v>
      </c>
      <c r="G10" s="7" t="s">
        <v>30</v>
      </c>
      <c r="H10" s="29" t="s">
        <v>97</v>
      </c>
      <c r="I10" s="29" t="s">
        <v>115</v>
      </c>
      <c r="J10" s="29" t="s">
        <v>173</v>
      </c>
      <c r="K10" s="18"/>
      <c r="L10" s="14" t="s">
        <v>94</v>
      </c>
      <c r="M10" s="14" t="s">
        <v>95</v>
      </c>
      <c r="N10" s="14" t="s">
        <v>95</v>
      </c>
      <c r="O10" s="18"/>
      <c r="P10" s="14" t="s">
        <v>19</v>
      </c>
      <c r="Q10" s="18"/>
      <c r="R10" s="18"/>
      <c r="S10" s="18"/>
      <c r="T10" s="15" t="s">
        <v>529</v>
      </c>
      <c r="U10" s="15" t="s">
        <v>529</v>
      </c>
      <c r="V10" s="7" t="s">
        <v>208</v>
      </c>
    </row>
    <row r="11" spans="1:22" ht="12.75">
      <c r="A11" s="15" t="s">
        <v>342</v>
      </c>
      <c r="B11" s="13" t="s">
        <v>185</v>
      </c>
      <c r="C11" s="7" t="s">
        <v>186</v>
      </c>
      <c r="D11" s="6" t="s">
        <v>402</v>
      </c>
      <c r="E11" s="6" t="str">
        <f>"1,0714"</f>
        <v>1,0714</v>
      </c>
      <c r="F11" s="7" t="s">
        <v>17</v>
      </c>
      <c r="G11" s="7" t="s">
        <v>30</v>
      </c>
      <c r="H11" s="29" t="s">
        <v>174</v>
      </c>
      <c r="I11" s="29" t="s">
        <v>126</v>
      </c>
      <c r="J11" s="29" t="s">
        <v>187</v>
      </c>
      <c r="K11" s="18"/>
      <c r="L11" s="29" t="s">
        <v>158</v>
      </c>
      <c r="M11" s="14" t="s">
        <v>107</v>
      </c>
      <c r="N11" s="29" t="s">
        <v>107</v>
      </c>
      <c r="O11" s="18"/>
      <c r="P11" s="29" t="s">
        <v>187</v>
      </c>
      <c r="Q11" s="29" t="s">
        <v>112</v>
      </c>
      <c r="R11" s="14" t="s">
        <v>188</v>
      </c>
      <c r="S11" s="18"/>
      <c r="T11" s="15" t="s">
        <v>509</v>
      </c>
      <c r="U11" s="15" t="str">
        <f>"299,9920"</f>
        <v>299,9920</v>
      </c>
      <c r="V11" s="7" t="s">
        <v>189</v>
      </c>
    </row>
    <row r="12" spans="2:22" ht="12.75">
      <c r="B12" s="4"/>
      <c r="C12" s="5"/>
      <c r="D12" s="1"/>
      <c r="E12" s="1"/>
      <c r="F12" s="5"/>
      <c r="G12" s="5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4"/>
      <c r="U12" s="1"/>
      <c r="V12" s="5"/>
    </row>
    <row r="13" spans="2:22" ht="15.75">
      <c r="B13" s="53" t="s">
        <v>190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"/>
    </row>
    <row r="14" spans="1:22" ht="12.75">
      <c r="A14" s="15" t="s">
        <v>342</v>
      </c>
      <c r="B14" s="13" t="s">
        <v>191</v>
      </c>
      <c r="C14" s="7" t="s">
        <v>192</v>
      </c>
      <c r="D14" s="6" t="s">
        <v>404</v>
      </c>
      <c r="E14" s="6" t="str">
        <f>"0,8635"</f>
        <v>0,8635</v>
      </c>
      <c r="F14" s="7" t="s">
        <v>137</v>
      </c>
      <c r="G14" s="7" t="s">
        <v>30</v>
      </c>
      <c r="H14" s="29" t="s">
        <v>126</v>
      </c>
      <c r="I14" s="29" t="s">
        <v>187</v>
      </c>
      <c r="J14" s="14" t="s">
        <v>112</v>
      </c>
      <c r="K14" s="18"/>
      <c r="L14" s="29" t="s">
        <v>107</v>
      </c>
      <c r="M14" s="29" t="s">
        <v>193</v>
      </c>
      <c r="N14" s="14" t="s">
        <v>108</v>
      </c>
      <c r="O14" s="18"/>
      <c r="P14" s="29" t="s">
        <v>20</v>
      </c>
      <c r="Q14" s="29" t="s">
        <v>134</v>
      </c>
      <c r="R14" s="14" t="s">
        <v>194</v>
      </c>
      <c r="S14" s="18"/>
      <c r="T14" s="15" t="s">
        <v>510</v>
      </c>
      <c r="U14" s="15" t="str">
        <f>"278,0470"</f>
        <v>278,0470</v>
      </c>
      <c r="V14" s="7" t="s">
        <v>195</v>
      </c>
    </row>
    <row r="15" spans="1:22" ht="12.75">
      <c r="A15" s="15" t="s">
        <v>338</v>
      </c>
      <c r="B15" s="13" t="s">
        <v>196</v>
      </c>
      <c r="C15" s="7" t="s">
        <v>197</v>
      </c>
      <c r="D15" s="6" t="s">
        <v>405</v>
      </c>
      <c r="E15" s="6" t="str">
        <f>"0,8802"</f>
        <v>0,8802</v>
      </c>
      <c r="F15" s="7" t="s">
        <v>17</v>
      </c>
      <c r="G15" s="7" t="s">
        <v>30</v>
      </c>
      <c r="H15" s="29" t="s">
        <v>98</v>
      </c>
      <c r="I15" s="29" t="s">
        <v>99</v>
      </c>
      <c r="J15" s="29" t="s">
        <v>126</v>
      </c>
      <c r="K15" s="18"/>
      <c r="L15" s="29" t="s">
        <v>94</v>
      </c>
      <c r="M15" s="29" t="s">
        <v>106</v>
      </c>
      <c r="N15" s="14" t="s">
        <v>107</v>
      </c>
      <c r="O15" s="18"/>
      <c r="P15" s="29" t="s">
        <v>99</v>
      </c>
      <c r="Q15" s="29" t="s">
        <v>187</v>
      </c>
      <c r="R15" s="29" t="s">
        <v>188</v>
      </c>
      <c r="S15" s="18"/>
      <c r="T15" s="15" t="s">
        <v>511</v>
      </c>
      <c r="U15" s="15" t="str">
        <f>"242,0550"</f>
        <v>242,0550</v>
      </c>
      <c r="V15" s="7" t="s">
        <v>87</v>
      </c>
    </row>
    <row r="16" spans="1:22" ht="12.75">
      <c r="A16" s="15" t="s">
        <v>361</v>
      </c>
      <c r="B16" s="13" t="s">
        <v>198</v>
      </c>
      <c r="C16" s="7" t="s">
        <v>199</v>
      </c>
      <c r="D16" s="6" t="s">
        <v>406</v>
      </c>
      <c r="E16" s="6" t="str">
        <f>"0,9041"</f>
        <v>0,9041</v>
      </c>
      <c r="F16" s="7" t="s">
        <v>17</v>
      </c>
      <c r="G16" s="7" t="s">
        <v>30</v>
      </c>
      <c r="H16" s="14" t="s">
        <v>125</v>
      </c>
      <c r="I16" s="29" t="s">
        <v>97</v>
      </c>
      <c r="J16" s="14" t="s">
        <v>99</v>
      </c>
      <c r="K16" s="18"/>
      <c r="L16" s="29" t="s">
        <v>95</v>
      </c>
      <c r="M16" s="14" t="s">
        <v>106</v>
      </c>
      <c r="N16" s="14" t="s">
        <v>107</v>
      </c>
      <c r="O16" s="18"/>
      <c r="P16" s="29" t="s">
        <v>187</v>
      </c>
      <c r="Q16" s="14" t="s">
        <v>112</v>
      </c>
      <c r="R16" s="29" t="s">
        <v>112</v>
      </c>
      <c r="S16" s="18"/>
      <c r="T16" s="15" t="s">
        <v>512</v>
      </c>
      <c r="U16" s="15" t="str">
        <f>"221,5045"</f>
        <v>221,5045</v>
      </c>
      <c r="V16" s="7" t="s">
        <v>208</v>
      </c>
    </row>
    <row r="17" spans="1:22" ht="12.75">
      <c r="A17" s="15" t="s">
        <v>342</v>
      </c>
      <c r="B17" s="13" t="s">
        <v>191</v>
      </c>
      <c r="C17" s="7" t="s">
        <v>200</v>
      </c>
      <c r="D17" s="6" t="s">
        <v>404</v>
      </c>
      <c r="E17" s="6" t="str">
        <f>"0,8635"</f>
        <v>0,8635</v>
      </c>
      <c r="F17" s="7" t="s">
        <v>137</v>
      </c>
      <c r="G17" s="7" t="s">
        <v>30</v>
      </c>
      <c r="H17" s="29" t="s">
        <v>126</v>
      </c>
      <c r="I17" s="29" t="s">
        <v>187</v>
      </c>
      <c r="J17" s="14" t="s">
        <v>112</v>
      </c>
      <c r="K17" s="18"/>
      <c r="L17" s="29" t="s">
        <v>107</v>
      </c>
      <c r="M17" s="29" t="s">
        <v>193</v>
      </c>
      <c r="N17" s="14" t="s">
        <v>108</v>
      </c>
      <c r="O17" s="18"/>
      <c r="P17" s="29" t="s">
        <v>20</v>
      </c>
      <c r="Q17" s="29" t="s">
        <v>134</v>
      </c>
      <c r="R17" s="14" t="s">
        <v>194</v>
      </c>
      <c r="S17" s="18"/>
      <c r="T17" s="15" t="s">
        <v>510</v>
      </c>
      <c r="U17" s="15" t="str">
        <f>"278,0470"</f>
        <v>278,0470</v>
      </c>
      <c r="V17" s="7" t="s">
        <v>195</v>
      </c>
    </row>
    <row r="18" spans="2:22" ht="12.75">
      <c r="B18" s="4"/>
      <c r="C18" s="5"/>
      <c r="D18" s="1"/>
      <c r="E18" s="1"/>
      <c r="F18" s="5"/>
      <c r="G18" s="5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4"/>
      <c r="U18" s="1"/>
      <c r="V18" s="5"/>
    </row>
    <row r="19" spans="2:22" ht="15.75">
      <c r="B19" s="53" t="s">
        <v>100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"/>
    </row>
    <row r="20" spans="1:22" ht="12.75">
      <c r="A20" s="15" t="s">
        <v>342</v>
      </c>
      <c r="B20" s="13" t="s">
        <v>201</v>
      </c>
      <c r="C20" s="7" t="s">
        <v>202</v>
      </c>
      <c r="D20" s="6" t="s">
        <v>407</v>
      </c>
      <c r="E20" s="6" t="str">
        <f>"0,7993"</f>
        <v>0,7993</v>
      </c>
      <c r="F20" s="7" t="s">
        <v>170</v>
      </c>
      <c r="G20" s="7" t="s">
        <v>30</v>
      </c>
      <c r="H20" s="29" t="s">
        <v>98</v>
      </c>
      <c r="I20" s="14" t="s">
        <v>126</v>
      </c>
      <c r="J20" s="29" t="s">
        <v>126</v>
      </c>
      <c r="K20" s="18"/>
      <c r="L20" s="29" t="s">
        <v>203</v>
      </c>
      <c r="M20" s="29" t="s">
        <v>204</v>
      </c>
      <c r="N20" s="29" t="s">
        <v>205</v>
      </c>
      <c r="O20" s="18"/>
      <c r="P20" s="29" t="s">
        <v>121</v>
      </c>
      <c r="Q20" s="29" t="s">
        <v>19</v>
      </c>
      <c r="R20" s="29" t="s">
        <v>34</v>
      </c>
      <c r="S20" s="18"/>
      <c r="T20" s="15" t="s">
        <v>513</v>
      </c>
      <c r="U20" s="15" t="str">
        <f>"245,3851"</f>
        <v>245,3851</v>
      </c>
      <c r="V20" s="7" t="s">
        <v>175</v>
      </c>
    </row>
    <row r="21" spans="1:22" ht="12.75">
      <c r="A21" s="15" t="s">
        <v>338</v>
      </c>
      <c r="B21" s="13" t="s">
        <v>206</v>
      </c>
      <c r="C21" s="7" t="s">
        <v>207</v>
      </c>
      <c r="D21" s="6" t="s">
        <v>408</v>
      </c>
      <c r="E21" s="6" t="str">
        <f>"0,7794"</f>
        <v>0,7794</v>
      </c>
      <c r="F21" s="7" t="s">
        <v>17</v>
      </c>
      <c r="G21" s="7" t="s">
        <v>30</v>
      </c>
      <c r="H21" s="29" t="s">
        <v>97</v>
      </c>
      <c r="I21" s="29" t="s">
        <v>99</v>
      </c>
      <c r="J21" s="29" t="s">
        <v>126</v>
      </c>
      <c r="K21" s="18"/>
      <c r="L21" s="29" t="s">
        <v>94</v>
      </c>
      <c r="M21" s="29" t="s">
        <v>106</v>
      </c>
      <c r="N21" s="29" t="s">
        <v>125</v>
      </c>
      <c r="O21" s="18"/>
      <c r="P21" s="29" t="s">
        <v>126</v>
      </c>
      <c r="Q21" s="29" t="s">
        <v>112</v>
      </c>
      <c r="R21" s="29" t="s">
        <v>121</v>
      </c>
      <c r="S21" s="18"/>
      <c r="T21" s="15" t="s">
        <v>514</v>
      </c>
      <c r="U21" s="15" t="str">
        <f>"226,0260"</f>
        <v>226,0260</v>
      </c>
      <c r="V21" s="7" t="s">
        <v>208</v>
      </c>
    </row>
    <row r="22" spans="1:22" ht="12.75">
      <c r="A22" s="15" t="s">
        <v>342</v>
      </c>
      <c r="B22" s="13" t="s">
        <v>209</v>
      </c>
      <c r="C22" s="7" t="s">
        <v>210</v>
      </c>
      <c r="D22" s="6" t="s">
        <v>409</v>
      </c>
      <c r="E22" s="6" t="str">
        <f>"0,7729"</f>
        <v>0,7729</v>
      </c>
      <c r="F22" s="7" t="s">
        <v>137</v>
      </c>
      <c r="G22" s="7" t="s">
        <v>30</v>
      </c>
      <c r="H22" s="14" t="s">
        <v>38</v>
      </c>
      <c r="I22" s="29" t="s">
        <v>38</v>
      </c>
      <c r="J22" s="29" t="s">
        <v>134</v>
      </c>
      <c r="K22" s="18"/>
      <c r="L22" s="29" t="s">
        <v>112</v>
      </c>
      <c r="M22" s="29" t="s">
        <v>188</v>
      </c>
      <c r="N22" s="14" t="s">
        <v>211</v>
      </c>
      <c r="O22" s="18"/>
      <c r="P22" s="29" t="s">
        <v>24</v>
      </c>
      <c r="Q22" s="29" t="s">
        <v>26</v>
      </c>
      <c r="R22" s="14" t="s">
        <v>55</v>
      </c>
      <c r="S22" s="18"/>
      <c r="T22" s="15" t="s">
        <v>515</v>
      </c>
      <c r="U22" s="15" t="str">
        <f>"328,4825"</f>
        <v>328,4825</v>
      </c>
      <c r="V22" s="7" t="s">
        <v>212</v>
      </c>
    </row>
    <row r="23" spans="1:22" ht="12.75">
      <c r="A23" s="15" t="s">
        <v>342</v>
      </c>
      <c r="B23" s="13" t="s">
        <v>148</v>
      </c>
      <c r="C23" s="7" t="s">
        <v>101</v>
      </c>
      <c r="D23" s="6" t="s">
        <v>410</v>
      </c>
      <c r="E23" s="6" t="str">
        <f>"0,7881"</f>
        <v>0,7881</v>
      </c>
      <c r="F23" s="7" t="s">
        <v>37</v>
      </c>
      <c r="G23" s="7" t="s">
        <v>30</v>
      </c>
      <c r="H23" s="29" t="s">
        <v>129</v>
      </c>
      <c r="I23" s="14" t="s">
        <v>69</v>
      </c>
      <c r="J23" s="29" t="s">
        <v>69</v>
      </c>
      <c r="K23" s="18"/>
      <c r="L23" s="29" t="s">
        <v>19</v>
      </c>
      <c r="M23" s="29" t="s">
        <v>102</v>
      </c>
      <c r="N23" s="14" t="s">
        <v>34</v>
      </c>
      <c r="O23" s="18"/>
      <c r="P23" s="29" t="s">
        <v>45</v>
      </c>
      <c r="Q23" s="29" t="s">
        <v>213</v>
      </c>
      <c r="R23" s="29" t="s">
        <v>42</v>
      </c>
      <c r="S23" s="18"/>
      <c r="T23" s="15" t="s">
        <v>516</v>
      </c>
      <c r="U23" s="15" t="str">
        <f>"390,1095"</f>
        <v>390,1095</v>
      </c>
      <c r="V23" s="7" t="s">
        <v>334</v>
      </c>
    </row>
    <row r="24" spans="2:22" ht="12.75">
      <c r="B24" s="4"/>
      <c r="C24" s="5"/>
      <c r="D24" s="1"/>
      <c r="E24" s="1"/>
      <c r="F24" s="5"/>
      <c r="G24" s="5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4"/>
      <c r="U24" s="1"/>
      <c r="V24" s="5"/>
    </row>
    <row r="25" spans="2:22" ht="15.75">
      <c r="B25" s="53" t="s">
        <v>14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"/>
    </row>
    <row r="26" spans="1:22" ht="12.75">
      <c r="A26" s="15" t="s">
        <v>342</v>
      </c>
      <c r="B26" s="13" t="s">
        <v>214</v>
      </c>
      <c r="C26" s="7" t="s">
        <v>215</v>
      </c>
      <c r="D26" s="6" t="s">
        <v>411</v>
      </c>
      <c r="E26" s="6" t="str">
        <f>"0,7166"</f>
        <v>0,7166</v>
      </c>
      <c r="F26" s="7" t="s">
        <v>17</v>
      </c>
      <c r="G26" s="7" t="s">
        <v>30</v>
      </c>
      <c r="H26" s="29" t="s">
        <v>121</v>
      </c>
      <c r="I26" s="29" t="s">
        <v>18</v>
      </c>
      <c r="J26" s="29" t="s">
        <v>19</v>
      </c>
      <c r="K26" s="18"/>
      <c r="L26" s="29" t="s">
        <v>126</v>
      </c>
      <c r="M26" s="29" t="s">
        <v>187</v>
      </c>
      <c r="N26" s="29" t="s">
        <v>216</v>
      </c>
      <c r="O26" s="18"/>
      <c r="P26" s="29" t="s">
        <v>121</v>
      </c>
      <c r="Q26" s="29" t="s">
        <v>18</v>
      </c>
      <c r="R26" s="29" t="s">
        <v>20</v>
      </c>
      <c r="S26" s="18"/>
      <c r="T26" s="15" t="s">
        <v>460</v>
      </c>
      <c r="U26" s="15" t="str">
        <f>"266,9335"</f>
        <v>266,9335</v>
      </c>
      <c r="V26" s="7" t="s">
        <v>189</v>
      </c>
    </row>
    <row r="27" spans="1:22" ht="12.75">
      <c r="A27" s="15" t="s">
        <v>342</v>
      </c>
      <c r="B27" s="13" t="s">
        <v>155</v>
      </c>
      <c r="C27" s="7" t="s">
        <v>111</v>
      </c>
      <c r="D27" s="6" t="s">
        <v>108</v>
      </c>
      <c r="E27" s="6" t="str">
        <f>"0,7126"</f>
        <v>0,7126</v>
      </c>
      <c r="F27" s="7" t="s">
        <v>17</v>
      </c>
      <c r="G27" s="7" t="s">
        <v>30</v>
      </c>
      <c r="H27" s="14" t="s">
        <v>19</v>
      </c>
      <c r="I27" s="29" t="s">
        <v>19</v>
      </c>
      <c r="J27" s="29" t="s">
        <v>34</v>
      </c>
      <c r="K27" s="18"/>
      <c r="L27" s="29" t="s">
        <v>126</v>
      </c>
      <c r="M27" s="29" t="s">
        <v>112</v>
      </c>
      <c r="N27" s="14" t="s">
        <v>110</v>
      </c>
      <c r="O27" s="18"/>
      <c r="P27" s="29" t="s">
        <v>24</v>
      </c>
      <c r="Q27" s="29" t="s">
        <v>129</v>
      </c>
      <c r="R27" s="29" t="s">
        <v>69</v>
      </c>
      <c r="S27" s="18"/>
      <c r="T27" s="15" t="s">
        <v>517</v>
      </c>
      <c r="U27" s="15" t="str">
        <f>"299,2920"</f>
        <v>299,2920</v>
      </c>
      <c r="V27" s="7" t="s">
        <v>208</v>
      </c>
    </row>
    <row r="28" spans="2:22" ht="12.75">
      <c r="B28" s="4"/>
      <c r="C28" s="5"/>
      <c r="D28" s="1"/>
      <c r="E28" s="1"/>
      <c r="F28" s="5"/>
      <c r="G28" s="5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4"/>
      <c r="U28" s="1"/>
      <c r="V28" s="5"/>
    </row>
    <row r="29" spans="2:22" ht="15.75">
      <c r="B29" s="53" t="s">
        <v>21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"/>
    </row>
    <row r="30" spans="1:22" ht="12.75">
      <c r="A30" s="15" t="s">
        <v>342</v>
      </c>
      <c r="B30" s="13" t="s">
        <v>146</v>
      </c>
      <c r="C30" s="7" t="s">
        <v>116</v>
      </c>
      <c r="D30" s="6" t="s">
        <v>370</v>
      </c>
      <c r="E30" s="6" t="str">
        <f>"0,6769"</f>
        <v>0,6769</v>
      </c>
      <c r="F30" s="7" t="s">
        <v>17</v>
      </c>
      <c r="G30" s="7" t="s">
        <v>30</v>
      </c>
      <c r="H30" s="29" t="s">
        <v>41</v>
      </c>
      <c r="I30" s="29" t="s">
        <v>217</v>
      </c>
      <c r="J30" s="29" t="s">
        <v>57</v>
      </c>
      <c r="K30" s="18"/>
      <c r="L30" s="29" t="s">
        <v>121</v>
      </c>
      <c r="M30" s="29" t="s">
        <v>18</v>
      </c>
      <c r="N30" s="29" t="s">
        <v>19</v>
      </c>
      <c r="O30" s="18"/>
      <c r="P30" s="29" t="s">
        <v>49</v>
      </c>
      <c r="Q30" s="29" t="s">
        <v>218</v>
      </c>
      <c r="R30" s="29" t="s">
        <v>163</v>
      </c>
      <c r="S30" s="18"/>
      <c r="T30" s="15" t="s">
        <v>518</v>
      </c>
      <c r="U30" s="15" t="str">
        <f>"385,8330"</f>
        <v>385,8330</v>
      </c>
      <c r="V30" s="7" t="s">
        <v>208</v>
      </c>
    </row>
    <row r="31" spans="1:22" ht="12.75">
      <c r="A31" s="15" t="s">
        <v>338</v>
      </c>
      <c r="B31" s="13" t="s">
        <v>219</v>
      </c>
      <c r="C31" s="7" t="s">
        <v>220</v>
      </c>
      <c r="D31" s="6" t="s">
        <v>412</v>
      </c>
      <c r="E31" s="6" t="str">
        <f>"0,6754"</f>
        <v>0,6754</v>
      </c>
      <c r="F31" s="7" t="s">
        <v>17</v>
      </c>
      <c r="G31" s="7" t="s">
        <v>30</v>
      </c>
      <c r="H31" s="29" t="s">
        <v>112</v>
      </c>
      <c r="I31" s="29" t="s">
        <v>19</v>
      </c>
      <c r="J31" s="14" t="s">
        <v>34</v>
      </c>
      <c r="K31" s="18"/>
      <c r="L31" s="29" t="s">
        <v>99</v>
      </c>
      <c r="M31" s="29" t="s">
        <v>174</v>
      </c>
      <c r="N31" s="29" t="s">
        <v>187</v>
      </c>
      <c r="O31" s="18"/>
      <c r="P31" s="29" t="s">
        <v>24</v>
      </c>
      <c r="Q31" s="29" t="s">
        <v>25</v>
      </c>
      <c r="R31" s="29" t="s">
        <v>26</v>
      </c>
      <c r="S31" s="18"/>
      <c r="T31" s="15" t="s">
        <v>519</v>
      </c>
      <c r="U31" s="15" t="str">
        <f>"270,1600"</f>
        <v>270,1600</v>
      </c>
      <c r="V31" s="7" t="s">
        <v>208</v>
      </c>
    </row>
    <row r="32" spans="1:22" ht="12.75">
      <c r="A32" s="15" t="s">
        <v>342</v>
      </c>
      <c r="B32" s="13" t="s">
        <v>221</v>
      </c>
      <c r="C32" s="7" t="s">
        <v>222</v>
      </c>
      <c r="D32" s="6" t="s">
        <v>371</v>
      </c>
      <c r="E32" s="6" t="str">
        <f>"0,6734"</f>
        <v>0,6734</v>
      </c>
      <c r="F32" s="7" t="s">
        <v>17</v>
      </c>
      <c r="G32" s="7" t="s">
        <v>30</v>
      </c>
      <c r="H32" s="14" t="s">
        <v>41</v>
      </c>
      <c r="I32" s="29" t="s">
        <v>41</v>
      </c>
      <c r="J32" s="29" t="s">
        <v>217</v>
      </c>
      <c r="K32" s="18"/>
      <c r="L32" s="29" t="s">
        <v>110</v>
      </c>
      <c r="M32" s="14" t="s">
        <v>223</v>
      </c>
      <c r="N32" s="14" t="s">
        <v>223</v>
      </c>
      <c r="O32" s="18"/>
      <c r="P32" s="29" t="s">
        <v>163</v>
      </c>
      <c r="Q32" s="29" t="s">
        <v>224</v>
      </c>
      <c r="R32" s="29" t="s">
        <v>225</v>
      </c>
      <c r="S32" s="18"/>
      <c r="T32" s="15" t="s">
        <v>461</v>
      </c>
      <c r="U32" s="15" t="str">
        <f>"378,7875"</f>
        <v>378,7875</v>
      </c>
      <c r="V32" s="7" t="s">
        <v>208</v>
      </c>
    </row>
    <row r="33" spans="1:22" ht="12.75">
      <c r="A33" s="15" t="s">
        <v>342</v>
      </c>
      <c r="B33" s="13" t="s">
        <v>226</v>
      </c>
      <c r="C33" s="7" t="s">
        <v>227</v>
      </c>
      <c r="D33" s="6" t="s">
        <v>413</v>
      </c>
      <c r="E33" s="6" t="str">
        <f>"0,6774"</f>
        <v>0,6774</v>
      </c>
      <c r="F33" s="7" t="s">
        <v>23</v>
      </c>
      <c r="G33" s="7" t="s">
        <v>30</v>
      </c>
      <c r="H33" s="14" t="s">
        <v>217</v>
      </c>
      <c r="I33" s="29" t="s">
        <v>217</v>
      </c>
      <c r="J33" s="29" t="s">
        <v>228</v>
      </c>
      <c r="K33" s="18"/>
      <c r="L33" s="29" t="s">
        <v>24</v>
      </c>
      <c r="M33" s="29" t="s">
        <v>143</v>
      </c>
      <c r="N33" s="14" t="s">
        <v>26</v>
      </c>
      <c r="O33" s="18"/>
      <c r="P33" s="29" t="s">
        <v>229</v>
      </c>
      <c r="Q33" s="29" t="s">
        <v>230</v>
      </c>
      <c r="R33" s="14" t="s">
        <v>225</v>
      </c>
      <c r="S33" s="18"/>
      <c r="T33" s="15" t="s">
        <v>462</v>
      </c>
      <c r="U33" s="15" t="str">
        <f>"411,5205"</f>
        <v>411,5205</v>
      </c>
      <c r="V33" s="7" t="s">
        <v>231</v>
      </c>
    </row>
    <row r="34" spans="1:22" ht="12.75">
      <c r="A34" s="15" t="s">
        <v>338</v>
      </c>
      <c r="B34" s="13" t="s">
        <v>232</v>
      </c>
      <c r="C34" s="7" t="s">
        <v>233</v>
      </c>
      <c r="D34" s="6" t="s">
        <v>372</v>
      </c>
      <c r="E34" s="6" t="str">
        <f>"0,6724"</f>
        <v>0,6724</v>
      </c>
      <c r="F34" s="7" t="s">
        <v>170</v>
      </c>
      <c r="G34" s="7" t="s">
        <v>30</v>
      </c>
      <c r="H34" s="29" t="s">
        <v>48</v>
      </c>
      <c r="I34" s="29" t="s">
        <v>228</v>
      </c>
      <c r="J34" s="14" t="s">
        <v>234</v>
      </c>
      <c r="K34" s="18"/>
      <c r="L34" s="29" t="s">
        <v>34</v>
      </c>
      <c r="M34" s="14" t="s">
        <v>24</v>
      </c>
      <c r="N34" s="14" t="s">
        <v>24</v>
      </c>
      <c r="O34" s="18"/>
      <c r="P34" s="29" t="s">
        <v>163</v>
      </c>
      <c r="Q34" s="14" t="s">
        <v>224</v>
      </c>
      <c r="R34" s="18"/>
      <c r="S34" s="18"/>
      <c r="T34" s="15" t="s">
        <v>463</v>
      </c>
      <c r="U34" s="15" t="str">
        <f>"391,6730"</f>
        <v>391,6730</v>
      </c>
      <c r="V34" s="7" t="s">
        <v>175</v>
      </c>
    </row>
    <row r="35" spans="1:22" ht="12.75">
      <c r="A35" s="15" t="s">
        <v>361</v>
      </c>
      <c r="B35" s="13" t="s">
        <v>155</v>
      </c>
      <c r="C35" s="7" t="s">
        <v>111</v>
      </c>
      <c r="D35" s="6" t="s">
        <v>373</v>
      </c>
      <c r="E35" s="6" t="str">
        <f>"0,7106"</f>
        <v>0,7106</v>
      </c>
      <c r="F35" s="7" t="s">
        <v>17</v>
      </c>
      <c r="G35" s="7" t="s">
        <v>30</v>
      </c>
      <c r="H35" s="14" t="s">
        <v>19</v>
      </c>
      <c r="I35" s="18"/>
      <c r="J35" s="18"/>
      <c r="K35" s="18"/>
      <c r="L35" s="14" t="s">
        <v>112</v>
      </c>
      <c r="M35" s="18"/>
      <c r="N35" s="18"/>
      <c r="O35" s="18"/>
      <c r="P35" s="14" t="s">
        <v>129</v>
      </c>
      <c r="Q35" s="18"/>
      <c r="R35" s="18"/>
      <c r="S35" s="18"/>
      <c r="T35" s="15" t="s">
        <v>529</v>
      </c>
      <c r="U35" s="15" t="s">
        <v>529</v>
      </c>
      <c r="V35" s="7" t="s">
        <v>208</v>
      </c>
    </row>
    <row r="36" spans="1:22" ht="12.75">
      <c r="A36" s="15" t="s">
        <v>342</v>
      </c>
      <c r="B36" s="13" t="s">
        <v>235</v>
      </c>
      <c r="C36" s="7" t="s">
        <v>236</v>
      </c>
      <c r="D36" s="6" t="s">
        <v>414</v>
      </c>
      <c r="E36" s="6" t="str">
        <f>"0,6785"</f>
        <v>0,6785</v>
      </c>
      <c r="F36" s="7" t="s">
        <v>17</v>
      </c>
      <c r="G36" s="7" t="s">
        <v>30</v>
      </c>
      <c r="H36" s="29" t="s">
        <v>134</v>
      </c>
      <c r="I36" s="29" t="s">
        <v>25</v>
      </c>
      <c r="J36" s="14" t="s">
        <v>26</v>
      </c>
      <c r="K36" s="18"/>
      <c r="L36" s="29" t="s">
        <v>112</v>
      </c>
      <c r="M36" s="14" t="s">
        <v>121</v>
      </c>
      <c r="N36" s="29" t="s">
        <v>121</v>
      </c>
      <c r="O36" s="18"/>
      <c r="P36" s="29" t="s">
        <v>69</v>
      </c>
      <c r="Q36" s="29" t="s">
        <v>41</v>
      </c>
      <c r="R36" s="29" t="s">
        <v>237</v>
      </c>
      <c r="S36" s="18"/>
      <c r="T36" s="15" t="s">
        <v>520</v>
      </c>
      <c r="U36" s="15" t="str">
        <f>"317,0800"</f>
        <v>317,0800</v>
      </c>
      <c r="V36" s="7" t="s">
        <v>208</v>
      </c>
    </row>
    <row r="37" spans="2:22" ht="12.75">
      <c r="B37" s="4"/>
      <c r="C37" s="5"/>
      <c r="D37" s="1"/>
      <c r="E37" s="1"/>
      <c r="F37" s="5"/>
      <c r="G37" s="5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4"/>
      <c r="U37" s="1"/>
      <c r="V37" s="5"/>
    </row>
    <row r="38" spans="2:22" ht="15.75">
      <c r="B38" s="53" t="s">
        <v>32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"/>
    </row>
    <row r="39" spans="1:22" ht="12.75">
      <c r="A39" s="15" t="s">
        <v>342</v>
      </c>
      <c r="B39" s="13" t="s">
        <v>238</v>
      </c>
      <c r="C39" s="7" t="s">
        <v>239</v>
      </c>
      <c r="D39" s="6" t="s">
        <v>415</v>
      </c>
      <c r="E39" s="6" t="str">
        <f>"0,6395"</f>
        <v>0,6395</v>
      </c>
      <c r="F39" s="7" t="s">
        <v>137</v>
      </c>
      <c r="G39" s="7" t="s">
        <v>30</v>
      </c>
      <c r="H39" s="29" t="s">
        <v>19</v>
      </c>
      <c r="I39" s="29" t="s">
        <v>102</v>
      </c>
      <c r="J39" s="29" t="s">
        <v>240</v>
      </c>
      <c r="K39" s="18"/>
      <c r="L39" s="29" t="s">
        <v>98</v>
      </c>
      <c r="M39" s="29" t="s">
        <v>99</v>
      </c>
      <c r="N39" s="14" t="s">
        <v>174</v>
      </c>
      <c r="O39" s="18"/>
      <c r="P39" s="29" t="s">
        <v>129</v>
      </c>
      <c r="Q39" s="29" t="s">
        <v>69</v>
      </c>
      <c r="R39" s="29" t="s">
        <v>55</v>
      </c>
      <c r="S39" s="18"/>
      <c r="T39" s="15" t="s">
        <v>521</v>
      </c>
      <c r="U39" s="15" t="str">
        <f>"262,1950"</f>
        <v>262,1950</v>
      </c>
      <c r="V39" s="7" t="s">
        <v>160</v>
      </c>
    </row>
    <row r="40" spans="1:22" ht="12.75">
      <c r="A40" s="15" t="s">
        <v>342</v>
      </c>
      <c r="B40" s="13" t="s">
        <v>241</v>
      </c>
      <c r="C40" s="7" t="s">
        <v>242</v>
      </c>
      <c r="D40" s="6" t="s">
        <v>416</v>
      </c>
      <c r="E40" s="6" t="str">
        <f>"0,6540"</f>
        <v>0,6540</v>
      </c>
      <c r="F40" s="7" t="s">
        <v>170</v>
      </c>
      <c r="G40" s="7" t="s">
        <v>30</v>
      </c>
      <c r="H40" s="29" t="s">
        <v>69</v>
      </c>
      <c r="I40" s="29" t="s">
        <v>55</v>
      </c>
      <c r="J40" s="29" t="s">
        <v>237</v>
      </c>
      <c r="K40" s="18"/>
      <c r="L40" s="29" t="s">
        <v>19</v>
      </c>
      <c r="M40" s="29" t="s">
        <v>102</v>
      </c>
      <c r="N40" s="14" t="s">
        <v>240</v>
      </c>
      <c r="O40" s="18"/>
      <c r="P40" s="29" t="s">
        <v>49</v>
      </c>
      <c r="Q40" s="14" t="s">
        <v>50</v>
      </c>
      <c r="R40" s="29" t="s">
        <v>50</v>
      </c>
      <c r="S40" s="18"/>
      <c r="T40" s="15" t="s">
        <v>464</v>
      </c>
      <c r="U40" s="15" t="str">
        <f>"358,0650"</f>
        <v>358,0650</v>
      </c>
      <c r="V40" s="7" t="s">
        <v>175</v>
      </c>
    </row>
    <row r="41" spans="1:22" ht="12.75">
      <c r="A41" s="15" t="s">
        <v>338</v>
      </c>
      <c r="B41" s="13" t="s">
        <v>156</v>
      </c>
      <c r="C41" s="7" t="s">
        <v>132</v>
      </c>
      <c r="D41" s="6" t="s">
        <v>381</v>
      </c>
      <c r="E41" s="6" t="str">
        <f>"0,6421"</f>
        <v>0,6421</v>
      </c>
      <c r="F41" s="7" t="s">
        <v>17</v>
      </c>
      <c r="G41" s="7" t="s">
        <v>30</v>
      </c>
      <c r="H41" s="29"/>
      <c r="I41" s="29" t="s">
        <v>34</v>
      </c>
      <c r="J41" s="29" t="s">
        <v>24</v>
      </c>
      <c r="K41" s="18"/>
      <c r="L41" s="29" t="s">
        <v>112</v>
      </c>
      <c r="M41" s="14" t="s">
        <v>188</v>
      </c>
      <c r="N41" s="14" t="s">
        <v>121</v>
      </c>
      <c r="O41" s="18"/>
      <c r="P41" s="29" t="s">
        <v>69</v>
      </c>
      <c r="Q41" s="29" t="s">
        <v>237</v>
      </c>
      <c r="R41" s="29" t="s">
        <v>57</v>
      </c>
      <c r="S41" s="18"/>
      <c r="T41" s="15" t="s">
        <v>520</v>
      </c>
      <c r="U41" s="15" t="str">
        <f>"298,5765"</f>
        <v>298,5765</v>
      </c>
      <c r="V41" s="7" t="s">
        <v>208</v>
      </c>
    </row>
    <row r="42" spans="1:22" ht="12.75">
      <c r="A42" s="15" t="s">
        <v>342</v>
      </c>
      <c r="B42" s="13" t="s">
        <v>156</v>
      </c>
      <c r="C42" s="7" t="s">
        <v>243</v>
      </c>
      <c r="D42" s="6" t="s">
        <v>381</v>
      </c>
      <c r="E42" s="6" t="str">
        <f>"0,6421"</f>
        <v>0,6421</v>
      </c>
      <c r="F42" s="7" t="s">
        <v>17</v>
      </c>
      <c r="G42" s="7" t="s">
        <v>30</v>
      </c>
      <c r="H42" s="29" t="s">
        <v>19</v>
      </c>
      <c r="I42" s="29" t="s">
        <v>34</v>
      </c>
      <c r="J42" s="29" t="s">
        <v>24</v>
      </c>
      <c r="K42" s="18"/>
      <c r="L42" s="29" t="s">
        <v>112</v>
      </c>
      <c r="M42" s="14" t="s">
        <v>188</v>
      </c>
      <c r="N42" s="14" t="s">
        <v>121</v>
      </c>
      <c r="O42" s="18"/>
      <c r="P42" s="29" t="s">
        <v>69</v>
      </c>
      <c r="Q42" s="29" t="s">
        <v>237</v>
      </c>
      <c r="R42" s="29" t="s">
        <v>57</v>
      </c>
      <c r="S42" s="18"/>
      <c r="T42" s="15" t="s">
        <v>520</v>
      </c>
      <c r="U42" s="15" t="str">
        <f>"380,0879"</f>
        <v>380,0879</v>
      </c>
      <c r="V42" s="7" t="s">
        <v>208</v>
      </c>
    </row>
    <row r="43" spans="2:22" ht="12.75">
      <c r="B43" s="4"/>
      <c r="C43" s="5"/>
      <c r="D43" s="1"/>
      <c r="E43" s="1"/>
      <c r="F43" s="5"/>
      <c r="G43" s="5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4"/>
      <c r="U43" s="1"/>
      <c r="V43" s="5"/>
    </row>
    <row r="44" spans="2:22" ht="15.75">
      <c r="B44" s="53" t="s">
        <v>46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"/>
    </row>
    <row r="45" spans="1:22" ht="12.75">
      <c r="A45" s="15" t="s">
        <v>342</v>
      </c>
      <c r="B45" s="13" t="s">
        <v>244</v>
      </c>
      <c r="C45" s="7" t="s">
        <v>245</v>
      </c>
      <c r="D45" s="6" t="s">
        <v>178</v>
      </c>
      <c r="E45" s="6" t="str">
        <f>"0,6150"</f>
        <v>0,6150</v>
      </c>
      <c r="F45" s="7" t="s">
        <v>23</v>
      </c>
      <c r="G45" s="7" t="s">
        <v>30</v>
      </c>
      <c r="H45" s="14" t="s">
        <v>69</v>
      </c>
      <c r="I45" s="14" t="s">
        <v>69</v>
      </c>
      <c r="J45" s="29" t="s">
        <v>69</v>
      </c>
      <c r="K45" s="18"/>
      <c r="L45" s="29" t="s">
        <v>126</v>
      </c>
      <c r="M45" s="29" t="s">
        <v>112</v>
      </c>
      <c r="N45" s="14" t="s">
        <v>246</v>
      </c>
      <c r="O45" s="18"/>
      <c r="P45" s="29" t="s">
        <v>69</v>
      </c>
      <c r="Q45" s="29" t="s">
        <v>55</v>
      </c>
      <c r="R45" s="14" t="s">
        <v>217</v>
      </c>
      <c r="S45" s="18"/>
      <c r="T45" s="15" t="s">
        <v>522</v>
      </c>
      <c r="U45" s="15" t="str">
        <f>"282,9000"</f>
        <v>282,9000</v>
      </c>
      <c r="V45" s="7" t="s">
        <v>419</v>
      </c>
    </row>
    <row r="46" spans="1:22" ht="12.75">
      <c r="A46" s="15" t="s">
        <v>342</v>
      </c>
      <c r="B46" s="13" t="s">
        <v>247</v>
      </c>
      <c r="C46" s="7" t="s">
        <v>248</v>
      </c>
      <c r="D46" s="6" t="s">
        <v>417</v>
      </c>
      <c r="E46" s="6" t="str">
        <f>"0,6241"</f>
        <v>0,6241</v>
      </c>
      <c r="F46" s="7" t="s">
        <v>137</v>
      </c>
      <c r="G46" s="7" t="s">
        <v>30</v>
      </c>
      <c r="H46" s="14" t="s">
        <v>129</v>
      </c>
      <c r="I46" s="29" t="s">
        <v>129</v>
      </c>
      <c r="J46" s="29" t="s">
        <v>69</v>
      </c>
      <c r="K46" s="18"/>
      <c r="L46" s="29" t="s">
        <v>174</v>
      </c>
      <c r="M46" s="29" t="s">
        <v>126</v>
      </c>
      <c r="N46" s="14" t="s">
        <v>249</v>
      </c>
      <c r="O46" s="18"/>
      <c r="P46" s="29" t="s">
        <v>57</v>
      </c>
      <c r="Q46" s="29" t="s">
        <v>49</v>
      </c>
      <c r="R46" s="14" t="s">
        <v>250</v>
      </c>
      <c r="S46" s="18"/>
      <c r="T46" s="15" t="s">
        <v>523</v>
      </c>
      <c r="U46" s="15" t="str">
        <f>"302,6885"</f>
        <v>302,6885</v>
      </c>
      <c r="V46" s="7" t="s">
        <v>251</v>
      </c>
    </row>
    <row r="47" spans="1:22" ht="12.75">
      <c r="A47" s="15" t="s">
        <v>338</v>
      </c>
      <c r="B47" s="13" t="s">
        <v>252</v>
      </c>
      <c r="C47" s="7" t="s">
        <v>253</v>
      </c>
      <c r="D47" s="6" t="s">
        <v>418</v>
      </c>
      <c r="E47" s="6" t="str">
        <f>"0,6123"</f>
        <v>0,6123</v>
      </c>
      <c r="F47" s="7" t="s">
        <v>137</v>
      </c>
      <c r="G47" s="7" t="s">
        <v>30</v>
      </c>
      <c r="H47" s="29" t="s">
        <v>129</v>
      </c>
      <c r="I47" s="29" t="s">
        <v>254</v>
      </c>
      <c r="J47" s="29" t="s">
        <v>255</v>
      </c>
      <c r="K47" s="18"/>
      <c r="L47" s="14" t="s">
        <v>112</v>
      </c>
      <c r="M47" s="14" t="s">
        <v>112</v>
      </c>
      <c r="N47" s="29" t="s">
        <v>112</v>
      </c>
      <c r="O47" s="18"/>
      <c r="P47" s="29" t="s">
        <v>48</v>
      </c>
      <c r="Q47" s="14" t="s">
        <v>234</v>
      </c>
      <c r="R47" s="14" t="s">
        <v>234</v>
      </c>
      <c r="S47" s="18"/>
      <c r="T47" s="15" t="s">
        <v>524</v>
      </c>
      <c r="U47" s="15" t="str">
        <f>"293,9040"</f>
        <v>293,9040</v>
      </c>
      <c r="V47" s="7" t="s">
        <v>420</v>
      </c>
    </row>
    <row r="48" spans="2:22" ht="12.75">
      <c r="B48" s="4"/>
      <c r="C48" s="5"/>
      <c r="D48" s="1"/>
      <c r="E48" s="1"/>
      <c r="F48" s="5"/>
      <c r="G48" s="5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4"/>
      <c r="U48" s="1"/>
      <c r="V48" s="5"/>
    </row>
    <row r="49" spans="2:22" ht="18">
      <c r="B49" s="10" t="s">
        <v>70</v>
      </c>
      <c r="C49" s="25"/>
      <c r="D49" s="1"/>
      <c r="E49" s="1"/>
      <c r="F49" s="5"/>
      <c r="G49" s="5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4"/>
      <c r="U49" s="1"/>
      <c r="V49" s="5"/>
    </row>
    <row r="50" spans="2:22" ht="13.5">
      <c r="B50" s="11"/>
      <c r="C50" s="26" t="s">
        <v>546</v>
      </c>
      <c r="D50" s="1"/>
      <c r="E50" s="1"/>
      <c r="F50" s="5"/>
      <c r="G50" s="5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4"/>
      <c r="U50" s="1"/>
      <c r="V50" s="5"/>
    </row>
    <row r="51" spans="2:22" ht="13.5">
      <c r="B51" s="12" t="s">
        <v>71</v>
      </c>
      <c r="C51" s="27" t="s">
        <v>72</v>
      </c>
      <c r="D51" s="12" t="s">
        <v>73</v>
      </c>
      <c r="E51" s="12" t="s">
        <v>74</v>
      </c>
      <c r="F51" s="12" t="s">
        <v>75</v>
      </c>
      <c r="G51" s="5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4"/>
      <c r="U51" s="1"/>
      <c r="V51" s="5"/>
    </row>
    <row r="52" spans="1:22" ht="12.75">
      <c r="A52" s="22" t="s">
        <v>342</v>
      </c>
      <c r="B52" s="21" t="s">
        <v>226</v>
      </c>
      <c r="C52" s="1" t="s">
        <v>76</v>
      </c>
      <c r="D52" s="22" t="s">
        <v>77</v>
      </c>
      <c r="E52" s="22" t="s">
        <v>256</v>
      </c>
      <c r="F52" s="22" t="s">
        <v>257</v>
      </c>
      <c r="G52" s="5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4"/>
      <c r="U52" s="1"/>
      <c r="V52" s="5"/>
    </row>
    <row r="53" spans="1:22" ht="12.75">
      <c r="A53" s="22" t="s">
        <v>338</v>
      </c>
      <c r="B53" s="21" t="s">
        <v>232</v>
      </c>
      <c r="C53" s="1" t="s">
        <v>76</v>
      </c>
      <c r="D53" s="22" t="s">
        <v>77</v>
      </c>
      <c r="E53" s="22" t="s">
        <v>258</v>
      </c>
      <c r="F53" s="22" t="s">
        <v>259</v>
      </c>
      <c r="G53" s="5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4"/>
      <c r="U53" s="1"/>
      <c r="V53" s="5"/>
    </row>
    <row r="54" spans="1:22" ht="12.75">
      <c r="A54" s="22" t="s">
        <v>361</v>
      </c>
      <c r="B54" s="21" t="s">
        <v>148</v>
      </c>
      <c r="C54" s="1" t="s">
        <v>76</v>
      </c>
      <c r="D54" s="22" t="s">
        <v>149</v>
      </c>
      <c r="E54" s="22" t="s">
        <v>260</v>
      </c>
      <c r="F54" s="22" t="s">
        <v>261</v>
      </c>
      <c r="G54" s="5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4"/>
      <c r="U54" s="1"/>
      <c r="V54" s="5"/>
    </row>
  </sheetData>
  <sheetProtection/>
  <mergeCells count="22">
    <mergeCell ref="B1:V2"/>
    <mergeCell ref="B3:B4"/>
    <mergeCell ref="C3:C4"/>
    <mergeCell ref="D3:D4"/>
    <mergeCell ref="E3:E4"/>
    <mergeCell ref="F3:F4"/>
    <mergeCell ref="B19:U19"/>
    <mergeCell ref="B25:U25"/>
    <mergeCell ref="V3:V4"/>
    <mergeCell ref="B5:U5"/>
    <mergeCell ref="B8:U8"/>
    <mergeCell ref="B13:U13"/>
    <mergeCell ref="B29:U29"/>
    <mergeCell ref="B38:U38"/>
    <mergeCell ref="A3:A4"/>
    <mergeCell ref="B44:U44"/>
    <mergeCell ref="T3:T4"/>
    <mergeCell ref="U3:U4"/>
    <mergeCell ref="G3:G4"/>
    <mergeCell ref="H3:K3"/>
    <mergeCell ref="P3:S3"/>
    <mergeCell ref="L3:O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4"/>
  <sheetViews>
    <sheetView workbookViewId="0" topLeftCell="A1">
      <selection activeCell="E34" sqref="E34"/>
    </sheetView>
  </sheetViews>
  <sheetFormatPr defaultColWidth="8.75390625" defaultRowHeight="12.75"/>
  <cols>
    <col min="1" max="1" width="8.875" style="1" customWidth="1"/>
    <col min="2" max="2" width="18.625" style="0" customWidth="1"/>
    <col min="3" max="3" width="24.375" style="28" customWidth="1"/>
    <col min="4" max="5" width="8.75390625" style="0" customWidth="1"/>
    <col min="6" max="6" width="24.00390625" style="0" customWidth="1"/>
    <col min="7" max="7" width="37.125" style="0" customWidth="1"/>
    <col min="8" max="19" width="8.75390625" style="0" customWidth="1"/>
    <col min="20" max="20" width="11.625" style="0" customWidth="1"/>
    <col min="21" max="21" width="8.75390625" style="0" customWidth="1"/>
    <col min="22" max="22" width="13.625" style="0" customWidth="1"/>
  </cols>
  <sheetData>
    <row r="1" spans="1:22" ht="12.75">
      <c r="A1" s="16"/>
      <c r="B1" s="57" t="s">
        <v>542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2"/>
    </row>
    <row r="2" spans="1:22" ht="105" customHeight="1" thickBot="1">
      <c r="A2" s="17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5"/>
    </row>
    <row r="3" spans="1:22" ht="13.5" customHeight="1">
      <c r="A3" s="46" t="s">
        <v>445</v>
      </c>
      <c r="B3" s="46" t="s">
        <v>0</v>
      </c>
      <c r="C3" s="67" t="s">
        <v>320</v>
      </c>
      <c r="D3" s="58" t="s">
        <v>321</v>
      </c>
      <c r="E3" s="50" t="s">
        <v>13</v>
      </c>
      <c r="F3" s="50" t="s">
        <v>8</v>
      </c>
      <c r="G3" s="50" t="s">
        <v>531</v>
      </c>
      <c r="H3" s="50" t="s">
        <v>1</v>
      </c>
      <c r="I3" s="50"/>
      <c r="J3" s="50"/>
      <c r="K3" s="50"/>
      <c r="L3" s="50" t="s">
        <v>2</v>
      </c>
      <c r="M3" s="50"/>
      <c r="N3" s="50"/>
      <c r="O3" s="50"/>
      <c r="P3" s="50" t="s">
        <v>3</v>
      </c>
      <c r="Q3" s="50"/>
      <c r="R3" s="50"/>
      <c r="S3" s="50"/>
      <c r="T3" s="50" t="s">
        <v>4</v>
      </c>
      <c r="U3" s="50" t="s">
        <v>7</v>
      </c>
      <c r="V3" s="51" t="s">
        <v>6</v>
      </c>
    </row>
    <row r="4" spans="1:22" ht="26.25" customHeight="1" thickBot="1">
      <c r="A4" s="47"/>
      <c r="B4" s="47"/>
      <c r="C4" s="68"/>
      <c r="D4" s="69"/>
      <c r="E4" s="49"/>
      <c r="F4" s="49"/>
      <c r="G4" s="49"/>
      <c r="H4" s="3">
        <v>1</v>
      </c>
      <c r="I4" s="3">
        <v>2</v>
      </c>
      <c r="J4" s="3">
        <v>3</v>
      </c>
      <c r="K4" s="3" t="s">
        <v>9</v>
      </c>
      <c r="L4" s="3">
        <v>1</v>
      </c>
      <c r="M4" s="3">
        <v>2</v>
      </c>
      <c r="N4" s="3">
        <v>3</v>
      </c>
      <c r="O4" s="3" t="s">
        <v>9</v>
      </c>
      <c r="P4" s="3">
        <v>1</v>
      </c>
      <c r="Q4" s="3">
        <v>2</v>
      </c>
      <c r="R4" s="3">
        <v>3</v>
      </c>
      <c r="S4" s="3" t="s">
        <v>9</v>
      </c>
      <c r="T4" s="49"/>
      <c r="U4" s="49"/>
      <c r="V4" s="52"/>
    </row>
    <row r="5" spans="2:22" ht="15.75">
      <c r="B5" s="60" t="s">
        <v>100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5"/>
    </row>
    <row r="6" spans="1:22" ht="12.75">
      <c r="A6" s="6" t="s">
        <v>342</v>
      </c>
      <c r="B6" s="13" t="s">
        <v>393</v>
      </c>
      <c r="C6" s="7" t="s">
        <v>157</v>
      </c>
      <c r="D6" s="6" t="s">
        <v>395</v>
      </c>
      <c r="E6" s="6" t="str">
        <f>"1,0239"</f>
        <v>1,0239</v>
      </c>
      <c r="F6" s="7" t="s">
        <v>137</v>
      </c>
      <c r="G6" s="7" t="s">
        <v>30</v>
      </c>
      <c r="H6" s="29" t="s">
        <v>38</v>
      </c>
      <c r="I6" s="29" t="s">
        <v>102</v>
      </c>
      <c r="J6" s="29" t="s">
        <v>31</v>
      </c>
      <c r="K6" s="8"/>
      <c r="L6" s="29" t="s">
        <v>158</v>
      </c>
      <c r="M6" s="29" t="s">
        <v>107</v>
      </c>
      <c r="N6" s="29" t="s">
        <v>125</v>
      </c>
      <c r="O6" s="8"/>
      <c r="P6" s="29" t="s">
        <v>26</v>
      </c>
      <c r="Q6" s="29" t="s">
        <v>45</v>
      </c>
      <c r="R6" s="14" t="s">
        <v>159</v>
      </c>
      <c r="S6" s="8"/>
      <c r="T6" s="15" t="s">
        <v>456</v>
      </c>
      <c r="U6" s="15" t="str">
        <f>"396,7613"</f>
        <v>396,7613</v>
      </c>
      <c r="V6" s="7" t="s">
        <v>397</v>
      </c>
    </row>
    <row r="7" spans="2:22" ht="12.75">
      <c r="B7" s="4"/>
      <c r="C7" s="5"/>
      <c r="D7" s="1"/>
      <c r="E7" s="1"/>
      <c r="F7" s="5"/>
      <c r="G7" s="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4"/>
      <c r="U7" s="1"/>
      <c r="V7" s="5"/>
    </row>
    <row r="8" spans="2:22" ht="15.75">
      <c r="B8" s="53" t="s">
        <v>21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"/>
    </row>
    <row r="9" spans="1:22" ht="12.75">
      <c r="A9" s="6" t="s">
        <v>342</v>
      </c>
      <c r="B9" s="13" t="s">
        <v>394</v>
      </c>
      <c r="C9" s="7" t="s">
        <v>161</v>
      </c>
      <c r="D9" s="6" t="s">
        <v>396</v>
      </c>
      <c r="E9" s="6" t="str">
        <f>"0,9034"</f>
        <v>0,9034</v>
      </c>
      <c r="F9" s="7" t="s">
        <v>162</v>
      </c>
      <c r="G9" s="7" t="s">
        <v>30</v>
      </c>
      <c r="H9" s="29" t="s">
        <v>20</v>
      </c>
      <c r="I9" s="29" t="s">
        <v>134</v>
      </c>
      <c r="J9" s="14" t="s">
        <v>25</v>
      </c>
      <c r="K9" s="8"/>
      <c r="L9" s="29" t="s">
        <v>121</v>
      </c>
      <c r="M9" s="29" t="s">
        <v>19</v>
      </c>
      <c r="N9" s="14" t="s">
        <v>20</v>
      </c>
      <c r="O9" s="8"/>
      <c r="P9" s="29" t="s">
        <v>129</v>
      </c>
      <c r="Q9" s="29" t="s">
        <v>69</v>
      </c>
      <c r="R9" s="8"/>
      <c r="S9" s="8"/>
      <c r="T9" s="15" t="s">
        <v>508</v>
      </c>
      <c r="U9" s="15" t="str">
        <f>"402,0130"</f>
        <v>402,0130</v>
      </c>
      <c r="V9" s="7" t="s">
        <v>398</v>
      </c>
    </row>
    <row r="10" spans="2:22" ht="12.75">
      <c r="B10" s="4"/>
      <c r="C10" s="5"/>
      <c r="D10" s="1"/>
      <c r="E10" s="1"/>
      <c r="F10" s="5"/>
      <c r="G10" s="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4"/>
      <c r="U10" s="1"/>
      <c r="V10" s="5"/>
    </row>
    <row r="11" spans="2:22" ht="15.75">
      <c r="B11" s="53" t="s">
        <v>32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"/>
    </row>
    <row r="12" spans="1:22" ht="12.75">
      <c r="A12" s="6" t="s">
        <v>342</v>
      </c>
      <c r="B12" s="13" t="s">
        <v>43</v>
      </c>
      <c r="C12" s="7" t="s">
        <v>44</v>
      </c>
      <c r="D12" s="6" t="s">
        <v>99</v>
      </c>
      <c r="E12" s="6" t="str">
        <f>"0,6384"</f>
        <v>0,6384</v>
      </c>
      <c r="F12" s="7" t="s">
        <v>37</v>
      </c>
      <c r="G12" s="7" t="s">
        <v>30</v>
      </c>
      <c r="H12" s="29" t="s">
        <v>50</v>
      </c>
      <c r="I12" s="29" t="s">
        <v>163</v>
      </c>
      <c r="J12" s="14" t="s">
        <v>164</v>
      </c>
      <c r="K12" s="8"/>
      <c r="L12" s="14" t="s">
        <v>26</v>
      </c>
      <c r="M12" s="29" t="s">
        <v>26</v>
      </c>
      <c r="N12" s="14" t="s">
        <v>45</v>
      </c>
      <c r="O12" s="8"/>
      <c r="P12" s="29" t="s">
        <v>165</v>
      </c>
      <c r="Q12" s="8"/>
      <c r="R12" s="8"/>
      <c r="S12" s="8"/>
      <c r="T12" s="15" t="s">
        <v>457</v>
      </c>
      <c r="U12" s="15" t="str">
        <f>"406,9800"</f>
        <v>406,9800</v>
      </c>
      <c r="V12" s="7" t="s">
        <v>334</v>
      </c>
    </row>
    <row r="13" spans="2:22" ht="81.75" customHeight="1">
      <c r="B13" s="4"/>
      <c r="C13" s="5"/>
      <c r="D13" s="1"/>
      <c r="E13" s="1"/>
      <c r="F13" s="5"/>
      <c r="G13" s="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4"/>
      <c r="U13" s="1"/>
      <c r="V13" s="5"/>
    </row>
    <row r="34" ht="12.75">
      <c r="E34" t="s">
        <v>543</v>
      </c>
    </row>
  </sheetData>
  <sheetProtection/>
  <mergeCells count="17">
    <mergeCell ref="B11:U11"/>
    <mergeCell ref="B1:V2"/>
    <mergeCell ref="B3:B4"/>
    <mergeCell ref="C3:C4"/>
    <mergeCell ref="D3:D4"/>
    <mergeCell ref="E3:E4"/>
    <mergeCell ref="F3:F4"/>
    <mergeCell ref="G3:G4"/>
    <mergeCell ref="H3:K3"/>
    <mergeCell ref="L3:O3"/>
    <mergeCell ref="A3:A4"/>
    <mergeCell ref="T3:T4"/>
    <mergeCell ref="U3:U4"/>
    <mergeCell ref="V3:V4"/>
    <mergeCell ref="B5:U5"/>
    <mergeCell ref="B8:U8"/>
    <mergeCell ref="P3:S3"/>
  </mergeCells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G33" sqref="G33"/>
    </sheetView>
  </sheetViews>
  <sheetFormatPr defaultColWidth="8.75390625" defaultRowHeight="12.75"/>
  <cols>
    <col min="1" max="1" width="8.875" style="1" customWidth="1"/>
    <col min="2" max="2" width="17.875" style="0" customWidth="1"/>
    <col min="3" max="3" width="25.25390625" style="28" customWidth="1"/>
    <col min="4" max="5" width="8.75390625" style="0" customWidth="1"/>
    <col min="6" max="6" width="22.75390625" style="0" bestFit="1" customWidth="1"/>
    <col min="7" max="7" width="32.75390625" style="0" bestFit="1" customWidth="1"/>
    <col min="8" max="11" width="8.75390625" style="0" customWidth="1"/>
    <col min="12" max="12" width="12.125" style="0" customWidth="1"/>
    <col min="13" max="13" width="8.75390625" style="0" customWidth="1"/>
    <col min="14" max="14" width="12.25390625" style="0" customWidth="1"/>
  </cols>
  <sheetData>
    <row r="1" spans="1:14" ht="12.75">
      <c r="A1" s="16"/>
      <c r="B1" s="57" t="s">
        <v>548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83.25" customHeight="1" thickBot="1">
      <c r="A2" s="17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3.5" customHeight="1">
      <c r="A3" s="46" t="s">
        <v>445</v>
      </c>
      <c r="B3" s="46" t="s">
        <v>0</v>
      </c>
      <c r="C3" s="67" t="s">
        <v>320</v>
      </c>
      <c r="D3" s="58" t="s">
        <v>321</v>
      </c>
      <c r="E3" s="50" t="s">
        <v>13</v>
      </c>
      <c r="F3" s="50" t="s">
        <v>8</v>
      </c>
      <c r="G3" s="50" t="s">
        <v>531</v>
      </c>
      <c r="H3" s="50" t="s">
        <v>1</v>
      </c>
      <c r="I3" s="50"/>
      <c r="J3" s="50"/>
      <c r="K3" s="50"/>
      <c r="L3" s="50" t="s">
        <v>446</v>
      </c>
      <c r="M3" s="50" t="s">
        <v>7</v>
      </c>
      <c r="N3" s="51" t="s">
        <v>6</v>
      </c>
    </row>
    <row r="4" spans="1:14" ht="31.5" customHeight="1" thickBot="1">
      <c r="A4" s="47"/>
      <c r="B4" s="47"/>
      <c r="C4" s="68"/>
      <c r="D4" s="69"/>
      <c r="E4" s="49"/>
      <c r="F4" s="49"/>
      <c r="G4" s="49"/>
      <c r="H4" s="3">
        <v>1</v>
      </c>
      <c r="I4" s="3">
        <v>2</v>
      </c>
      <c r="J4" s="3">
        <v>3</v>
      </c>
      <c r="K4" s="3" t="s">
        <v>9</v>
      </c>
      <c r="L4" s="49"/>
      <c r="M4" s="49"/>
      <c r="N4" s="52"/>
    </row>
    <row r="5" spans="2:14" ht="15.75">
      <c r="B5" s="71" t="s">
        <v>32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5"/>
    </row>
    <row r="6" spans="1:14" ht="12.75">
      <c r="A6" s="15" t="s">
        <v>342</v>
      </c>
      <c r="B6" s="13" t="s">
        <v>282</v>
      </c>
      <c r="C6" s="7" t="s">
        <v>283</v>
      </c>
      <c r="D6" s="6" t="s">
        <v>428</v>
      </c>
      <c r="E6" s="6" t="str">
        <f>"0,6413"</f>
        <v>0,6413</v>
      </c>
      <c r="F6" s="7" t="s">
        <v>37</v>
      </c>
      <c r="G6" s="7" t="s">
        <v>30</v>
      </c>
      <c r="H6" s="29" t="s">
        <v>284</v>
      </c>
      <c r="I6" s="29" t="s">
        <v>49</v>
      </c>
      <c r="J6" s="14" t="s">
        <v>229</v>
      </c>
      <c r="K6" s="8"/>
      <c r="L6" s="15" t="s">
        <v>474</v>
      </c>
      <c r="M6" s="15" t="str">
        <f>"137,8795"</f>
        <v>137,8795</v>
      </c>
      <c r="N6" s="7" t="s">
        <v>334</v>
      </c>
    </row>
    <row r="7" spans="2:14" ht="12.75">
      <c r="B7" s="4"/>
      <c r="C7" s="5"/>
      <c r="D7" s="1"/>
      <c r="E7" s="1"/>
      <c r="F7" s="5"/>
      <c r="G7" s="5"/>
      <c r="H7" s="1"/>
      <c r="I7" s="1"/>
      <c r="J7" s="1"/>
      <c r="K7" s="1"/>
      <c r="L7" s="4"/>
      <c r="M7" s="1"/>
      <c r="N7" s="5"/>
    </row>
    <row r="8" spans="2:14" ht="15.75">
      <c r="B8" s="4"/>
      <c r="C8" s="5"/>
      <c r="D8" s="1"/>
      <c r="E8" s="1"/>
      <c r="F8" s="9"/>
      <c r="G8" s="5"/>
      <c r="H8" s="1"/>
      <c r="I8" s="1"/>
      <c r="J8" s="1"/>
      <c r="K8" s="1"/>
      <c r="L8" s="4"/>
      <c r="M8" s="1"/>
      <c r="N8" s="5"/>
    </row>
    <row r="9" spans="2:14" ht="12.75">
      <c r="B9" s="4"/>
      <c r="C9" s="5"/>
      <c r="D9" s="1"/>
      <c r="E9" s="1"/>
      <c r="F9" s="5"/>
      <c r="G9" s="5"/>
      <c r="H9" s="1"/>
      <c r="I9" s="1"/>
      <c r="J9" s="1"/>
      <c r="K9" s="1"/>
      <c r="L9" s="4"/>
      <c r="M9" s="1"/>
      <c r="N9" s="5"/>
    </row>
    <row r="29" ht="12.75">
      <c r="A29" s="7"/>
    </row>
    <row r="32" ht="12.75">
      <c r="A32" s="7"/>
    </row>
    <row r="33" ht="12.75">
      <c r="A33" s="7"/>
    </row>
    <row r="34" ht="12.75">
      <c r="A34" s="7"/>
    </row>
    <row r="35" ht="12.75">
      <c r="A35" s="7"/>
    </row>
    <row r="38" ht="12.75">
      <c r="A38" s="7"/>
    </row>
    <row r="39" ht="12.75">
      <c r="A39" s="7"/>
    </row>
    <row r="40" ht="12.75">
      <c r="A40" s="7"/>
    </row>
  </sheetData>
  <sheetProtection/>
  <mergeCells count="13">
    <mergeCell ref="H3:K3"/>
    <mergeCell ref="L3:L4"/>
    <mergeCell ref="M3:M4"/>
    <mergeCell ref="N3:N4"/>
    <mergeCell ref="B5:M5"/>
    <mergeCell ref="A3:A4"/>
    <mergeCell ref="B1:N2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workbookViewId="0" topLeftCell="A15">
      <selection activeCell="F21" sqref="F21"/>
    </sheetView>
  </sheetViews>
  <sheetFormatPr defaultColWidth="9.125" defaultRowHeight="12.75"/>
  <cols>
    <col min="1" max="1" width="9.125" style="22" customWidth="1"/>
    <col min="2" max="2" width="28.25390625" style="4" bestFit="1" customWidth="1"/>
    <col min="3" max="3" width="28.75390625" style="5" customWidth="1"/>
    <col min="4" max="4" width="12.00390625" style="1" customWidth="1"/>
    <col min="5" max="5" width="8.375" style="1" bestFit="1" customWidth="1"/>
    <col min="6" max="6" width="22.75390625" style="5" bestFit="1" customWidth="1"/>
    <col min="7" max="7" width="36.25390625" style="5" customWidth="1"/>
    <col min="8" max="10" width="5.625" style="1" bestFit="1" customWidth="1"/>
    <col min="11" max="11" width="4.625" style="1" bestFit="1" customWidth="1"/>
    <col min="12" max="12" width="11.25390625" style="4" customWidth="1"/>
    <col min="13" max="13" width="8.625" style="1" bestFit="1" customWidth="1"/>
    <col min="14" max="14" width="20.75390625" style="5" bestFit="1" customWidth="1"/>
    <col min="15" max="16384" width="9.125" style="1" customWidth="1"/>
  </cols>
  <sheetData>
    <row r="1" spans="1:14" ht="15" customHeight="1">
      <c r="A1" s="23"/>
      <c r="B1" s="57" t="s">
        <v>541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/>
    </row>
    <row r="2" spans="1:14" ht="103.5" customHeight="1" thickBot="1">
      <c r="A2" s="2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5"/>
    </row>
    <row r="3" spans="1:14" s="2" customFormat="1" ht="12.75" customHeight="1">
      <c r="A3" s="46" t="s">
        <v>445</v>
      </c>
      <c r="B3" s="46" t="s">
        <v>0</v>
      </c>
      <c r="C3" s="58" t="s">
        <v>320</v>
      </c>
      <c r="D3" s="55" t="s">
        <v>321</v>
      </c>
      <c r="E3" s="50" t="s">
        <v>13</v>
      </c>
      <c r="F3" s="50" t="s">
        <v>8</v>
      </c>
      <c r="G3" s="50" t="s">
        <v>531</v>
      </c>
      <c r="H3" s="50" t="s">
        <v>2</v>
      </c>
      <c r="I3" s="50"/>
      <c r="J3" s="50"/>
      <c r="K3" s="50"/>
      <c r="L3" s="50" t="s">
        <v>446</v>
      </c>
      <c r="M3" s="55" t="s">
        <v>7</v>
      </c>
      <c r="N3" s="51" t="s">
        <v>6</v>
      </c>
    </row>
    <row r="4" spans="1:14" s="2" customFormat="1" ht="21" customHeight="1" thickBot="1">
      <c r="A4" s="47"/>
      <c r="B4" s="47"/>
      <c r="C4" s="59"/>
      <c r="D4" s="56"/>
      <c r="E4" s="49"/>
      <c r="F4" s="49"/>
      <c r="G4" s="49"/>
      <c r="H4" s="3">
        <v>1</v>
      </c>
      <c r="I4" s="3">
        <v>2</v>
      </c>
      <c r="J4" s="3">
        <v>3</v>
      </c>
      <c r="K4" s="3" t="s">
        <v>9</v>
      </c>
      <c r="L4" s="49"/>
      <c r="M4" s="56"/>
      <c r="N4" s="52"/>
    </row>
    <row r="5" spans="2:13" ht="15.75">
      <c r="B5" s="60" t="s">
        <v>14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14" ht="12.75">
      <c r="A6" s="15" t="s">
        <v>342</v>
      </c>
      <c r="B6" s="13" t="s">
        <v>15</v>
      </c>
      <c r="C6" s="7" t="s">
        <v>16</v>
      </c>
      <c r="D6" s="6" t="s">
        <v>322</v>
      </c>
      <c r="E6" s="6" t="str">
        <f>"0,7139"</f>
        <v>0,7139</v>
      </c>
      <c r="F6" s="7" t="s">
        <v>17</v>
      </c>
      <c r="G6" s="7" t="s">
        <v>30</v>
      </c>
      <c r="H6" s="20" t="s">
        <v>18</v>
      </c>
      <c r="I6" s="20" t="s">
        <v>19</v>
      </c>
      <c r="J6" s="14" t="s">
        <v>20</v>
      </c>
      <c r="K6" s="8"/>
      <c r="L6" s="15" t="s">
        <v>489</v>
      </c>
      <c r="M6" s="15" t="str">
        <f>"92,8070"</f>
        <v>92,8070</v>
      </c>
      <c r="N6" s="7" t="s">
        <v>208</v>
      </c>
    </row>
    <row r="8" spans="2:13" ht="15.75">
      <c r="B8" s="53" t="s">
        <v>21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</row>
    <row r="9" spans="1:14" ht="12.75">
      <c r="A9" s="15" t="s">
        <v>342</v>
      </c>
      <c r="B9" s="7" t="s">
        <v>337</v>
      </c>
      <c r="C9" s="7" t="s">
        <v>22</v>
      </c>
      <c r="D9" s="6" t="s">
        <v>323</v>
      </c>
      <c r="E9" s="6" t="str">
        <f>"0,6749"</f>
        <v>0,6749</v>
      </c>
      <c r="F9" s="7" t="s">
        <v>23</v>
      </c>
      <c r="G9" s="7" t="s">
        <v>30</v>
      </c>
      <c r="H9" s="14" t="s">
        <v>24</v>
      </c>
      <c r="I9" s="20" t="s">
        <v>25</v>
      </c>
      <c r="J9" s="14" t="s">
        <v>26</v>
      </c>
      <c r="K9" s="8"/>
      <c r="L9" s="15" t="s">
        <v>490</v>
      </c>
      <c r="M9" s="15" t="str">
        <f>"104,6095"</f>
        <v>104,6095</v>
      </c>
      <c r="N9" s="7" t="s">
        <v>87</v>
      </c>
    </row>
    <row r="10" spans="1:14" ht="12.75">
      <c r="A10" s="15" t="s">
        <v>338</v>
      </c>
      <c r="B10" s="7" t="s">
        <v>335</v>
      </c>
      <c r="C10" s="7" t="s">
        <v>28</v>
      </c>
      <c r="D10" s="6" t="s">
        <v>324</v>
      </c>
      <c r="E10" s="6" t="str">
        <f>"0,6822"</f>
        <v>0,6822</v>
      </c>
      <c r="F10" s="7" t="s">
        <v>29</v>
      </c>
      <c r="G10" s="7" t="s">
        <v>30</v>
      </c>
      <c r="H10" s="20" t="s">
        <v>19</v>
      </c>
      <c r="I10" s="14" t="s">
        <v>31</v>
      </c>
      <c r="J10" s="20" t="s">
        <v>31</v>
      </c>
      <c r="K10" s="8"/>
      <c r="L10" s="15" t="s">
        <v>449</v>
      </c>
      <c r="M10" s="15" t="str">
        <f>"97,2135"</f>
        <v>97,2135</v>
      </c>
      <c r="N10" s="7" t="s">
        <v>87</v>
      </c>
    </row>
    <row r="12" spans="2:13" ht="15.75">
      <c r="B12" s="53" t="s">
        <v>32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</row>
    <row r="13" spans="1:14" ht="12.75">
      <c r="A13" s="15" t="s">
        <v>342</v>
      </c>
      <c r="B13" s="7" t="s">
        <v>339</v>
      </c>
      <c r="C13" s="7" t="s">
        <v>33</v>
      </c>
      <c r="D13" s="6" t="s">
        <v>325</v>
      </c>
      <c r="E13" s="6" t="str">
        <f>"0,6610"</f>
        <v>0,6610</v>
      </c>
      <c r="F13" s="7" t="s">
        <v>17</v>
      </c>
      <c r="G13" s="7" t="s">
        <v>30</v>
      </c>
      <c r="H13" s="20" t="s">
        <v>19</v>
      </c>
      <c r="I13" s="20" t="s">
        <v>34</v>
      </c>
      <c r="J13" s="20" t="s">
        <v>35</v>
      </c>
      <c r="K13" s="8"/>
      <c r="L13" s="15" t="s">
        <v>450</v>
      </c>
      <c r="M13" s="15" t="str">
        <f>"100,8025"</f>
        <v>100,8025</v>
      </c>
      <c r="N13" s="7" t="s">
        <v>208</v>
      </c>
    </row>
    <row r="14" spans="1:14" ht="12.75">
      <c r="A14" s="15" t="s">
        <v>338</v>
      </c>
      <c r="B14" s="7" t="s">
        <v>336</v>
      </c>
      <c r="C14" s="7" t="s">
        <v>36</v>
      </c>
      <c r="D14" s="6" t="s">
        <v>326</v>
      </c>
      <c r="E14" s="6" t="str">
        <f>"0,6549"</f>
        <v>0,6549</v>
      </c>
      <c r="F14" s="7" t="s">
        <v>37</v>
      </c>
      <c r="G14" s="7" t="s">
        <v>30</v>
      </c>
      <c r="H14" s="20" t="s">
        <v>18</v>
      </c>
      <c r="I14" s="14" t="s">
        <v>38</v>
      </c>
      <c r="J14" s="14" t="s">
        <v>38</v>
      </c>
      <c r="K14" s="8"/>
      <c r="L14" s="15" t="s">
        <v>491</v>
      </c>
      <c r="M14" s="15" t="str">
        <f>"81,8625"</f>
        <v>81,8625</v>
      </c>
      <c r="N14" s="7" t="s">
        <v>334</v>
      </c>
    </row>
    <row r="15" spans="1:14" ht="12.75">
      <c r="A15" s="15" t="s">
        <v>342</v>
      </c>
      <c r="B15" s="7" t="s">
        <v>340</v>
      </c>
      <c r="C15" s="7" t="s">
        <v>39</v>
      </c>
      <c r="D15" s="6" t="s">
        <v>327</v>
      </c>
      <c r="E15" s="6" t="str">
        <f>"0,6523"</f>
        <v>0,6523</v>
      </c>
      <c r="F15" s="7" t="s">
        <v>23</v>
      </c>
      <c r="G15" s="7" t="s">
        <v>30</v>
      </c>
      <c r="H15" s="20" t="s">
        <v>40</v>
      </c>
      <c r="I15" s="14" t="s">
        <v>41</v>
      </c>
      <c r="J15" s="14" t="s">
        <v>42</v>
      </c>
      <c r="K15" s="8"/>
      <c r="L15" s="15" t="s">
        <v>451</v>
      </c>
      <c r="M15" s="15" t="str">
        <f>"115,7833"</f>
        <v>115,7833</v>
      </c>
      <c r="N15" s="7" t="s">
        <v>78</v>
      </c>
    </row>
    <row r="16" spans="1:14" ht="12.75">
      <c r="A16" s="15" t="s">
        <v>338</v>
      </c>
      <c r="B16" s="7" t="s">
        <v>341</v>
      </c>
      <c r="C16" s="7" t="s">
        <v>44</v>
      </c>
      <c r="D16" s="6" t="s">
        <v>99</v>
      </c>
      <c r="E16" s="6" t="str">
        <f>"0,6384"</f>
        <v>0,6384</v>
      </c>
      <c r="F16" s="7" t="s">
        <v>37</v>
      </c>
      <c r="G16" s="7" t="s">
        <v>30</v>
      </c>
      <c r="H16" s="20" t="s">
        <v>26</v>
      </c>
      <c r="I16" s="14" t="s">
        <v>45</v>
      </c>
      <c r="J16" s="14" t="s">
        <v>45</v>
      </c>
      <c r="K16" s="8"/>
      <c r="L16" s="15" t="s">
        <v>492</v>
      </c>
      <c r="M16" s="15" t="str">
        <f>"105,3360"</f>
        <v>105,3360</v>
      </c>
      <c r="N16" s="7" t="s">
        <v>334</v>
      </c>
    </row>
    <row r="18" spans="2:13" ht="15.75">
      <c r="B18" s="53" t="s">
        <v>46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</row>
    <row r="19" spans="1:14" ht="12.75">
      <c r="A19" s="15" t="s">
        <v>342</v>
      </c>
      <c r="B19" s="7" t="s">
        <v>343</v>
      </c>
      <c r="C19" s="7" t="s">
        <v>47</v>
      </c>
      <c r="D19" s="6" t="s">
        <v>328</v>
      </c>
      <c r="E19" s="6" t="str">
        <f>"0,6108"</f>
        <v>0,6108</v>
      </c>
      <c r="F19" s="7" t="s">
        <v>23</v>
      </c>
      <c r="G19" s="7" t="s">
        <v>30</v>
      </c>
      <c r="H19" s="20" t="s">
        <v>48</v>
      </c>
      <c r="I19" s="20" t="s">
        <v>49</v>
      </c>
      <c r="J19" s="20" t="s">
        <v>50</v>
      </c>
      <c r="K19" s="8"/>
      <c r="L19" s="15" t="s">
        <v>476</v>
      </c>
      <c r="M19" s="15" t="str">
        <f>"134,3760"</f>
        <v>134,3760</v>
      </c>
      <c r="N19" s="7" t="s">
        <v>87</v>
      </c>
    </row>
    <row r="20" spans="1:14" ht="12.75">
      <c r="A20" s="15" t="s">
        <v>338</v>
      </c>
      <c r="B20" s="7" t="s">
        <v>344</v>
      </c>
      <c r="C20" s="7" t="s">
        <v>51</v>
      </c>
      <c r="D20" s="6" t="s">
        <v>329</v>
      </c>
      <c r="E20" s="6" t="str">
        <f>"0,6318"</f>
        <v>0,6318</v>
      </c>
      <c r="F20" s="7" t="s">
        <v>23</v>
      </c>
      <c r="G20" s="7" t="s">
        <v>30</v>
      </c>
      <c r="H20" s="20" t="s">
        <v>31</v>
      </c>
      <c r="I20" s="20" t="s">
        <v>52</v>
      </c>
      <c r="J20" s="20" t="s">
        <v>24</v>
      </c>
      <c r="K20" s="8"/>
      <c r="L20" s="15" t="s">
        <v>493</v>
      </c>
      <c r="M20" s="15" t="s">
        <v>448</v>
      </c>
      <c r="N20" s="7" t="s">
        <v>87</v>
      </c>
    </row>
    <row r="22" spans="2:13" ht="15.75">
      <c r="B22" s="53" t="s">
        <v>53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</row>
    <row r="23" spans="1:14" ht="12.75">
      <c r="A23" s="15" t="s">
        <v>342</v>
      </c>
      <c r="B23" s="7" t="s">
        <v>345</v>
      </c>
      <c r="C23" s="7" t="s">
        <v>54</v>
      </c>
      <c r="D23" s="6" t="s">
        <v>330</v>
      </c>
      <c r="E23" s="6" t="str">
        <f>"0,5952"</f>
        <v>0,5952</v>
      </c>
      <c r="F23" s="7" t="s">
        <v>23</v>
      </c>
      <c r="G23" s="7" t="s">
        <v>30</v>
      </c>
      <c r="H23" s="20" t="s">
        <v>55</v>
      </c>
      <c r="I23" s="20" t="s">
        <v>56</v>
      </c>
      <c r="J23" s="20" t="s">
        <v>57</v>
      </c>
      <c r="K23" s="8"/>
      <c r="L23" s="15" t="s">
        <v>475</v>
      </c>
      <c r="M23" s="15" t="str">
        <f>"122,0160"</f>
        <v>122,0160</v>
      </c>
      <c r="N23" s="7" t="s">
        <v>79</v>
      </c>
    </row>
    <row r="24" spans="1:14" ht="12.75">
      <c r="A24" s="15" t="s">
        <v>342</v>
      </c>
      <c r="B24" s="7" t="s">
        <v>346</v>
      </c>
      <c r="C24" s="7" t="s">
        <v>58</v>
      </c>
      <c r="D24" s="6" t="s">
        <v>331</v>
      </c>
      <c r="E24" s="6" t="str">
        <f>"0,6032"</f>
        <v>0,6032</v>
      </c>
      <c r="F24" s="7" t="s">
        <v>59</v>
      </c>
      <c r="G24" s="7" t="s">
        <v>60</v>
      </c>
      <c r="H24" s="20" t="s">
        <v>55</v>
      </c>
      <c r="I24" s="20" t="s">
        <v>56</v>
      </c>
      <c r="J24" s="14" t="s">
        <v>57</v>
      </c>
      <c r="K24" s="8"/>
      <c r="L24" s="15" t="s">
        <v>452</v>
      </c>
      <c r="M24" s="15" t="str">
        <f>"116,1160"</f>
        <v>116,1160</v>
      </c>
      <c r="N24" s="7" t="s">
        <v>87</v>
      </c>
    </row>
    <row r="26" spans="2:13" ht="15.75">
      <c r="B26" s="53" t="s">
        <v>61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</row>
    <row r="27" spans="1:14" ht="12.75">
      <c r="A27" s="15" t="s">
        <v>342</v>
      </c>
      <c r="B27" s="7" t="s">
        <v>347</v>
      </c>
      <c r="C27" s="7" t="s">
        <v>62</v>
      </c>
      <c r="D27" s="6" t="s">
        <v>332</v>
      </c>
      <c r="E27" s="6" t="str">
        <f>"0,5726"</f>
        <v>0,5726</v>
      </c>
      <c r="F27" s="7" t="s">
        <v>59</v>
      </c>
      <c r="G27" s="7" t="s">
        <v>60</v>
      </c>
      <c r="H27" s="29" t="s">
        <v>24</v>
      </c>
      <c r="I27" s="29" t="s">
        <v>26</v>
      </c>
      <c r="J27" s="29" t="s">
        <v>45</v>
      </c>
      <c r="K27" s="8"/>
      <c r="L27" s="15" t="s">
        <v>494</v>
      </c>
      <c r="M27" s="15" t="str">
        <f>"100,2050"</f>
        <v>100,2050</v>
      </c>
      <c r="N27" s="7" t="s">
        <v>87</v>
      </c>
    </row>
    <row r="29" spans="2:13" ht="15.75">
      <c r="B29" s="53" t="s">
        <v>63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</row>
    <row r="30" spans="1:14" ht="12.75">
      <c r="A30" s="15" t="s">
        <v>342</v>
      </c>
      <c r="B30" s="7" t="s">
        <v>64</v>
      </c>
      <c r="C30" s="7" t="s">
        <v>65</v>
      </c>
      <c r="D30" s="6" t="s">
        <v>333</v>
      </c>
      <c r="E30" s="6" t="str">
        <f>"0,5628"</f>
        <v>0,5628</v>
      </c>
      <c r="F30" s="7" t="s">
        <v>59</v>
      </c>
      <c r="G30" s="7" t="s">
        <v>60</v>
      </c>
      <c r="H30" s="29" t="s">
        <v>25</v>
      </c>
      <c r="I30" s="14" t="s">
        <v>26</v>
      </c>
      <c r="J30" s="29" t="s">
        <v>26</v>
      </c>
      <c r="K30" s="8"/>
      <c r="L30" s="15" t="s">
        <v>492</v>
      </c>
      <c r="M30" s="15" t="str">
        <f>"92,8620"</f>
        <v>92,8620</v>
      </c>
      <c r="N30" s="7" t="s">
        <v>80</v>
      </c>
    </row>
    <row r="31" spans="1:14" ht="12.75">
      <c r="A31" s="15" t="s">
        <v>342</v>
      </c>
      <c r="B31" s="7" t="s">
        <v>348</v>
      </c>
      <c r="C31" s="7" t="s">
        <v>66</v>
      </c>
      <c r="D31" s="6" t="s">
        <v>333</v>
      </c>
      <c r="E31" s="6" t="str">
        <f>"0,5628"</f>
        <v>0,5628</v>
      </c>
      <c r="F31" s="7" t="s">
        <v>59</v>
      </c>
      <c r="G31" s="7" t="s">
        <v>60</v>
      </c>
      <c r="H31" s="29" t="s">
        <v>25</v>
      </c>
      <c r="I31" s="14" t="s">
        <v>26</v>
      </c>
      <c r="J31" s="29" t="s">
        <v>26</v>
      </c>
      <c r="K31" s="8"/>
      <c r="L31" s="15" t="s">
        <v>492</v>
      </c>
      <c r="M31" s="15" t="str">
        <f>"98,4337"</f>
        <v>98,4337</v>
      </c>
      <c r="N31" s="7" t="s">
        <v>80</v>
      </c>
    </row>
    <row r="33" spans="2:13" ht="15.75">
      <c r="B33" s="53" t="s">
        <v>67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</row>
    <row r="34" spans="1:14" ht="12.75">
      <c r="A34" s="15" t="s">
        <v>342</v>
      </c>
      <c r="B34" s="7" t="s">
        <v>349</v>
      </c>
      <c r="C34" s="7" t="s">
        <v>68</v>
      </c>
      <c r="D34" s="6" t="s">
        <v>350</v>
      </c>
      <c r="E34" s="6" t="str">
        <f>"0,5587"</f>
        <v>0,5587</v>
      </c>
      <c r="F34" s="7" t="s">
        <v>23</v>
      </c>
      <c r="G34" s="7" t="s">
        <v>30</v>
      </c>
      <c r="H34" s="29" t="s">
        <v>69</v>
      </c>
      <c r="I34" s="29" t="s">
        <v>55</v>
      </c>
      <c r="J34" s="29" t="s">
        <v>48</v>
      </c>
      <c r="K34" s="8"/>
      <c r="L34" s="15" t="s">
        <v>477</v>
      </c>
      <c r="M34" s="15" t="s">
        <v>447</v>
      </c>
      <c r="N34" s="7" t="s">
        <v>81</v>
      </c>
    </row>
    <row r="36" ht="15.75">
      <c r="F36" s="9"/>
    </row>
  </sheetData>
  <sheetProtection/>
  <mergeCells count="20">
    <mergeCell ref="B18:M18"/>
    <mergeCell ref="B22:M22"/>
    <mergeCell ref="B26:M26"/>
    <mergeCell ref="B29:M29"/>
    <mergeCell ref="B33:M33"/>
    <mergeCell ref="N3:N4"/>
    <mergeCell ref="G3:G4"/>
    <mergeCell ref="F3:F4"/>
    <mergeCell ref="B5:M5"/>
    <mergeCell ref="B8:M8"/>
    <mergeCell ref="A3:A4"/>
    <mergeCell ref="B12:M12"/>
    <mergeCell ref="E3:E4"/>
    <mergeCell ref="L3:L4"/>
    <mergeCell ref="M3:M4"/>
    <mergeCell ref="B1:N2"/>
    <mergeCell ref="H3:K3"/>
    <mergeCell ref="B3:B4"/>
    <mergeCell ref="C3:C4"/>
    <mergeCell ref="D3:D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7"/>
  <sheetViews>
    <sheetView workbookViewId="0" topLeftCell="A1">
      <selection activeCell="B67" sqref="B67"/>
    </sheetView>
  </sheetViews>
  <sheetFormatPr defaultColWidth="8.75390625" defaultRowHeight="12.75"/>
  <cols>
    <col min="1" max="1" width="9.125" style="22" customWidth="1"/>
    <col min="2" max="2" width="28.625" style="0" customWidth="1"/>
    <col min="3" max="3" width="29.00390625" style="28" customWidth="1"/>
    <col min="4" max="5" width="8.75390625" style="0" customWidth="1"/>
    <col min="6" max="6" width="22.75390625" style="0" bestFit="1" customWidth="1"/>
    <col min="7" max="7" width="34.625" style="0" bestFit="1" customWidth="1"/>
    <col min="8" max="11" width="8.75390625" style="0" customWidth="1"/>
    <col min="12" max="12" width="13.375" style="0" customWidth="1"/>
    <col min="13" max="13" width="8.75390625" style="0" customWidth="1"/>
    <col min="14" max="14" width="17.875" style="0" customWidth="1"/>
  </cols>
  <sheetData>
    <row r="1" spans="1:14" ht="27">
      <c r="A1" s="62" t="s">
        <v>540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27">
      <c r="A2" s="64" t="s">
        <v>530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31.5" customHeight="1" thickBot="1">
      <c r="A3" s="64" t="s">
        <v>453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13.5" customHeight="1">
      <c r="A4" s="46" t="s">
        <v>445</v>
      </c>
      <c r="B4" s="46" t="s">
        <v>0</v>
      </c>
      <c r="C4" s="58" t="s">
        <v>320</v>
      </c>
      <c r="D4" s="58" t="s">
        <v>454</v>
      </c>
      <c r="E4" s="50" t="s">
        <v>13</v>
      </c>
      <c r="F4" s="50" t="s">
        <v>8</v>
      </c>
      <c r="G4" s="50" t="s">
        <v>531</v>
      </c>
      <c r="H4" s="50" t="s">
        <v>2</v>
      </c>
      <c r="I4" s="50"/>
      <c r="J4" s="50"/>
      <c r="K4" s="50"/>
      <c r="L4" s="50" t="s">
        <v>446</v>
      </c>
      <c r="M4" s="50" t="s">
        <v>7</v>
      </c>
      <c r="N4" s="51" t="s">
        <v>6</v>
      </c>
    </row>
    <row r="5" spans="1:14" ht="15" customHeight="1" thickBot="1">
      <c r="A5" s="47"/>
      <c r="B5" s="47"/>
      <c r="C5" s="59"/>
      <c r="D5" s="66"/>
      <c r="E5" s="49"/>
      <c r="F5" s="49"/>
      <c r="G5" s="49"/>
      <c r="H5" s="3">
        <v>1</v>
      </c>
      <c r="I5" s="3">
        <v>2</v>
      </c>
      <c r="J5" s="3">
        <v>3</v>
      </c>
      <c r="K5" s="3" t="s">
        <v>9</v>
      </c>
      <c r="L5" s="49"/>
      <c r="M5" s="49"/>
      <c r="N5" s="52"/>
    </row>
    <row r="6" spans="2:14" ht="15.75">
      <c r="B6" s="60" t="s">
        <v>82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5"/>
    </row>
    <row r="7" spans="1:14" ht="12.75">
      <c r="A7" s="15" t="s">
        <v>342</v>
      </c>
      <c r="B7" s="13" t="s">
        <v>145</v>
      </c>
      <c r="C7" s="7" t="s">
        <v>83</v>
      </c>
      <c r="D7" s="6" t="s">
        <v>351</v>
      </c>
      <c r="E7" s="6" t="str">
        <f>"1,4766"</f>
        <v>1,4766</v>
      </c>
      <c r="F7" s="7" t="s">
        <v>23</v>
      </c>
      <c r="G7" s="7" t="s">
        <v>30</v>
      </c>
      <c r="H7" s="14" t="s">
        <v>84</v>
      </c>
      <c r="I7" s="29" t="s">
        <v>85</v>
      </c>
      <c r="J7" s="14" t="s">
        <v>86</v>
      </c>
      <c r="K7" s="18"/>
      <c r="L7" s="15" t="s">
        <v>495</v>
      </c>
      <c r="M7" s="15" t="str">
        <f>"59,0640"</f>
        <v>59,0640</v>
      </c>
      <c r="N7" s="7" t="s">
        <v>87</v>
      </c>
    </row>
    <row r="8" spans="2:14" ht="12.75">
      <c r="B8" s="4"/>
      <c r="C8" s="5"/>
      <c r="D8" s="1"/>
      <c r="E8" s="1"/>
      <c r="F8" s="5"/>
      <c r="G8" s="5"/>
      <c r="H8" s="1"/>
      <c r="I8" s="1"/>
      <c r="J8" s="1"/>
      <c r="K8" s="1"/>
      <c r="L8" s="4"/>
      <c r="M8" s="1"/>
      <c r="N8" s="5"/>
    </row>
    <row r="9" spans="2:14" ht="15.75">
      <c r="B9" s="53" t="s">
        <v>88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"/>
    </row>
    <row r="10" spans="1:14" ht="12.75">
      <c r="A10" s="15" t="s">
        <v>342</v>
      </c>
      <c r="B10" s="13" t="s">
        <v>352</v>
      </c>
      <c r="C10" s="7" t="s">
        <v>89</v>
      </c>
      <c r="D10" s="6" t="s">
        <v>180</v>
      </c>
      <c r="E10" s="6" t="str">
        <f>"1,2466"</f>
        <v>1,2466</v>
      </c>
      <c r="F10" s="7" t="s">
        <v>23</v>
      </c>
      <c r="G10" s="7" t="s">
        <v>30</v>
      </c>
      <c r="H10" s="14" t="s">
        <v>90</v>
      </c>
      <c r="I10" s="14" t="s">
        <v>90</v>
      </c>
      <c r="J10" s="29" t="s">
        <v>90</v>
      </c>
      <c r="K10" s="8"/>
      <c r="L10" s="15" t="s">
        <v>496</v>
      </c>
      <c r="M10" s="15" t="str">
        <f>"56,0970"</f>
        <v>56,0970</v>
      </c>
      <c r="N10" s="7" t="s">
        <v>91</v>
      </c>
    </row>
    <row r="11" spans="2:14" ht="12.75">
      <c r="B11" s="4"/>
      <c r="C11" s="5"/>
      <c r="D11" s="1"/>
      <c r="E11" s="1"/>
      <c r="F11" s="5"/>
      <c r="G11" s="5"/>
      <c r="H11" s="1"/>
      <c r="I11" s="1"/>
      <c r="J11" s="1"/>
      <c r="K11" s="1"/>
      <c r="L11" s="4"/>
      <c r="M11" s="1"/>
      <c r="N11" s="5"/>
    </row>
    <row r="12" spans="2:14" ht="15.75">
      <c r="B12" s="53" t="s">
        <v>92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"/>
    </row>
    <row r="13" spans="1:14" ht="12.75">
      <c r="A13" s="15" t="s">
        <v>342</v>
      </c>
      <c r="B13" s="13" t="s">
        <v>144</v>
      </c>
      <c r="C13" s="7" t="s">
        <v>93</v>
      </c>
      <c r="D13" s="6" t="s">
        <v>353</v>
      </c>
      <c r="E13" s="6" t="str">
        <f>"1,1967"</f>
        <v>1,1967</v>
      </c>
      <c r="F13" s="7" t="s">
        <v>17</v>
      </c>
      <c r="G13" s="7" t="s">
        <v>30</v>
      </c>
      <c r="H13" s="14" t="s">
        <v>94</v>
      </c>
      <c r="I13" s="29" t="s">
        <v>95</v>
      </c>
      <c r="J13" s="8"/>
      <c r="K13" s="8"/>
      <c r="L13" s="15" t="s">
        <v>497</v>
      </c>
      <c r="M13" s="15" t="str">
        <f>"65,8185"</f>
        <v>65,8185</v>
      </c>
      <c r="N13" s="7" t="s">
        <v>208</v>
      </c>
    </row>
    <row r="14" spans="2:14" ht="12.75">
      <c r="B14" s="4"/>
      <c r="C14" s="5"/>
      <c r="D14" s="1"/>
      <c r="E14" s="1"/>
      <c r="F14" s="5"/>
      <c r="G14" s="5"/>
      <c r="H14" s="1"/>
      <c r="I14" s="1"/>
      <c r="J14" s="1"/>
      <c r="K14" s="1"/>
      <c r="L14" s="4"/>
      <c r="M14" s="1"/>
      <c r="N14" s="5"/>
    </row>
    <row r="15" spans="2:14" ht="15.75">
      <c r="B15" s="53" t="s">
        <v>92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"/>
    </row>
    <row r="16" spans="1:14" ht="12.75">
      <c r="A16" s="15" t="s">
        <v>342</v>
      </c>
      <c r="B16" s="13" t="s">
        <v>354</v>
      </c>
      <c r="C16" s="7" t="s">
        <v>96</v>
      </c>
      <c r="D16" s="6" t="s">
        <v>355</v>
      </c>
      <c r="E16" s="6" t="str">
        <f>"0,9233"</f>
        <v>0,9233</v>
      </c>
      <c r="F16" s="7" t="s">
        <v>17</v>
      </c>
      <c r="G16" s="7" t="s">
        <v>30</v>
      </c>
      <c r="H16" s="29" t="s">
        <v>97</v>
      </c>
      <c r="I16" s="29" t="s">
        <v>98</v>
      </c>
      <c r="J16" s="14" t="s">
        <v>99</v>
      </c>
      <c r="K16" s="8"/>
      <c r="L16" s="15" t="s">
        <v>498</v>
      </c>
      <c r="M16" s="15" t="str">
        <f>"78,4805"</f>
        <v>78,4805</v>
      </c>
      <c r="N16" s="7" t="s">
        <v>208</v>
      </c>
    </row>
    <row r="17" spans="2:14" ht="12.75">
      <c r="B17" s="4"/>
      <c r="C17" s="5"/>
      <c r="D17" s="1"/>
      <c r="E17" s="1"/>
      <c r="F17" s="5"/>
      <c r="G17" s="5"/>
      <c r="H17" s="1"/>
      <c r="I17" s="1"/>
      <c r="J17" s="1"/>
      <c r="K17" s="1"/>
      <c r="L17" s="4"/>
      <c r="M17" s="1"/>
      <c r="N17" s="5"/>
    </row>
    <row r="18" spans="2:14" ht="15.75">
      <c r="B18" s="53" t="s">
        <v>100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"/>
    </row>
    <row r="19" spans="1:14" ht="12.75">
      <c r="A19" s="15" t="s">
        <v>342</v>
      </c>
      <c r="B19" s="7" t="s">
        <v>356</v>
      </c>
      <c r="C19" s="7" t="s">
        <v>101</v>
      </c>
      <c r="D19" s="6" t="s">
        <v>410</v>
      </c>
      <c r="E19" s="6" t="str">
        <f>"0,7852"</f>
        <v>0,7852</v>
      </c>
      <c r="F19" s="7" t="s">
        <v>37</v>
      </c>
      <c r="G19" s="7" t="s">
        <v>30</v>
      </c>
      <c r="H19" s="20" t="s">
        <v>102</v>
      </c>
      <c r="I19" s="8"/>
      <c r="J19" s="8"/>
      <c r="K19" s="8"/>
      <c r="L19" s="15" t="s">
        <v>455</v>
      </c>
      <c r="M19" s="15" t="str">
        <f>"107,9650"</f>
        <v>107,9650</v>
      </c>
      <c r="N19" s="7" t="s">
        <v>334</v>
      </c>
    </row>
    <row r="20" spans="2:14" ht="12.75">
      <c r="B20" s="4"/>
      <c r="C20" s="5"/>
      <c r="D20" s="1"/>
      <c r="E20" s="1"/>
      <c r="F20" s="5"/>
      <c r="G20" s="5"/>
      <c r="H20" s="1"/>
      <c r="I20" s="1"/>
      <c r="J20" s="1"/>
      <c r="K20" s="1"/>
      <c r="L20" s="4"/>
      <c r="M20" s="1"/>
      <c r="N20" s="5"/>
    </row>
    <row r="21" spans="2:14" ht="15.75">
      <c r="B21" s="53" t="s">
        <v>14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"/>
    </row>
    <row r="22" spans="1:14" ht="12.75">
      <c r="A22" s="15" t="s">
        <v>342</v>
      </c>
      <c r="B22" s="7" t="s">
        <v>362</v>
      </c>
      <c r="C22" s="7" t="s">
        <v>103</v>
      </c>
      <c r="D22" s="6" t="s">
        <v>357</v>
      </c>
      <c r="E22" s="6" t="str">
        <f>"0,7242"</f>
        <v>0,7242</v>
      </c>
      <c r="F22" s="13" t="s">
        <v>17</v>
      </c>
      <c r="G22" s="7" t="s">
        <v>30</v>
      </c>
      <c r="H22" s="20" t="s">
        <v>19</v>
      </c>
      <c r="I22" s="14" t="s">
        <v>20</v>
      </c>
      <c r="J22" s="14" t="s">
        <v>20</v>
      </c>
      <c r="K22" s="8"/>
      <c r="L22" s="15" t="s">
        <v>489</v>
      </c>
      <c r="M22" s="15" t="str">
        <f>"94,1460"</f>
        <v>94,1460</v>
      </c>
      <c r="N22" s="7" t="s">
        <v>208</v>
      </c>
    </row>
    <row r="23" spans="1:14" ht="12.75">
      <c r="A23" s="15" t="s">
        <v>338</v>
      </c>
      <c r="B23" s="13" t="s">
        <v>104</v>
      </c>
      <c r="C23" s="7" t="s">
        <v>105</v>
      </c>
      <c r="D23" s="6" t="s">
        <v>358</v>
      </c>
      <c r="E23" s="6" t="str">
        <f>"0,7345"</f>
        <v>0,7345</v>
      </c>
      <c r="F23" s="7" t="s">
        <v>17</v>
      </c>
      <c r="G23" s="7" t="s">
        <v>30</v>
      </c>
      <c r="H23" s="14" t="s">
        <v>106</v>
      </c>
      <c r="I23" s="20" t="s">
        <v>107</v>
      </c>
      <c r="J23" s="14" t="s">
        <v>108</v>
      </c>
      <c r="K23" s="8"/>
      <c r="L23" s="15" t="s">
        <v>499</v>
      </c>
      <c r="M23" s="15" t="str">
        <f>"47,7425"</f>
        <v>47,7425</v>
      </c>
      <c r="N23" s="7" t="s">
        <v>208</v>
      </c>
    </row>
    <row r="24" spans="1:14" ht="12.75">
      <c r="A24" s="15" t="s">
        <v>342</v>
      </c>
      <c r="B24" s="7" t="s">
        <v>363</v>
      </c>
      <c r="C24" s="7" t="s">
        <v>109</v>
      </c>
      <c r="D24" s="6" t="s">
        <v>359</v>
      </c>
      <c r="E24" s="6" t="str">
        <f>"0,7207"</f>
        <v>0,7207</v>
      </c>
      <c r="F24" s="7" t="s">
        <v>23</v>
      </c>
      <c r="G24" s="7" t="s">
        <v>30</v>
      </c>
      <c r="H24" s="20" t="s">
        <v>110</v>
      </c>
      <c r="I24" s="14" t="s">
        <v>20</v>
      </c>
      <c r="J24" s="20" t="s">
        <v>20</v>
      </c>
      <c r="K24" s="8"/>
      <c r="L24" s="15" t="s">
        <v>479</v>
      </c>
      <c r="M24" s="15" t="str">
        <f>"97,2945"</f>
        <v>97,2945</v>
      </c>
      <c r="N24" s="7" t="s">
        <v>87</v>
      </c>
    </row>
    <row r="25" spans="1:14" ht="12.75">
      <c r="A25" s="15" t="s">
        <v>338</v>
      </c>
      <c r="B25" s="7" t="s">
        <v>364</v>
      </c>
      <c r="C25" s="7" t="s">
        <v>111</v>
      </c>
      <c r="D25" s="6" t="s">
        <v>108</v>
      </c>
      <c r="E25" s="6" t="str">
        <f>"0,7126"</f>
        <v>0,7126</v>
      </c>
      <c r="F25" s="7" t="s">
        <v>17</v>
      </c>
      <c r="G25" s="7" t="s">
        <v>30</v>
      </c>
      <c r="H25" s="20" t="s">
        <v>112</v>
      </c>
      <c r="I25" s="8"/>
      <c r="J25" s="8"/>
      <c r="K25" s="8"/>
      <c r="L25" s="15" t="s">
        <v>500</v>
      </c>
      <c r="M25" s="15" t="str">
        <f>"78,3860"</f>
        <v>78,3860</v>
      </c>
      <c r="N25" s="7" t="s">
        <v>208</v>
      </c>
    </row>
    <row r="26" spans="1:14" ht="12.75">
      <c r="A26" s="15" t="s">
        <v>361</v>
      </c>
      <c r="B26" s="7" t="s">
        <v>365</v>
      </c>
      <c r="C26" s="7" t="s">
        <v>113</v>
      </c>
      <c r="D26" s="6" t="s">
        <v>360</v>
      </c>
      <c r="E26" s="6" t="str">
        <f>"0,7193"</f>
        <v>0,7193</v>
      </c>
      <c r="F26" s="7" t="s">
        <v>23</v>
      </c>
      <c r="G26" s="7" t="s">
        <v>30</v>
      </c>
      <c r="H26" s="29" t="s">
        <v>114</v>
      </c>
      <c r="I26" s="29" t="s">
        <v>115</v>
      </c>
      <c r="J26" s="29" t="s">
        <v>99</v>
      </c>
      <c r="K26" s="8"/>
      <c r="L26" s="15" t="s">
        <v>501</v>
      </c>
      <c r="M26" s="15" t="str">
        <f>"64,7370"</f>
        <v>64,7370</v>
      </c>
      <c r="N26" s="7" t="s">
        <v>87</v>
      </c>
    </row>
    <row r="27" spans="2:14" ht="12.75">
      <c r="B27" s="4"/>
      <c r="C27" s="5"/>
      <c r="D27" s="1"/>
      <c r="E27" s="1"/>
      <c r="F27" s="5"/>
      <c r="G27" s="5"/>
      <c r="H27" s="1"/>
      <c r="I27" s="1"/>
      <c r="J27" s="1"/>
      <c r="K27" s="1"/>
      <c r="L27" s="4"/>
      <c r="M27" s="1"/>
      <c r="N27" s="5"/>
    </row>
    <row r="28" spans="2:14" ht="15.75">
      <c r="B28" s="53" t="s">
        <v>21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"/>
    </row>
    <row r="29" spans="1:14" ht="12.75">
      <c r="A29" s="15" t="s">
        <v>342</v>
      </c>
      <c r="B29" s="7" t="s">
        <v>366</v>
      </c>
      <c r="C29" s="7" t="s">
        <v>116</v>
      </c>
      <c r="D29" s="6" t="s">
        <v>370</v>
      </c>
      <c r="E29" s="6" t="str">
        <f>"0,6769"</f>
        <v>0,6769</v>
      </c>
      <c r="F29" s="7" t="s">
        <v>17</v>
      </c>
      <c r="G29" s="7" t="s">
        <v>30</v>
      </c>
      <c r="H29" s="20" t="s">
        <v>19</v>
      </c>
      <c r="I29" s="18"/>
      <c r="J29" s="18"/>
      <c r="K29" s="8"/>
      <c r="L29" s="15" t="s">
        <v>489</v>
      </c>
      <c r="M29" s="15" t="str">
        <f>"87,9970"</f>
        <v>87,9970</v>
      </c>
      <c r="N29" s="7" t="s">
        <v>208</v>
      </c>
    </row>
    <row r="30" spans="1:14" ht="12.75">
      <c r="A30" s="15" t="s">
        <v>342</v>
      </c>
      <c r="B30" s="7" t="s">
        <v>367</v>
      </c>
      <c r="C30" s="7" t="s">
        <v>117</v>
      </c>
      <c r="D30" s="6" t="s">
        <v>371</v>
      </c>
      <c r="E30" s="6" t="str">
        <f>"0,6734"</f>
        <v>0,6734</v>
      </c>
      <c r="F30" s="7" t="s">
        <v>17</v>
      </c>
      <c r="G30" s="7" t="s">
        <v>30</v>
      </c>
      <c r="H30" s="14" t="s">
        <v>20</v>
      </c>
      <c r="I30" s="20" t="s">
        <v>20</v>
      </c>
      <c r="J30" s="20" t="s">
        <v>34</v>
      </c>
      <c r="K30" s="8"/>
      <c r="L30" s="15" t="s">
        <v>478</v>
      </c>
      <c r="M30" s="15" t="str">
        <f>"94,2760"</f>
        <v>94,2760</v>
      </c>
      <c r="N30" s="7" t="s">
        <v>208</v>
      </c>
    </row>
    <row r="31" spans="1:14" ht="12.75">
      <c r="A31" s="15" t="s">
        <v>338</v>
      </c>
      <c r="B31" s="7" t="s">
        <v>368</v>
      </c>
      <c r="C31" s="7" t="s">
        <v>118</v>
      </c>
      <c r="D31" s="6" t="s">
        <v>372</v>
      </c>
      <c r="E31" s="6" t="str">
        <f>"0,6724"</f>
        <v>0,6724</v>
      </c>
      <c r="F31" s="7" t="s">
        <v>23</v>
      </c>
      <c r="G31" s="7" t="s">
        <v>60</v>
      </c>
      <c r="H31" s="20" t="s">
        <v>119</v>
      </c>
      <c r="I31" s="20" t="s">
        <v>20</v>
      </c>
      <c r="J31" s="14" t="s">
        <v>102</v>
      </c>
      <c r="K31" s="8"/>
      <c r="L31" s="15" t="s">
        <v>479</v>
      </c>
      <c r="M31" s="15" t="str">
        <f>"90,7740"</f>
        <v>90,7740</v>
      </c>
      <c r="N31" s="7" t="s">
        <v>87</v>
      </c>
    </row>
    <row r="32" spans="1:14" ht="12.75">
      <c r="A32" s="15" t="s">
        <v>361</v>
      </c>
      <c r="B32" s="7" t="s">
        <v>364</v>
      </c>
      <c r="C32" s="7" t="s">
        <v>111</v>
      </c>
      <c r="D32" s="6" t="s">
        <v>373</v>
      </c>
      <c r="E32" s="6" t="str">
        <f>"0,7106"</f>
        <v>0,7106</v>
      </c>
      <c r="F32" s="7" t="s">
        <v>17</v>
      </c>
      <c r="G32" s="7" t="s">
        <v>30</v>
      </c>
      <c r="H32" s="20" t="s">
        <v>112</v>
      </c>
      <c r="I32" s="18"/>
      <c r="J32" s="18"/>
      <c r="K32" s="8"/>
      <c r="L32" s="15" t="s">
        <v>500</v>
      </c>
      <c r="M32" s="15" t="str">
        <f>"78,1660"</f>
        <v>78,1660</v>
      </c>
      <c r="N32" s="7" t="s">
        <v>208</v>
      </c>
    </row>
    <row r="33" spans="1:14" ht="12.75">
      <c r="A33" s="15"/>
      <c r="B33" s="13" t="s">
        <v>27</v>
      </c>
      <c r="C33" s="7" t="s">
        <v>28</v>
      </c>
      <c r="D33" s="6" t="s">
        <v>324</v>
      </c>
      <c r="E33" s="6" t="str">
        <f>"0,6822"</f>
        <v>0,6822</v>
      </c>
      <c r="F33" s="7" t="s">
        <v>29</v>
      </c>
      <c r="G33" s="7" t="s">
        <v>30</v>
      </c>
      <c r="H33" s="14" t="s">
        <v>19</v>
      </c>
      <c r="I33" s="18"/>
      <c r="J33" s="18"/>
      <c r="K33" s="8"/>
      <c r="L33" s="15" t="s">
        <v>529</v>
      </c>
      <c r="M33" s="15" t="s">
        <v>529</v>
      </c>
      <c r="N33" s="7" t="s">
        <v>87</v>
      </c>
    </row>
    <row r="34" spans="1:14" ht="12.75">
      <c r="A34" s="15" t="s">
        <v>342</v>
      </c>
      <c r="B34" s="7" t="s">
        <v>369</v>
      </c>
      <c r="C34" s="7" t="s">
        <v>120</v>
      </c>
      <c r="D34" s="6" t="s">
        <v>374</v>
      </c>
      <c r="E34" s="6" t="str">
        <f>"0,6832"</f>
        <v>0,6832</v>
      </c>
      <c r="F34" s="7" t="s">
        <v>23</v>
      </c>
      <c r="G34" s="7" t="s">
        <v>30</v>
      </c>
      <c r="H34" s="29" t="s">
        <v>121</v>
      </c>
      <c r="I34" s="29" t="s">
        <v>19</v>
      </c>
      <c r="J34" s="29" t="s">
        <v>34</v>
      </c>
      <c r="K34" s="8"/>
      <c r="L34" s="15" t="s">
        <v>478</v>
      </c>
      <c r="M34" s="15" t="str">
        <f>"96,1262"</f>
        <v>96,1262</v>
      </c>
      <c r="N34" s="7" t="s">
        <v>122</v>
      </c>
    </row>
    <row r="35" spans="2:14" ht="12.75">
      <c r="B35" s="4"/>
      <c r="C35" s="5"/>
      <c r="D35" s="1"/>
      <c r="E35" s="1"/>
      <c r="F35" s="5"/>
      <c r="G35" s="5"/>
      <c r="H35" s="1"/>
      <c r="I35" s="1"/>
      <c r="J35" s="1"/>
      <c r="K35" s="1"/>
      <c r="L35" s="4"/>
      <c r="M35" s="1"/>
      <c r="N35" s="5"/>
    </row>
    <row r="36" spans="2:14" ht="15.75">
      <c r="B36" s="53" t="s">
        <v>32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"/>
    </row>
    <row r="37" spans="1:14" ht="12.75">
      <c r="A37" s="15" t="s">
        <v>342</v>
      </c>
      <c r="B37" s="7" t="s">
        <v>123</v>
      </c>
      <c r="C37" s="7" t="s">
        <v>124</v>
      </c>
      <c r="D37" s="6" t="s">
        <v>378</v>
      </c>
      <c r="E37" s="6" t="str">
        <f>"0,6656"</f>
        <v>0,6656</v>
      </c>
      <c r="F37" s="7" t="s">
        <v>23</v>
      </c>
      <c r="G37" s="7" t="s">
        <v>30</v>
      </c>
      <c r="H37" s="29" t="s">
        <v>125</v>
      </c>
      <c r="I37" s="29" t="s">
        <v>97</v>
      </c>
      <c r="J37" s="14" t="s">
        <v>126</v>
      </c>
      <c r="K37" s="8"/>
      <c r="L37" s="15" t="s">
        <v>502</v>
      </c>
      <c r="M37" s="15" t="str">
        <f>"53,2480"</f>
        <v>53,2480</v>
      </c>
      <c r="N37" s="7" t="s">
        <v>87</v>
      </c>
    </row>
    <row r="38" spans="1:14" ht="12.75">
      <c r="A38" s="15" t="s">
        <v>342</v>
      </c>
      <c r="B38" s="7" t="s">
        <v>376</v>
      </c>
      <c r="C38" s="7" t="s">
        <v>127</v>
      </c>
      <c r="D38" s="6" t="s">
        <v>379</v>
      </c>
      <c r="E38" s="6" t="str">
        <f>"0,6432"</f>
        <v>0,6432</v>
      </c>
      <c r="F38" s="7" t="s">
        <v>23</v>
      </c>
      <c r="G38" s="7" t="s">
        <v>128</v>
      </c>
      <c r="H38" s="29" t="s">
        <v>25</v>
      </c>
      <c r="I38" s="29" t="s">
        <v>129</v>
      </c>
      <c r="J38" s="29" t="s">
        <v>130</v>
      </c>
      <c r="K38" s="8"/>
      <c r="L38" s="15" t="s">
        <v>503</v>
      </c>
      <c r="M38" s="15" t="str">
        <f>"104,5200"</f>
        <v>104,5200</v>
      </c>
      <c r="N38" s="7" t="s">
        <v>87</v>
      </c>
    </row>
    <row r="39" spans="1:14" ht="12.75">
      <c r="A39" s="15" t="s">
        <v>338</v>
      </c>
      <c r="B39" s="7" t="s">
        <v>377</v>
      </c>
      <c r="C39" s="7" t="s">
        <v>131</v>
      </c>
      <c r="D39" s="6" t="s">
        <v>380</v>
      </c>
      <c r="E39" s="6" t="str">
        <f>"0,6562"</f>
        <v>0,6562</v>
      </c>
      <c r="F39" s="7" t="s">
        <v>23</v>
      </c>
      <c r="G39" s="7" t="s">
        <v>60</v>
      </c>
      <c r="H39" s="14" t="s">
        <v>19</v>
      </c>
      <c r="I39" s="29" t="s">
        <v>38</v>
      </c>
      <c r="J39" s="14" t="s">
        <v>34</v>
      </c>
      <c r="K39" s="8"/>
      <c r="L39" s="15" t="s">
        <v>470</v>
      </c>
      <c r="M39" s="15" t="str">
        <f>"86,9465"</f>
        <v>86,9465</v>
      </c>
      <c r="N39" s="7" t="s">
        <v>87</v>
      </c>
    </row>
    <row r="40" spans="1:14" ht="12.75">
      <c r="A40" s="15" t="s">
        <v>361</v>
      </c>
      <c r="B40" s="7" t="s">
        <v>375</v>
      </c>
      <c r="C40" s="7" t="s">
        <v>132</v>
      </c>
      <c r="D40" s="6" t="s">
        <v>381</v>
      </c>
      <c r="E40" s="6" t="str">
        <f>"0,6421"</f>
        <v>0,6421</v>
      </c>
      <c r="F40" s="7" t="s">
        <v>17</v>
      </c>
      <c r="G40" s="7" t="s">
        <v>30</v>
      </c>
      <c r="H40" s="29" t="s">
        <v>121</v>
      </c>
      <c r="I40" s="18"/>
      <c r="J40" s="18"/>
      <c r="K40" s="8"/>
      <c r="L40" s="15" t="s">
        <v>504</v>
      </c>
      <c r="M40" s="15" t="str">
        <f>"77,0520"</f>
        <v>77,0520</v>
      </c>
      <c r="N40" s="7" t="s">
        <v>208</v>
      </c>
    </row>
    <row r="41" spans="2:14" ht="12.75">
      <c r="B41" s="4"/>
      <c r="C41" s="5"/>
      <c r="D41" s="1"/>
      <c r="E41" s="1"/>
      <c r="F41" s="5"/>
      <c r="G41" s="5"/>
      <c r="H41" s="1"/>
      <c r="I41" s="1"/>
      <c r="J41" s="1"/>
      <c r="K41" s="1"/>
      <c r="L41" s="4"/>
      <c r="M41" s="1"/>
      <c r="N41" s="5"/>
    </row>
    <row r="42" spans="2:14" ht="15.75">
      <c r="B42" s="53" t="s">
        <v>46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"/>
    </row>
    <row r="43" spans="1:14" ht="12.75">
      <c r="A43" s="15" t="s">
        <v>342</v>
      </c>
      <c r="B43" s="7" t="s">
        <v>147</v>
      </c>
      <c r="C43" s="7" t="s">
        <v>133</v>
      </c>
      <c r="D43" s="6" t="s">
        <v>386</v>
      </c>
      <c r="E43" s="6" t="str">
        <f>"0,6111"</f>
        <v>0,6111</v>
      </c>
      <c r="F43" s="7" t="s">
        <v>17</v>
      </c>
      <c r="G43" s="7" t="s">
        <v>30</v>
      </c>
      <c r="H43" s="29" t="s">
        <v>34</v>
      </c>
      <c r="I43" s="29" t="s">
        <v>134</v>
      </c>
      <c r="J43" s="29" t="s">
        <v>24</v>
      </c>
      <c r="K43" s="8"/>
      <c r="L43" s="15" t="s">
        <v>493</v>
      </c>
      <c r="M43" s="15" t="str">
        <f>"91,6650"</f>
        <v>91,6650</v>
      </c>
      <c r="N43" s="7" t="s">
        <v>208</v>
      </c>
    </row>
    <row r="44" spans="1:14" ht="12.75">
      <c r="A44" s="15" t="s">
        <v>342</v>
      </c>
      <c r="B44" s="7" t="s">
        <v>383</v>
      </c>
      <c r="C44" s="7" t="s">
        <v>135</v>
      </c>
      <c r="D44" s="6" t="s">
        <v>387</v>
      </c>
      <c r="E44" s="6" t="str">
        <f>"0,6285"</f>
        <v>0,6285</v>
      </c>
      <c r="F44" s="7" t="s">
        <v>17</v>
      </c>
      <c r="G44" s="7" t="s">
        <v>30</v>
      </c>
      <c r="H44" s="29" t="s">
        <v>20</v>
      </c>
      <c r="I44" s="29" t="s">
        <v>34</v>
      </c>
      <c r="J44" s="14" t="s">
        <v>134</v>
      </c>
      <c r="K44" s="8"/>
      <c r="L44" s="15" t="s">
        <v>478</v>
      </c>
      <c r="M44" s="15" t="str">
        <f>"87,9900"</f>
        <v>87,9900</v>
      </c>
      <c r="N44" s="7" t="s">
        <v>208</v>
      </c>
    </row>
    <row r="45" spans="1:14" ht="12.75">
      <c r="A45" s="15" t="s">
        <v>338</v>
      </c>
      <c r="B45" s="7" t="s">
        <v>384</v>
      </c>
      <c r="C45" s="7" t="s">
        <v>136</v>
      </c>
      <c r="D45" s="6" t="s">
        <v>388</v>
      </c>
      <c r="E45" s="6" t="str">
        <f>"0,6131"</f>
        <v>0,6131</v>
      </c>
      <c r="F45" s="7" t="s">
        <v>137</v>
      </c>
      <c r="G45" s="7" t="s">
        <v>30</v>
      </c>
      <c r="H45" s="14" t="s">
        <v>119</v>
      </c>
      <c r="I45" s="29" t="s">
        <v>119</v>
      </c>
      <c r="J45" s="14" t="s">
        <v>34</v>
      </c>
      <c r="K45" s="8"/>
      <c r="L45" s="15" t="s">
        <v>505</v>
      </c>
      <c r="M45" s="15" t="str">
        <f>"78,1702"</f>
        <v>78,1702</v>
      </c>
      <c r="N45" s="7" t="s">
        <v>382</v>
      </c>
    </row>
    <row r="46" spans="1:14" ht="12.75">
      <c r="A46" s="15" t="s">
        <v>342</v>
      </c>
      <c r="B46" s="7" t="s">
        <v>385</v>
      </c>
      <c r="C46" s="7" t="s">
        <v>138</v>
      </c>
      <c r="D46" s="6" t="s">
        <v>178</v>
      </c>
      <c r="E46" s="6" t="str">
        <f>"0,6150"</f>
        <v>0,6150</v>
      </c>
      <c r="F46" s="7" t="s">
        <v>17</v>
      </c>
      <c r="G46" s="7" t="s">
        <v>30</v>
      </c>
      <c r="H46" s="29" t="s">
        <v>24</v>
      </c>
      <c r="I46" s="29" t="s">
        <v>25</v>
      </c>
      <c r="J46" s="14" t="s">
        <v>130</v>
      </c>
      <c r="K46" s="8"/>
      <c r="L46" s="15" t="s">
        <v>490</v>
      </c>
      <c r="M46" s="15" t="str">
        <f>"126,0197"</f>
        <v>126,0197</v>
      </c>
      <c r="N46" s="7" t="s">
        <v>208</v>
      </c>
    </row>
    <row r="47" spans="2:14" ht="12.75">
      <c r="B47" s="4"/>
      <c r="C47" s="5"/>
      <c r="D47" s="1"/>
      <c r="E47" s="1"/>
      <c r="F47" s="5"/>
      <c r="G47" s="5"/>
      <c r="H47" s="1"/>
      <c r="I47" s="1"/>
      <c r="J47" s="1"/>
      <c r="K47" s="1"/>
      <c r="L47" s="4"/>
      <c r="M47" s="1"/>
      <c r="N47" s="5"/>
    </row>
    <row r="48" spans="2:14" ht="15.75">
      <c r="B48" s="53" t="s">
        <v>53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"/>
    </row>
    <row r="49" spans="1:14" ht="12.75">
      <c r="A49" s="15" t="s">
        <v>342</v>
      </c>
      <c r="B49" s="7" t="s">
        <v>389</v>
      </c>
      <c r="C49" s="7" t="s">
        <v>139</v>
      </c>
      <c r="D49" s="6" t="s">
        <v>391</v>
      </c>
      <c r="E49" s="6" t="str">
        <f>"0,5943"</f>
        <v>0,5943</v>
      </c>
      <c r="F49" s="7" t="s">
        <v>137</v>
      </c>
      <c r="G49" s="7" t="s">
        <v>30</v>
      </c>
      <c r="H49" s="29" t="s">
        <v>140</v>
      </c>
      <c r="I49" s="14" t="s">
        <v>141</v>
      </c>
      <c r="J49" s="14" t="s">
        <v>141</v>
      </c>
      <c r="K49" s="8"/>
      <c r="L49" s="15" t="s">
        <v>506</v>
      </c>
      <c r="M49" s="15" t="str">
        <f>"93,3051"</f>
        <v>93,3051</v>
      </c>
      <c r="N49" s="7" t="s">
        <v>382</v>
      </c>
    </row>
    <row r="50" spans="1:14" ht="12.75">
      <c r="A50" s="15" t="s">
        <v>342</v>
      </c>
      <c r="B50" s="7" t="s">
        <v>390</v>
      </c>
      <c r="C50" s="7" t="s">
        <v>142</v>
      </c>
      <c r="D50" s="6" t="s">
        <v>392</v>
      </c>
      <c r="E50" s="6" t="str">
        <f>"0,5994"</f>
        <v>0,5994</v>
      </c>
      <c r="F50" s="7" t="s">
        <v>17</v>
      </c>
      <c r="G50" s="7" t="s">
        <v>30</v>
      </c>
      <c r="H50" s="29" t="s">
        <v>134</v>
      </c>
      <c r="I50" s="29" t="s">
        <v>35</v>
      </c>
      <c r="J50" s="29" t="s">
        <v>143</v>
      </c>
      <c r="K50" s="8"/>
      <c r="L50" s="15" t="s">
        <v>507</v>
      </c>
      <c r="M50" s="15" t="str">
        <f>"95,7272"</f>
        <v>95,7272</v>
      </c>
      <c r="N50" s="7" t="s">
        <v>208</v>
      </c>
    </row>
    <row r="51" spans="2:14" ht="12.75">
      <c r="B51" s="4"/>
      <c r="C51" s="5"/>
      <c r="D51" s="1"/>
      <c r="E51" s="1"/>
      <c r="F51" s="5"/>
      <c r="G51" s="5"/>
      <c r="H51" s="1"/>
      <c r="I51" s="1"/>
      <c r="J51" s="1"/>
      <c r="K51" s="1"/>
      <c r="L51" s="4"/>
      <c r="M51" s="1"/>
      <c r="N51" s="5"/>
    </row>
    <row r="52" spans="2:14" ht="18">
      <c r="B52" s="10" t="s">
        <v>70</v>
      </c>
      <c r="C52" s="25"/>
      <c r="D52" s="1"/>
      <c r="E52" s="1"/>
      <c r="F52" s="5"/>
      <c r="G52" s="5"/>
      <c r="H52" s="1"/>
      <c r="I52" s="1"/>
      <c r="J52" s="1"/>
      <c r="K52" s="1"/>
      <c r="L52" s="4"/>
      <c r="M52" s="1"/>
      <c r="N52" s="5"/>
    </row>
    <row r="53" spans="2:14" ht="13.5">
      <c r="B53" s="11"/>
      <c r="C53" s="26" t="s">
        <v>546</v>
      </c>
      <c r="D53" s="1"/>
      <c r="E53" s="1"/>
      <c r="F53" s="5"/>
      <c r="G53" s="5"/>
      <c r="H53" s="1"/>
      <c r="I53" s="1"/>
      <c r="J53" s="1"/>
      <c r="K53" s="1"/>
      <c r="L53" s="4"/>
      <c r="M53" s="1"/>
      <c r="N53" s="5"/>
    </row>
    <row r="54" spans="2:14" ht="13.5">
      <c r="B54" s="12" t="s">
        <v>71</v>
      </c>
      <c r="C54" s="27" t="s">
        <v>72</v>
      </c>
      <c r="D54" s="12" t="s">
        <v>73</v>
      </c>
      <c r="E54" s="12" t="s">
        <v>74</v>
      </c>
      <c r="F54" s="12" t="s">
        <v>75</v>
      </c>
      <c r="G54" s="5"/>
      <c r="H54" s="1"/>
      <c r="I54" s="1"/>
      <c r="J54" s="1"/>
      <c r="K54" s="1"/>
      <c r="L54" s="4"/>
      <c r="M54" s="1"/>
      <c r="N54" s="5"/>
    </row>
    <row r="55" spans="1:14" ht="12.75">
      <c r="A55" s="22" t="s">
        <v>342</v>
      </c>
      <c r="B55" s="21" t="s">
        <v>148</v>
      </c>
      <c r="C55" s="1" t="s">
        <v>76</v>
      </c>
      <c r="D55" s="22" t="s">
        <v>528</v>
      </c>
      <c r="E55" s="22" t="s">
        <v>102</v>
      </c>
      <c r="F55" s="22" t="s">
        <v>150</v>
      </c>
      <c r="G55" s="5"/>
      <c r="H55" s="1"/>
      <c r="I55" s="1"/>
      <c r="J55" s="1"/>
      <c r="K55" s="1"/>
      <c r="L55" s="4"/>
      <c r="M55" s="1"/>
      <c r="N55" s="5"/>
    </row>
    <row r="56" spans="1:14" ht="12.75">
      <c r="A56" s="22" t="s">
        <v>338</v>
      </c>
      <c r="B56" s="21" t="s">
        <v>151</v>
      </c>
      <c r="C56" s="1" t="s">
        <v>76</v>
      </c>
      <c r="D56" s="22" t="s">
        <v>526</v>
      </c>
      <c r="E56" s="22" t="s">
        <v>130</v>
      </c>
      <c r="F56" s="22" t="s">
        <v>152</v>
      </c>
      <c r="G56" s="5"/>
      <c r="H56" s="1"/>
      <c r="I56" s="1"/>
      <c r="J56" s="1"/>
      <c r="K56" s="1"/>
      <c r="L56" s="4"/>
      <c r="M56" s="1"/>
      <c r="N56" s="5"/>
    </row>
    <row r="57" spans="1:14" ht="12.75">
      <c r="A57" s="22" t="s">
        <v>361</v>
      </c>
      <c r="B57" s="21" t="s">
        <v>153</v>
      </c>
      <c r="C57" s="1" t="s">
        <v>76</v>
      </c>
      <c r="D57" s="22" t="s">
        <v>527</v>
      </c>
      <c r="E57" s="22" t="s">
        <v>20</v>
      </c>
      <c r="F57" s="22" t="s">
        <v>154</v>
      </c>
      <c r="G57" s="5"/>
      <c r="H57" s="1"/>
      <c r="I57" s="1"/>
      <c r="J57" s="1"/>
      <c r="K57" s="1"/>
      <c r="L57" s="4"/>
      <c r="M57" s="1"/>
      <c r="N57" s="5"/>
    </row>
  </sheetData>
  <sheetProtection/>
  <mergeCells count="24">
    <mergeCell ref="A1:N1"/>
    <mergeCell ref="A2:N2"/>
    <mergeCell ref="A3:N3"/>
    <mergeCell ref="B4:B5"/>
    <mergeCell ref="C4:C5"/>
    <mergeCell ref="D4:D5"/>
    <mergeCell ref="E4:E5"/>
    <mergeCell ref="F4:F5"/>
    <mergeCell ref="G4:G5"/>
    <mergeCell ref="H4:K4"/>
    <mergeCell ref="B21:M21"/>
    <mergeCell ref="B28:M28"/>
    <mergeCell ref="B36:M36"/>
    <mergeCell ref="B42:M42"/>
    <mergeCell ref="B48:M48"/>
    <mergeCell ref="M4:M5"/>
    <mergeCell ref="B18:M18"/>
    <mergeCell ref="N4:N5"/>
    <mergeCell ref="B6:M6"/>
    <mergeCell ref="B9:M9"/>
    <mergeCell ref="B12:M12"/>
    <mergeCell ref="B15:M15"/>
    <mergeCell ref="A4:A5"/>
    <mergeCell ref="L4:L5"/>
  </mergeCells>
  <printOptions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workbookViewId="0" topLeftCell="A1">
      <selection activeCell="A34" sqref="A34:A58"/>
    </sheetView>
  </sheetViews>
  <sheetFormatPr defaultColWidth="8.75390625" defaultRowHeight="12.75"/>
  <cols>
    <col min="1" max="1" width="8.875" style="22" customWidth="1"/>
    <col min="2" max="2" width="22.375" style="0" customWidth="1"/>
    <col min="3" max="3" width="25.625" style="28" customWidth="1"/>
    <col min="4" max="5" width="8.75390625" style="0" customWidth="1"/>
    <col min="6" max="6" width="22.75390625" style="0" bestFit="1" customWidth="1"/>
    <col min="7" max="7" width="34.875" style="0" customWidth="1"/>
    <col min="8" max="11" width="8.75390625" style="0" customWidth="1"/>
    <col min="12" max="12" width="11.75390625" style="0" customWidth="1"/>
    <col min="13" max="13" width="8.75390625" style="0" customWidth="1"/>
    <col min="14" max="14" width="26.00390625" style="0" customWidth="1"/>
  </cols>
  <sheetData>
    <row r="1" spans="1:14" ht="12.75">
      <c r="A1" s="23"/>
      <c r="B1" s="40" t="s">
        <v>544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/>
    </row>
    <row r="2" spans="1:14" ht="115.5" customHeight="1" thickBot="1">
      <c r="A2" s="24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5"/>
    </row>
    <row r="3" spans="1:14" ht="13.5" customHeight="1">
      <c r="A3" s="46" t="s">
        <v>445</v>
      </c>
      <c r="B3" s="46" t="s">
        <v>0</v>
      </c>
      <c r="C3" s="67" t="s">
        <v>320</v>
      </c>
      <c r="D3" s="58" t="s">
        <v>321</v>
      </c>
      <c r="E3" s="50" t="s">
        <v>262</v>
      </c>
      <c r="F3" s="50" t="s">
        <v>8</v>
      </c>
      <c r="G3" s="50" t="s">
        <v>531</v>
      </c>
      <c r="H3" s="50" t="s">
        <v>2</v>
      </c>
      <c r="I3" s="50"/>
      <c r="J3" s="50"/>
      <c r="K3" s="50"/>
      <c r="L3" s="50" t="s">
        <v>446</v>
      </c>
      <c r="M3" s="50" t="s">
        <v>7</v>
      </c>
      <c r="N3" s="51" t="s">
        <v>6</v>
      </c>
    </row>
    <row r="4" spans="1:14" ht="29.25" customHeight="1" thickBot="1">
      <c r="A4" s="47"/>
      <c r="B4" s="47"/>
      <c r="C4" s="68"/>
      <c r="D4" s="69"/>
      <c r="E4" s="49"/>
      <c r="F4" s="49"/>
      <c r="G4" s="49"/>
      <c r="H4" s="3">
        <v>1</v>
      </c>
      <c r="I4" s="3">
        <v>2</v>
      </c>
      <c r="J4" s="3">
        <v>3</v>
      </c>
      <c r="K4" s="3" t="s">
        <v>9</v>
      </c>
      <c r="L4" s="49"/>
      <c r="M4" s="49"/>
      <c r="N4" s="52"/>
    </row>
    <row r="5" spans="2:14" ht="15.75">
      <c r="B5" s="60" t="s">
        <v>46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5"/>
    </row>
    <row r="6" spans="1:14" ht="12.75">
      <c r="A6" s="15" t="s">
        <v>342</v>
      </c>
      <c r="B6" s="13" t="s">
        <v>263</v>
      </c>
      <c r="C6" s="7" t="s">
        <v>264</v>
      </c>
      <c r="D6" s="6" t="s">
        <v>418</v>
      </c>
      <c r="E6" s="6" t="str">
        <f>"0,5850"</f>
        <v>0,5850</v>
      </c>
      <c r="F6" s="7" t="s">
        <v>23</v>
      </c>
      <c r="G6" s="7" t="s">
        <v>128</v>
      </c>
      <c r="H6" s="14" t="s">
        <v>49</v>
      </c>
      <c r="I6" s="29" t="s">
        <v>49</v>
      </c>
      <c r="J6" s="14" t="s">
        <v>218</v>
      </c>
      <c r="K6" s="18"/>
      <c r="L6" s="15" t="s">
        <v>474</v>
      </c>
      <c r="M6" s="15" t="str">
        <f>"125,7857"</f>
        <v>125,7857</v>
      </c>
      <c r="N6" s="7" t="s">
        <v>87</v>
      </c>
    </row>
    <row r="7" spans="2:14" ht="12.75">
      <c r="B7" s="4"/>
      <c r="C7" s="5"/>
      <c r="D7" s="1"/>
      <c r="E7" s="1"/>
      <c r="F7" s="5"/>
      <c r="G7" s="5"/>
      <c r="H7" s="1"/>
      <c r="I7" s="1"/>
      <c r="J7" s="1"/>
      <c r="K7" s="1"/>
      <c r="L7" s="4"/>
      <c r="M7" s="1"/>
      <c r="N7" s="5"/>
    </row>
    <row r="8" spans="2:14" ht="15.75">
      <c r="B8" s="53" t="s">
        <v>53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"/>
    </row>
    <row r="9" spans="1:14" ht="12.75">
      <c r="A9" s="15" t="s">
        <v>342</v>
      </c>
      <c r="B9" s="13" t="s">
        <v>265</v>
      </c>
      <c r="C9" s="7" t="s">
        <v>266</v>
      </c>
      <c r="D9" s="6" t="s">
        <v>421</v>
      </c>
      <c r="E9" s="6" t="str">
        <f>"0,5678"</f>
        <v>0,5678</v>
      </c>
      <c r="F9" s="7" t="s">
        <v>23</v>
      </c>
      <c r="G9" s="7" t="s">
        <v>267</v>
      </c>
      <c r="H9" s="29" t="s">
        <v>250</v>
      </c>
      <c r="I9" s="29" t="s">
        <v>165</v>
      </c>
      <c r="J9" s="29" t="s">
        <v>224</v>
      </c>
      <c r="K9" s="18"/>
      <c r="L9" s="15" t="s">
        <v>512</v>
      </c>
      <c r="M9" s="15" t="str">
        <f>"139,1110"</f>
        <v>139,1110</v>
      </c>
      <c r="N9" s="7" t="s">
        <v>268</v>
      </c>
    </row>
    <row r="10" spans="1:14" ht="12.75">
      <c r="A10" s="15" t="s">
        <v>338</v>
      </c>
      <c r="B10" s="13" t="s">
        <v>269</v>
      </c>
      <c r="C10" s="7" t="s">
        <v>270</v>
      </c>
      <c r="D10" s="6" t="s">
        <v>422</v>
      </c>
      <c r="E10" s="6" t="str">
        <f>"0,5681"</f>
        <v>0,5681</v>
      </c>
      <c r="F10" s="7" t="s">
        <v>37</v>
      </c>
      <c r="G10" s="7" t="s">
        <v>30</v>
      </c>
      <c r="H10" s="14" t="s">
        <v>271</v>
      </c>
      <c r="I10" s="29" t="s">
        <v>271</v>
      </c>
      <c r="J10" s="14" t="s">
        <v>165</v>
      </c>
      <c r="K10" s="18"/>
      <c r="L10" s="15" t="s">
        <v>465</v>
      </c>
      <c r="M10" s="15" t="str">
        <f>"123,5617"</f>
        <v>123,5617</v>
      </c>
      <c r="N10" s="7" t="s">
        <v>334</v>
      </c>
    </row>
    <row r="11" spans="2:14" ht="12.75">
      <c r="B11" s="4"/>
      <c r="C11" s="5"/>
      <c r="D11" s="1"/>
      <c r="E11" s="1"/>
      <c r="F11" s="5"/>
      <c r="G11" s="5"/>
      <c r="H11" s="1"/>
      <c r="I11" s="1"/>
      <c r="J11" s="1"/>
      <c r="K11" s="1"/>
      <c r="L11" s="4"/>
      <c r="M11" s="1"/>
      <c r="N11" s="5"/>
    </row>
    <row r="12" spans="2:14" ht="15.75">
      <c r="B12" s="4"/>
      <c r="C12" s="5"/>
      <c r="D12" s="1"/>
      <c r="E12" s="1"/>
      <c r="F12" s="9"/>
      <c r="G12" s="5"/>
      <c r="H12" s="1"/>
      <c r="I12" s="1"/>
      <c r="J12" s="1"/>
      <c r="K12" s="1"/>
      <c r="L12" s="4"/>
      <c r="M12" s="1"/>
      <c r="N12" s="5"/>
    </row>
    <row r="13" spans="2:14" ht="12.75">
      <c r="B13" s="4"/>
      <c r="C13" s="5"/>
      <c r="D13" s="1"/>
      <c r="E13" s="1"/>
      <c r="F13" s="5"/>
      <c r="G13" s="5"/>
      <c r="H13" s="1"/>
      <c r="I13" s="1"/>
      <c r="J13" s="1"/>
      <c r="K13" s="1"/>
      <c r="L13" s="4"/>
      <c r="M13" s="1"/>
      <c r="N13" s="5"/>
    </row>
    <row r="14" spans="2:14" ht="18">
      <c r="B14" s="10"/>
      <c r="C14" s="25"/>
      <c r="D14" s="1"/>
      <c r="E14" s="1"/>
      <c r="F14" s="5"/>
      <c r="G14" s="5"/>
      <c r="H14" s="1"/>
      <c r="I14" s="1"/>
      <c r="J14" s="1"/>
      <c r="K14" s="1"/>
      <c r="L14" s="4"/>
      <c r="M14" s="1"/>
      <c r="N14" s="5"/>
    </row>
    <row r="15" spans="2:14" ht="13.5">
      <c r="B15" s="11"/>
      <c r="C15" s="26"/>
      <c r="D15" s="1"/>
      <c r="E15" s="1"/>
      <c r="F15" s="5"/>
      <c r="G15" s="5"/>
      <c r="H15" s="1"/>
      <c r="I15" s="1"/>
      <c r="J15" s="1"/>
      <c r="K15" s="1"/>
      <c r="L15" s="4"/>
      <c r="M15" s="1"/>
      <c r="N15" s="5"/>
    </row>
    <row r="16" spans="1:14" ht="13.5">
      <c r="A16" s="4"/>
      <c r="B16" s="2"/>
      <c r="C16" s="39"/>
      <c r="D16" s="2"/>
      <c r="E16" s="2"/>
      <c r="F16" s="2"/>
      <c r="G16" s="5"/>
      <c r="H16" s="1"/>
      <c r="I16" s="1"/>
      <c r="J16" s="1"/>
      <c r="K16" s="1"/>
      <c r="L16" s="4"/>
      <c r="M16" s="1"/>
      <c r="N16" s="5"/>
    </row>
    <row r="17" spans="2:14" ht="12.75">
      <c r="B17" s="21"/>
      <c r="C17" s="5"/>
      <c r="D17" s="22"/>
      <c r="E17" s="22"/>
      <c r="F17" s="22"/>
      <c r="G17" s="5"/>
      <c r="H17" s="1"/>
      <c r="I17" s="1"/>
      <c r="J17" s="1"/>
      <c r="K17" s="1"/>
      <c r="L17" s="4"/>
      <c r="M17" s="1"/>
      <c r="N17" s="5"/>
    </row>
    <row r="18" spans="2:14" ht="12.75">
      <c r="B18" s="21"/>
      <c r="C18" s="5"/>
      <c r="D18" s="22"/>
      <c r="E18" s="22"/>
      <c r="F18" s="22"/>
      <c r="G18" s="5"/>
      <c r="H18" s="1"/>
      <c r="I18" s="1"/>
      <c r="J18" s="1"/>
      <c r="K18" s="1"/>
      <c r="L18" s="4"/>
      <c r="M18" s="1"/>
      <c r="N18" s="5"/>
    </row>
    <row r="19" spans="2:14" ht="12.75">
      <c r="B19" s="21"/>
      <c r="C19" s="5"/>
      <c r="D19" s="22"/>
      <c r="E19" s="22"/>
      <c r="F19" s="22"/>
      <c r="G19" s="5"/>
      <c r="H19" s="1"/>
      <c r="I19" s="1"/>
      <c r="J19" s="1"/>
      <c r="K19" s="1"/>
      <c r="L19" s="4"/>
      <c r="M19" s="1"/>
      <c r="N19" s="5"/>
    </row>
    <row r="26" ht="12.75">
      <c r="G26" t="s">
        <v>545</v>
      </c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</sheetData>
  <sheetProtection/>
  <mergeCells count="14">
    <mergeCell ref="M3:M4"/>
    <mergeCell ref="A3:A4"/>
    <mergeCell ref="N3:N4"/>
    <mergeCell ref="B5:M5"/>
    <mergeCell ref="B8:M8"/>
    <mergeCell ref="B1:N2"/>
    <mergeCell ref="B3:B4"/>
    <mergeCell ref="C3:C4"/>
    <mergeCell ref="D3:D4"/>
    <mergeCell ref="E3:E4"/>
    <mergeCell ref="F3:F4"/>
    <mergeCell ref="G3:G4"/>
    <mergeCell ref="H3:K3"/>
    <mergeCell ref="L3:L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G38" sqref="G38"/>
    </sheetView>
  </sheetViews>
  <sheetFormatPr defaultColWidth="8.75390625" defaultRowHeight="12.75"/>
  <cols>
    <col min="1" max="1" width="8.875" style="22" customWidth="1"/>
    <col min="2" max="2" width="28.25390625" style="0" bestFit="1" customWidth="1"/>
    <col min="3" max="3" width="26.00390625" style="28" bestFit="1" customWidth="1"/>
    <col min="4" max="5" width="8.75390625" style="0" customWidth="1"/>
    <col min="6" max="6" width="17.25390625" style="0" customWidth="1"/>
    <col min="7" max="7" width="34.625" style="0" bestFit="1" customWidth="1"/>
    <col min="8" max="11" width="8.75390625" style="0" customWidth="1"/>
    <col min="12" max="12" width="12.25390625" style="0" customWidth="1"/>
    <col min="13" max="13" width="8.75390625" style="0" customWidth="1"/>
    <col min="14" max="14" width="15.125" style="0" customWidth="1"/>
  </cols>
  <sheetData>
    <row r="1" spans="1:14" ht="12.75">
      <c r="A1" s="23"/>
      <c r="B1" s="57" t="s">
        <v>547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75" customHeight="1" thickBot="1">
      <c r="A2" s="2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3.5" customHeight="1">
      <c r="A3" s="46" t="s">
        <v>445</v>
      </c>
      <c r="B3" s="46" t="s">
        <v>0</v>
      </c>
      <c r="C3" s="67" t="s">
        <v>320</v>
      </c>
      <c r="D3" s="58" t="s">
        <v>321</v>
      </c>
      <c r="E3" s="50" t="s">
        <v>262</v>
      </c>
      <c r="F3" s="50" t="s">
        <v>8</v>
      </c>
      <c r="G3" s="50" t="s">
        <v>531</v>
      </c>
      <c r="H3" s="50" t="s">
        <v>2</v>
      </c>
      <c r="I3" s="50"/>
      <c r="J3" s="50"/>
      <c r="K3" s="50"/>
      <c r="L3" s="50" t="s">
        <v>446</v>
      </c>
      <c r="M3" s="50" t="s">
        <v>7</v>
      </c>
      <c r="N3" s="51" t="s">
        <v>6</v>
      </c>
    </row>
    <row r="4" spans="1:14" ht="15" customHeight="1" thickBot="1">
      <c r="A4" s="47"/>
      <c r="B4" s="47"/>
      <c r="C4" s="68"/>
      <c r="D4" s="69"/>
      <c r="E4" s="49"/>
      <c r="F4" s="49"/>
      <c r="G4" s="49"/>
      <c r="H4" s="3">
        <v>1</v>
      </c>
      <c r="I4" s="3">
        <v>2</v>
      </c>
      <c r="J4" s="3">
        <v>3</v>
      </c>
      <c r="K4" s="3" t="s">
        <v>9</v>
      </c>
      <c r="L4" s="49"/>
      <c r="M4" s="49"/>
      <c r="N4" s="52"/>
    </row>
    <row r="5" spans="2:14" ht="15.75">
      <c r="B5" s="60" t="s">
        <v>92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5"/>
    </row>
    <row r="6" spans="1:14" ht="12.75">
      <c r="A6" s="15" t="s">
        <v>342</v>
      </c>
      <c r="B6" s="13" t="s">
        <v>272</v>
      </c>
      <c r="C6" s="7" t="s">
        <v>273</v>
      </c>
      <c r="D6" s="6" t="s">
        <v>423</v>
      </c>
      <c r="E6" s="6" t="str">
        <f>"1,0669"</f>
        <v>1,0669</v>
      </c>
      <c r="F6" s="7" t="s">
        <v>37</v>
      </c>
      <c r="G6" s="7" t="s">
        <v>30</v>
      </c>
      <c r="H6" s="29" t="s">
        <v>94</v>
      </c>
      <c r="I6" s="14" t="s">
        <v>158</v>
      </c>
      <c r="J6" s="29" t="s">
        <v>158</v>
      </c>
      <c r="K6" s="18"/>
      <c r="L6" s="15" t="s">
        <v>466</v>
      </c>
      <c r="M6" s="15" t="str">
        <f>"66,6813"</f>
        <v>66,6813</v>
      </c>
      <c r="N6" s="7" t="s">
        <v>334</v>
      </c>
    </row>
    <row r="7" spans="1:14" ht="12.75">
      <c r="A7" s="15" t="s">
        <v>338</v>
      </c>
      <c r="B7" s="13" t="s">
        <v>274</v>
      </c>
      <c r="C7" s="7" t="s">
        <v>275</v>
      </c>
      <c r="D7" s="6" t="s">
        <v>424</v>
      </c>
      <c r="E7" s="6" t="str">
        <f>"1,0439"</f>
        <v>1,0439</v>
      </c>
      <c r="F7" s="7" t="s">
        <v>37</v>
      </c>
      <c r="G7" s="7" t="s">
        <v>30</v>
      </c>
      <c r="H7" s="29" t="s">
        <v>95</v>
      </c>
      <c r="I7" s="14" t="s">
        <v>158</v>
      </c>
      <c r="J7" s="14" t="s">
        <v>125</v>
      </c>
      <c r="K7" s="18"/>
      <c r="L7" s="15" t="s">
        <v>497</v>
      </c>
      <c r="M7" s="15" t="str">
        <f>"57,4145"</f>
        <v>57,4145</v>
      </c>
      <c r="N7" s="7" t="s">
        <v>334</v>
      </c>
    </row>
    <row r="8" spans="2:14" ht="12.75">
      <c r="B8" s="4"/>
      <c r="C8" s="5"/>
      <c r="D8" s="1"/>
      <c r="E8" s="1"/>
      <c r="F8" s="5"/>
      <c r="G8" s="5"/>
      <c r="H8" s="1"/>
      <c r="I8" s="1"/>
      <c r="J8" s="1"/>
      <c r="K8" s="1"/>
      <c r="L8" s="4"/>
      <c r="M8" s="1"/>
      <c r="N8" s="5"/>
    </row>
    <row r="9" spans="2:14" ht="15.75">
      <c r="B9" s="53" t="s">
        <v>14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"/>
    </row>
    <row r="10" spans="1:14" ht="12.75">
      <c r="A10" s="15" t="s">
        <v>342</v>
      </c>
      <c r="B10" s="13" t="s">
        <v>276</v>
      </c>
      <c r="C10" s="7" t="s">
        <v>277</v>
      </c>
      <c r="D10" s="6" t="s">
        <v>425</v>
      </c>
      <c r="E10" s="6" t="str">
        <f>"0,8368"</f>
        <v>0,8368</v>
      </c>
      <c r="F10" s="7" t="s">
        <v>37</v>
      </c>
      <c r="G10" s="7" t="s">
        <v>30</v>
      </c>
      <c r="H10" s="29" t="s">
        <v>97</v>
      </c>
      <c r="I10" s="29" t="s">
        <v>173</v>
      </c>
      <c r="J10" s="14" t="s">
        <v>187</v>
      </c>
      <c r="K10" s="8"/>
      <c r="L10" s="15" t="s">
        <v>467</v>
      </c>
      <c r="M10" s="15" t="str">
        <f>"77,4086"</f>
        <v>77,4086</v>
      </c>
      <c r="N10" s="7" t="s">
        <v>334</v>
      </c>
    </row>
    <row r="11" spans="2:14" ht="12.75">
      <c r="B11" s="4"/>
      <c r="C11" s="5"/>
      <c r="D11" s="1"/>
      <c r="E11" s="1"/>
      <c r="F11" s="5"/>
      <c r="G11" s="5"/>
      <c r="H11" s="1"/>
      <c r="I11" s="1"/>
      <c r="J11" s="1"/>
      <c r="K11" s="1"/>
      <c r="L11" s="4"/>
      <c r="M11" s="1"/>
      <c r="N11" s="5"/>
    </row>
    <row r="12" spans="2:14" ht="15.75">
      <c r="B12" s="53" t="s">
        <v>100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"/>
    </row>
    <row r="13" spans="1:14" ht="12.75">
      <c r="A13" s="15" t="s">
        <v>342</v>
      </c>
      <c r="B13" s="13" t="s">
        <v>278</v>
      </c>
      <c r="C13" s="7" t="s">
        <v>279</v>
      </c>
      <c r="D13" s="6" t="s">
        <v>426</v>
      </c>
      <c r="E13" s="6" t="str">
        <f>"0,7590"</f>
        <v>0,7590</v>
      </c>
      <c r="F13" s="7" t="s">
        <v>37</v>
      </c>
      <c r="G13" s="7" t="s">
        <v>30</v>
      </c>
      <c r="H13" s="29" t="s">
        <v>174</v>
      </c>
      <c r="I13" s="29" t="s">
        <v>216</v>
      </c>
      <c r="J13" s="14" t="s">
        <v>110</v>
      </c>
      <c r="K13" s="8"/>
      <c r="L13" s="15" t="s">
        <v>468</v>
      </c>
      <c r="M13" s="15" t="str">
        <f>"81,5925"</f>
        <v>81,5925</v>
      </c>
      <c r="N13" s="7" t="s">
        <v>334</v>
      </c>
    </row>
    <row r="14" spans="2:14" ht="12.75">
      <c r="B14" s="4"/>
      <c r="C14" s="5"/>
      <c r="D14" s="1"/>
      <c r="E14" s="1"/>
      <c r="F14" s="5"/>
      <c r="G14" s="5"/>
      <c r="H14" s="1"/>
      <c r="I14" s="1"/>
      <c r="J14" s="1"/>
      <c r="K14" s="1"/>
      <c r="L14" s="4"/>
      <c r="M14" s="1"/>
      <c r="N14" s="5"/>
    </row>
    <row r="15" spans="2:14" ht="15.75">
      <c r="B15" s="53" t="s">
        <v>32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"/>
    </row>
    <row r="16" spans="1:14" ht="12.75">
      <c r="A16" s="15" t="s">
        <v>342</v>
      </c>
      <c r="B16" s="13" t="s">
        <v>280</v>
      </c>
      <c r="C16" s="7" t="s">
        <v>281</v>
      </c>
      <c r="D16" s="6" t="s">
        <v>427</v>
      </c>
      <c r="E16" s="6" t="str">
        <f>"0,6349"</f>
        <v>0,6349</v>
      </c>
      <c r="F16" s="7" t="s">
        <v>37</v>
      </c>
      <c r="G16" s="7" t="s">
        <v>30</v>
      </c>
      <c r="H16" s="29" t="s">
        <v>34</v>
      </c>
      <c r="I16" s="8"/>
      <c r="J16" s="8"/>
      <c r="K16" s="8"/>
      <c r="L16" s="15" t="s">
        <v>478</v>
      </c>
      <c r="M16" s="15" t="str">
        <f>"88,8930"</f>
        <v>88,8930</v>
      </c>
      <c r="N16" s="7" t="s">
        <v>87</v>
      </c>
    </row>
    <row r="17" spans="2:14" ht="12.75">
      <c r="B17" s="4"/>
      <c r="C17" s="5"/>
      <c r="D17" s="1"/>
      <c r="E17" s="1"/>
      <c r="F17" s="5"/>
      <c r="G17" s="5"/>
      <c r="H17" s="1"/>
      <c r="I17" s="1"/>
      <c r="J17" s="1"/>
      <c r="K17" s="1"/>
      <c r="L17" s="4"/>
      <c r="M17" s="1"/>
      <c r="N17" s="5"/>
    </row>
    <row r="18" spans="2:14" ht="15.75">
      <c r="B18" s="4"/>
      <c r="C18" s="5"/>
      <c r="D18" s="1"/>
      <c r="E18" s="1"/>
      <c r="F18" s="9"/>
      <c r="G18" s="5"/>
      <c r="H18" s="1"/>
      <c r="I18" s="1"/>
      <c r="J18" s="1"/>
      <c r="K18" s="1"/>
      <c r="L18" s="4"/>
      <c r="M18" s="1"/>
      <c r="N18" s="5"/>
    </row>
    <row r="19" spans="2:14" ht="12.75">
      <c r="B19" s="4"/>
      <c r="C19" s="5"/>
      <c r="D19" s="1"/>
      <c r="E19" s="1"/>
      <c r="F19" s="5"/>
      <c r="G19" s="5"/>
      <c r="H19" s="1"/>
      <c r="I19" s="1"/>
      <c r="J19" s="1"/>
      <c r="K19" s="1"/>
      <c r="L19" s="4"/>
      <c r="M19" s="1"/>
      <c r="N19" s="5"/>
    </row>
  </sheetData>
  <sheetProtection/>
  <mergeCells count="16">
    <mergeCell ref="G3:G4"/>
    <mergeCell ref="H3:K3"/>
    <mergeCell ref="L3:L4"/>
    <mergeCell ref="M3:M4"/>
    <mergeCell ref="N3:N4"/>
    <mergeCell ref="B5:M5"/>
    <mergeCell ref="A3:A4"/>
    <mergeCell ref="B9:M9"/>
    <mergeCell ref="B12:M12"/>
    <mergeCell ref="B15:M15"/>
    <mergeCell ref="B1:N2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G37" sqref="G37"/>
    </sheetView>
  </sheetViews>
  <sheetFormatPr defaultColWidth="8.75390625" defaultRowHeight="12.75"/>
  <cols>
    <col min="1" max="1" width="9.125" style="32" customWidth="1"/>
    <col min="2" max="2" width="30.375" style="0" customWidth="1"/>
    <col min="3" max="3" width="26.00390625" style="28" customWidth="1"/>
    <col min="4" max="5" width="8.75390625" style="0" customWidth="1"/>
    <col min="6" max="6" width="22.75390625" style="0" bestFit="1" customWidth="1"/>
    <col min="7" max="7" width="33.625" style="0" customWidth="1"/>
    <col min="8" max="8" width="8.75390625" style="0" customWidth="1"/>
    <col min="9" max="9" width="9.125" style="36" customWidth="1"/>
    <col min="10" max="10" width="11.625" style="0" customWidth="1"/>
    <col min="11" max="11" width="10.00390625" style="0" customWidth="1"/>
    <col min="12" max="12" width="15.75390625" style="0" customWidth="1"/>
  </cols>
  <sheetData>
    <row r="1" spans="1:12" ht="12.75">
      <c r="A1" s="30"/>
      <c r="B1" s="72" t="s">
        <v>551</v>
      </c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111.75" customHeight="1" thickBot="1">
      <c r="A2" s="30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3.5" customHeight="1">
      <c r="A3" s="46" t="s">
        <v>445</v>
      </c>
      <c r="B3" s="46" t="s">
        <v>0</v>
      </c>
      <c r="C3" s="67" t="s">
        <v>320</v>
      </c>
      <c r="D3" s="58" t="s">
        <v>321</v>
      </c>
      <c r="E3" s="50" t="s">
        <v>262</v>
      </c>
      <c r="F3" s="50" t="s">
        <v>8</v>
      </c>
      <c r="G3" s="50" t="s">
        <v>10</v>
      </c>
      <c r="H3" s="50" t="s">
        <v>2</v>
      </c>
      <c r="I3" s="50"/>
      <c r="J3" s="50" t="s">
        <v>446</v>
      </c>
      <c r="K3" s="50" t="s">
        <v>7</v>
      </c>
      <c r="L3" s="51" t="s">
        <v>6</v>
      </c>
    </row>
    <row r="4" spans="1:12" ht="15" thickBot="1">
      <c r="A4" s="47"/>
      <c r="B4" s="47"/>
      <c r="C4" s="68"/>
      <c r="D4" s="69"/>
      <c r="E4" s="49"/>
      <c r="F4" s="49"/>
      <c r="G4" s="49"/>
      <c r="H4" s="3" t="s">
        <v>305</v>
      </c>
      <c r="I4" s="34" t="s">
        <v>306</v>
      </c>
      <c r="J4" s="49"/>
      <c r="K4" s="49"/>
      <c r="L4" s="52"/>
    </row>
    <row r="5" spans="2:12" ht="15.75">
      <c r="B5" s="60" t="s">
        <v>100</v>
      </c>
      <c r="C5" s="61"/>
      <c r="D5" s="61"/>
      <c r="E5" s="61"/>
      <c r="F5" s="61"/>
      <c r="G5" s="61"/>
      <c r="H5" s="61"/>
      <c r="I5" s="61"/>
      <c r="J5" s="61"/>
      <c r="K5" s="61"/>
      <c r="L5" s="5"/>
    </row>
    <row r="6" spans="1:12" ht="12.75">
      <c r="A6" s="15" t="s">
        <v>342</v>
      </c>
      <c r="B6" s="7" t="s">
        <v>438</v>
      </c>
      <c r="C6" s="7" t="s">
        <v>307</v>
      </c>
      <c r="D6" s="6" t="s">
        <v>204</v>
      </c>
      <c r="E6" s="6" t="str">
        <f>"0,8073"</f>
        <v>0,8073</v>
      </c>
      <c r="F6" s="7" t="s">
        <v>23</v>
      </c>
      <c r="G6" s="7" t="s">
        <v>308</v>
      </c>
      <c r="H6" s="15" t="s">
        <v>158</v>
      </c>
      <c r="I6" s="37" t="s">
        <v>532</v>
      </c>
      <c r="J6" s="15" t="s">
        <v>487</v>
      </c>
      <c r="K6" s="15" t="str">
        <f>"1059,5157"</f>
        <v>1059,5157</v>
      </c>
      <c r="L6" s="7" t="s">
        <v>87</v>
      </c>
    </row>
    <row r="7" spans="1:12" ht="12.75">
      <c r="A7" s="33"/>
      <c r="B7" s="4"/>
      <c r="C7" s="5"/>
      <c r="D7" s="1"/>
      <c r="E7" s="1"/>
      <c r="F7" s="5"/>
      <c r="G7" s="5"/>
      <c r="H7" s="1"/>
      <c r="I7" s="35"/>
      <c r="J7" s="4"/>
      <c r="K7" s="1"/>
      <c r="L7" s="5"/>
    </row>
    <row r="8" spans="1:12" ht="15.75">
      <c r="A8" s="33"/>
      <c r="B8" s="53" t="s">
        <v>21</v>
      </c>
      <c r="C8" s="54"/>
      <c r="D8" s="54"/>
      <c r="E8" s="54"/>
      <c r="F8" s="54"/>
      <c r="G8" s="54"/>
      <c r="H8" s="54"/>
      <c r="I8" s="54"/>
      <c r="J8" s="54"/>
      <c r="K8" s="54"/>
      <c r="L8" s="5"/>
    </row>
    <row r="9" spans="1:12" ht="12.75">
      <c r="A9" s="15" t="s">
        <v>342</v>
      </c>
      <c r="B9" s="7" t="s">
        <v>439</v>
      </c>
      <c r="C9" s="7" t="s">
        <v>309</v>
      </c>
      <c r="D9" s="6" t="s">
        <v>443</v>
      </c>
      <c r="E9" s="6" t="str">
        <f>"0,6737"</f>
        <v>0,6737</v>
      </c>
      <c r="F9" s="7" t="s">
        <v>23</v>
      </c>
      <c r="G9" s="7" t="s">
        <v>128</v>
      </c>
      <c r="H9" s="15" t="s">
        <v>310</v>
      </c>
      <c r="I9" s="37" t="s">
        <v>533</v>
      </c>
      <c r="J9" s="15" t="s">
        <v>480</v>
      </c>
      <c r="K9" s="15" t="str">
        <f>"835,3260"</f>
        <v>835,3260</v>
      </c>
      <c r="L9" s="7" t="s">
        <v>311</v>
      </c>
    </row>
    <row r="10" spans="1:12" ht="12.75">
      <c r="A10" s="15" t="s">
        <v>338</v>
      </c>
      <c r="B10" s="13" t="s">
        <v>312</v>
      </c>
      <c r="C10" s="7" t="s">
        <v>313</v>
      </c>
      <c r="D10" s="6" t="s">
        <v>412</v>
      </c>
      <c r="E10" s="6" t="str">
        <f>"0,6503"</f>
        <v>0,6503</v>
      </c>
      <c r="F10" s="7" t="s">
        <v>23</v>
      </c>
      <c r="G10" s="7" t="s">
        <v>30</v>
      </c>
      <c r="H10" s="15" t="s">
        <v>114</v>
      </c>
      <c r="I10" s="37" t="s">
        <v>534</v>
      </c>
      <c r="J10" s="15" t="s">
        <v>481</v>
      </c>
      <c r="K10" s="15" t="str">
        <f>"590,1019"</f>
        <v>590,1019</v>
      </c>
      <c r="L10" s="7" t="s">
        <v>87</v>
      </c>
    </row>
    <row r="11" spans="1:12" ht="12.75">
      <c r="A11" s="33"/>
      <c r="B11" s="4"/>
      <c r="C11" s="5"/>
      <c r="D11" s="1"/>
      <c r="E11" s="1"/>
      <c r="F11" s="5"/>
      <c r="G11" s="5"/>
      <c r="H11" s="1"/>
      <c r="I11" s="35"/>
      <c r="J11" s="4"/>
      <c r="K11" s="1"/>
      <c r="L11" s="5"/>
    </row>
    <row r="12" spans="1:12" ht="15.75">
      <c r="A12" s="33"/>
      <c r="B12" s="53" t="s">
        <v>32</v>
      </c>
      <c r="C12" s="54"/>
      <c r="D12" s="54"/>
      <c r="E12" s="54"/>
      <c r="F12" s="54"/>
      <c r="G12" s="54"/>
      <c r="H12" s="54"/>
      <c r="I12" s="54"/>
      <c r="J12" s="54"/>
      <c r="K12" s="54"/>
      <c r="L12" s="5"/>
    </row>
    <row r="13" spans="1:12" ht="12.75">
      <c r="A13" s="15" t="s">
        <v>342</v>
      </c>
      <c r="B13" s="7" t="s">
        <v>440</v>
      </c>
      <c r="C13" s="7" t="s">
        <v>314</v>
      </c>
      <c r="D13" s="6" t="s">
        <v>326</v>
      </c>
      <c r="E13" s="6" t="str">
        <f>"0,6290"</f>
        <v>0,6290</v>
      </c>
      <c r="F13" s="7" t="s">
        <v>23</v>
      </c>
      <c r="G13" s="7" t="s">
        <v>30</v>
      </c>
      <c r="H13" s="15" t="s">
        <v>115</v>
      </c>
      <c r="I13" s="37" t="s">
        <v>535</v>
      </c>
      <c r="J13" s="15" t="s">
        <v>482</v>
      </c>
      <c r="K13" s="15" t="str">
        <f>"1541,0500"</f>
        <v>1541,0500</v>
      </c>
      <c r="L13" s="7" t="s">
        <v>87</v>
      </c>
    </row>
    <row r="14" spans="1:12" ht="12.75">
      <c r="A14" s="15" t="s">
        <v>338</v>
      </c>
      <c r="B14" s="7" t="s">
        <v>441</v>
      </c>
      <c r="C14" s="7" t="s">
        <v>315</v>
      </c>
      <c r="D14" s="6" t="s">
        <v>444</v>
      </c>
      <c r="E14" s="6" t="str">
        <f>"0,6161"</f>
        <v>0,6161</v>
      </c>
      <c r="F14" s="7" t="s">
        <v>23</v>
      </c>
      <c r="G14" s="7" t="s">
        <v>128</v>
      </c>
      <c r="H14" s="15" t="s">
        <v>99</v>
      </c>
      <c r="I14" s="37" t="s">
        <v>535</v>
      </c>
      <c r="J14" s="15" t="s">
        <v>483</v>
      </c>
      <c r="K14" s="15" t="str">
        <f>"1552,4460"</f>
        <v>1552,4460</v>
      </c>
      <c r="L14" s="7" t="s">
        <v>87</v>
      </c>
    </row>
    <row r="15" spans="1:12" ht="12.75">
      <c r="A15" s="33"/>
      <c r="B15" s="4"/>
      <c r="C15" s="5"/>
      <c r="D15" s="1"/>
      <c r="E15" s="1"/>
      <c r="F15" s="5"/>
      <c r="G15" s="5"/>
      <c r="H15" s="1"/>
      <c r="I15" s="35"/>
      <c r="J15" s="4"/>
      <c r="K15" s="1"/>
      <c r="L15" s="5"/>
    </row>
    <row r="16" spans="1:12" ht="15.75">
      <c r="A16" s="33"/>
      <c r="B16" s="53" t="s">
        <v>46</v>
      </c>
      <c r="C16" s="54"/>
      <c r="D16" s="54"/>
      <c r="E16" s="54"/>
      <c r="F16" s="54"/>
      <c r="G16" s="54"/>
      <c r="H16" s="54"/>
      <c r="I16" s="54"/>
      <c r="J16" s="54"/>
      <c r="K16" s="54"/>
      <c r="L16" s="5"/>
    </row>
    <row r="17" spans="1:12" ht="12.75">
      <c r="A17" s="15" t="s">
        <v>342</v>
      </c>
      <c r="B17" s="7" t="s">
        <v>344</v>
      </c>
      <c r="C17" s="7" t="s">
        <v>51</v>
      </c>
      <c r="D17" s="6" t="s">
        <v>329</v>
      </c>
      <c r="E17" s="6" t="str">
        <f>"0,6050"</f>
        <v>0,6050</v>
      </c>
      <c r="F17" s="7" t="s">
        <v>23</v>
      </c>
      <c r="G17" s="7" t="s">
        <v>30</v>
      </c>
      <c r="H17" s="15" t="s">
        <v>173</v>
      </c>
      <c r="I17" s="37" t="s">
        <v>532</v>
      </c>
      <c r="J17" s="15" t="s">
        <v>484</v>
      </c>
      <c r="K17" s="15" t="str">
        <f>"1175,2125"</f>
        <v>1175,2125</v>
      </c>
      <c r="L17" s="7" t="s">
        <v>87</v>
      </c>
    </row>
    <row r="18" spans="1:12" ht="12.75">
      <c r="A18" s="15" t="s">
        <v>342</v>
      </c>
      <c r="B18" s="7" t="s">
        <v>442</v>
      </c>
      <c r="C18" s="7" t="s">
        <v>316</v>
      </c>
      <c r="D18" s="6" t="s">
        <v>317</v>
      </c>
      <c r="E18" s="6" t="str">
        <f>"0,5947"</f>
        <v>0,5947</v>
      </c>
      <c r="F18" s="7" t="s">
        <v>17</v>
      </c>
      <c r="G18" s="7" t="s">
        <v>30</v>
      </c>
      <c r="H18" s="15" t="s">
        <v>178</v>
      </c>
      <c r="I18" s="37" t="s">
        <v>536</v>
      </c>
      <c r="J18" s="15" t="s">
        <v>485</v>
      </c>
      <c r="K18" s="15" t="str">
        <f>"846,7426"</f>
        <v>846,7426</v>
      </c>
      <c r="L18" s="7" t="s">
        <v>208</v>
      </c>
    </row>
    <row r="19" spans="1:12" ht="12.75">
      <c r="A19" s="33"/>
      <c r="B19" s="4"/>
      <c r="C19" s="5"/>
      <c r="D19" s="1"/>
      <c r="E19" s="1"/>
      <c r="F19" s="5"/>
      <c r="G19" s="5"/>
      <c r="H19" s="1"/>
      <c r="I19" s="35"/>
      <c r="J19" s="4"/>
      <c r="K19" s="1"/>
      <c r="L19" s="5"/>
    </row>
    <row r="20" spans="1:12" ht="15.75">
      <c r="A20" s="33"/>
      <c r="B20" s="53" t="s">
        <v>53</v>
      </c>
      <c r="C20" s="54"/>
      <c r="D20" s="54"/>
      <c r="E20" s="54"/>
      <c r="F20" s="54"/>
      <c r="G20" s="54"/>
      <c r="H20" s="54"/>
      <c r="I20" s="54"/>
      <c r="J20" s="54"/>
      <c r="K20" s="54"/>
      <c r="L20" s="5"/>
    </row>
    <row r="21" spans="1:12" ht="12.75">
      <c r="A21" s="15" t="s">
        <v>342</v>
      </c>
      <c r="B21" s="7" t="s">
        <v>346</v>
      </c>
      <c r="C21" s="7" t="s">
        <v>58</v>
      </c>
      <c r="D21" s="6" t="s">
        <v>331</v>
      </c>
      <c r="E21" s="6" t="str">
        <f>"0,5760"</f>
        <v>0,5760</v>
      </c>
      <c r="F21" s="7" t="s">
        <v>59</v>
      </c>
      <c r="G21" s="7" t="s">
        <v>60</v>
      </c>
      <c r="H21" s="15" t="s">
        <v>179</v>
      </c>
      <c r="I21" s="37" t="s">
        <v>537</v>
      </c>
      <c r="J21" s="15" t="s">
        <v>486</v>
      </c>
      <c r="K21" s="15" t="str">
        <f>"1771,3537"</f>
        <v>1771,3537</v>
      </c>
      <c r="L21" s="7" t="s">
        <v>87</v>
      </c>
    </row>
    <row r="22" spans="2:12" ht="12.75">
      <c r="B22" s="4"/>
      <c r="C22" s="5"/>
      <c r="D22" s="1"/>
      <c r="E22" s="1"/>
      <c r="F22" s="5"/>
      <c r="G22" s="5"/>
      <c r="H22" s="1"/>
      <c r="I22" s="35"/>
      <c r="J22" s="4"/>
      <c r="K22" s="1"/>
      <c r="L22" s="5"/>
    </row>
    <row r="23" spans="2:12" ht="15.75">
      <c r="B23" s="4"/>
      <c r="C23" s="5"/>
      <c r="D23" s="1"/>
      <c r="E23" s="1"/>
      <c r="F23" s="9"/>
      <c r="G23" s="5"/>
      <c r="H23" s="1"/>
      <c r="I23" s="35"/>
      <c r="J23" s="4"/>
      <c r="K23" s="1"/>
      <c r="L23" s="5"/>
    </row>
    <row r="24" spans="2:12" ht="12.75">
      <c r="B24" s="4"/>
      <c r="C24" s="5"/>
      <c r="D24" s="1"/>
      <c r="E24" s="1"/>
      <c r="F24" s="5"/>
      <c r="G24" s="5"/>
      <c r="H24" s="1"/>
      <c r="I24" s="35"/>
      <c r="J24" s="4"/>
      <c r="K24" s="1"/>
      <c r="L24" s="5"/>
    </row>
  </sheetData>
  <sheetProtection/>
  <mergeCells count="17">
    <mergeCell ref="B20:K20"/>
    <mergeCell ref="B1:L2"/>
    <mergeCell ref="B3:B4"/>
    <mergeCell ref="C3:C4"/>
    <mergeCell ref="D3:D4"/>
    <mergeCell ref="E3:E4"/>
    <mergeCell ref="F3:F4"/>
    <mergeCell ref="G3:G4"/>
    <mergeCell ref="H3:I3"/>
    <mergeCell ref="J3:J4"/>
    <mergeCell ref="A3:A4"/>
    <mergeCell ref="L3:L4"/>
    <mergeCell ref="B5:K5"/>
    <mergeCell ref="B8:K8"/>
    <mergeCell ref="B12:K12"/>
    <mergeCell ref="B16:K16"/>
    <mergeCell ref="K3:K4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Сергей Длужневский</cp:lastModifiedBy>
  <cp:lastPrinted>2015-07-16T19:10:53Z</cp:lastPrinted>
  <dcterms:created xsi:type="dcterms:W3CDTF">2002-06-16T13:36:44Z</dcterms:created>
  <dcterms:modified xsi:type="dcterms:W3CDTF">2016-07-11T21:07:33Z</dcterms:modified>
  <cp:category/>
  <cp:version/>
  <cp:contentType/>
  <cp:contentStatus/>
</cp:coreProperties>
</file>