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40" windowHeight="9630" firstSheet="10" activeTab="11"/>
  </bookViews>
  <sheets>
    <sheet name="Присед в бинтах ДК" sheetId="1" r:id="rId1"/>
    <sheet name="Становая тяга без экипировки ДК" sheetId="2" r:id="rId2"/>
    <sheet name="Становая тяга без экипировки" sheetId="3" r:id="rId3"/>
    <sheet name="Пауэрлифтинг в бинтах ДК" sheetId="4" r:id="rId4"/>
    <sheet name="Пауэрлифтинг в бинтах" sheetId="5" r:id="rId5"/>
    <sheet name="Паурлифтинг без экипировки ДК" sheetId="6" r:id="rId6"/>
    <sheet name="Пауэрлифтинг без экипировки" sheetId="7" r:id="rId7"/>
    <sheet name="Жим лежа в однослое ДК" sheetId="8" r:id="rId8"/>
    <sheet name="Жим лежа без экипировки ДК" sheetId="9" r:id="rId9"/>
    <sheet name="Жим лежа без экипировки" sheetId="10" r:id="rId10"/>
    <sheet name="Народный жим 1 вес ДК" sheetId="11" r:id="rId11"/>
    <sheet name="Народный жим 1_2 веса ДК" sheetId="12" r:id="rId12"/>
    <sheet name="Народный жим 1 вес" sheetId="13" r:id="rId13"/>
    <sheet name="Народный жим 1_2 веса" sheetId="14" r:id="rId14"/>
  </sheets>
  <definedNames/>
  <calcPr fullCalcOnLoad="1" refMode="R1C1"/>
</workbook>
</file>

<file path=xl/sharedStrings.xml><?xml version="1.0" encoding="utf-8"?>
<sst xmlns="http://schemas.openxmlformats.org/spreadsheetml/2006/main" count="1383" uniqueCount="465">
  <si>
    <t>ФИО</t>
  </si>
  <si>
    <t>Присед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</si>
  <si>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</si>
  <si>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</si>
  <si>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</si>
  <si>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</si>
  <si>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</si>
  <si>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</si>
  <si>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</si>
  <si>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Wilks</t>
  </si>
  <si>
    <t>ВЕСОВАЯ КАТЕГОРИЯ   67.5</t>
  </si>
  <si>
    <t>Осипов Владимир</t>
  </si>
  <si>
    <t>Open (27.10.1985)/30</t>
  </si>
  <si>
    <t xml:space="preserve">Лично </t>
  </si>
  <si>
    <t xml:space="preserve">Няндома/Архангельская область </t>
  </si>
  <si>
    <t>142,5</t>
  </si>
  <si>
    <t>ВЕСОВАЯ КАТЕГОРИЯ   75</t>
  </si>
  <si>
    <t>Борисов Александр</t>
  </si>
  <si>
    <t>Open (16.12.1989)/26</t>
  </si>
  <si>
    <t xml:space="preserve">Череповец/Вологодская область </t>
  </si>
  <si>
    <t>135,0</t>
  </si>
  <si>
    <t>135.00</t>
  </si>
  <si>
    <t xml:space="preserve">Самостоятельно </t>
  </si>
  <si>
    <t>ВЕСОВАЯ КАТЕГОРИЯ   82.5</t>
  </si>
  <si>
    <t>Загорский Никита</t>
  </si>
  <si>
    <t>Teenage 15-19 (03.07.1998)/17</t>
  </si>
  <si>
    <t xml:space="preserve">Ярославль/Ярославская область </t>
  </si>
  <si>
    <t>110,0</t>
  </si>
  <si>
    <t>115,0</t>
  </si>
  <si>
    <t>117,5</t>
  </si>
  <si>
    <t>115.00</t>
  </si>
  <si>
    <t>Кузьмичёв Максим</t>
  </si>
  <si>
    <t>Juniors 20-23 (10.07.1993)/22</t>
  </si>
  <si>
    <t xml:space="preserve">Ростов/Ярославская область </t>
  </si>
  <si>
    <t>130,0</t>
  </si>
  <si>
    <t>Моисеев Никита</t>
  </si>
  <si>
    <t>Open (08.12.1985)/30</t>
  </si>
  <si>
    <t xml:space="preserve">Иваново/Ивановская область </t>
  </si>
  <si>
    <t>147,5</t>
  </si>
  <si>
    <t>147.50</t>
  </si>
  <si>
    <t>ВЕСОВАЯ КАТЕГОРИЯ   90</t>
  </si>
  <si>
    <t>Роткин Станислав</t>
  </si>
  <si>
    <t>Juniors 20-23 (07.07.1993)/22</t>
  </si>
  <si>
    <t>152,5</t>
  </si>
  <si>
    <t>160,0</t>
  </si>
  <si>
    <t>165,0</t>
  </si>
  <si>
    <t>160.00</t>
  </si>
  <si>
    <t>Григорьев Константин</t>
  </si>
  <si>
    <t>Open (24.09.1987)/28</t>
  </si>
  <si>
    <t>167,5</t>
  </si>
  <si>
    <t>170,0</t>
  </si>
  <si>
    <t>167.50</t>
  </si>
  <si>
    <t>Кобылянский Алексей</t>
  </si>
  <si>
    <t>Open (14.08.1977)/38</t>
  </si>
  <si>
    <t xml:space="preserve">Сочи </t>
  </si>
  <si>
    <t xml:space="preserve">Нижний Новгород/Нижегородская область </t>
  </si>
  <si>
    <t>100,0</t>
  </si>
  <si>
    <t>100.00</t>
  </si>
  <si>
    <t>Садовников Александр</t>
  </si>
  <si>
    <t>Open (02.05.1983)/32</t>
  </si>
  <si>
    <t>80,0</t>
  </si>
  <si>
    <t>90,0</t>
  </si>
  <si>
    <t>80.00</t>
  </si>
  <si>
    <t>ВЕСОВАЯ КАТЕГОРИЯ   110</t>
  </si>
  <si>
    <t>Арефьев Илья</t>
  </si>
  <si>
    <t>Juniors 20-23 (16.01.1995)/21</t>
  </si>
  <si>
    <t xml:space="preserve">Юрьев-Польский/Владимирская об </t>
  </si>
  <si>
    <t>175,0</t>
  </si>
  <si>
    <t>Пяшкура денис</t>
  </si>
  <si>
    <t>Juniors 20-23 (25.11.1992)/23</t>
  </si>
  <si>
    <t>125,0</t>
  </si>
  <si>
    <t>Соловьев Иван</t>
  </si>
  <si>
    <t>Open (15.01.1984)/32</t>
  </si>
  <si>
    <t xml:space="preserve">Рыбинск/Ярославская область </t>
  </si>
  <si>
    <t>230,0</t>
  </si>
  <si>
    <t>230.00</t>
  </si>
  <si>
    <t>Кузьмин Дмитрий</t>
  </si>
  <si>
    <t>Open (05.10.1984)/31</t>
  </si>
  <si>
    <t xml:space="preserve">Кострома </t>
  </si>
  <si>
    <t xml:space="preserve">Кострома/Костромская область </t>
  </si>
  <si>
    <t>180,0</t>
  </si>
  <si>
    <t>170.00</t>
  </si>
  <si>
    <t>ВЕСОВАЯ КАТЕГОРИЯ   125</t>
  </si>
  <si>
    <t>Палилов Иван</t>
  </si>
  <si>
    <t>Open (14.11.1976)/39</t>
  </si>
  <si>
    <t>215,0</t>
  </si>
  <si>
    <t>225,0</t>
  </si>
  <si>
    <t>225.00</t>
  </si>
  <si>
    <t>Авдулов Евгений</t>
  </si>
  <si>
    <t>Open (04.11.1983)/32</t>
  </si>
  <si>
    <t xml:space="preserve">Суздаль/Владимирская область </t>
  </si>
  <si>
    <t>185,0</t>
  </si>
  <si>
    <t>190,0</t>
  </si>
  <si>
    <t>190.00</t>
  </si>
  <si>
    <t>ВЕСОВАЯ КАТЕГОРИЯ   140</t>
  </si>
  <si>
    <t>Уткин Валерий</t>
  </si>
  <si>
    <t>Open (11.01.1977)/39</t>
  </si>
  <si>
    <t>205,0</t>
  </si>
  <si>
    <t>210,0</t>
  </si>
  <si>
    <t>205.00</t>
  </si>
  <si>
    <t xml:space="preserve">Абсолютный зачёт </t>
  </si>
  <si>
    <t xml:space="preserve">Мужчины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</si>
  <si>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</si>
  <si>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</si>
  <si>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</si>
  <si>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</si>
  <si>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</si>
  <si>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 xml:space="preserve">Юниоры </t>
  </si>
  <si>
    <t xml:space="preserve">Юниоры 20 - 23 </t>
  </si>
  <si>
    <t>103,0400</t>
  </si>
  <si>
    <t>99,6960</t>
  </si>
  <si>
    <t>93,6765</t>
  </si>
  <si>
    <t xml:space="preserve">Открытая </t>
  </si>
  <si>
    <t>135,7000</t>
  </si>
  <si>
    <t>128,8800</t>
  </si>
  <si>
    <t>115,0050</t>
  </si>
  <si>
    <t>ВЕСОВАЯ КАТЕГОРИЯ   60</t>
  </si>
  <si>
    <t>Лученецкая Елена</t>
  </si>
  <si>
    <t>Open (18.02.1978)/38</t>
  </si>
  <si>
    <t>65,0</t>
  </si>
  <si>
    <t>Каморина Юлия</t>
  </si>
  <si>
    <t>Open (02.03.1987)/28</t>
  </si>
  <si>
    <t>70,0</t>
  </si>
  <si>
    <t>72,5</t>
  </si>
  <si>
    <t>75,0</t>
  </si>
  <si>
    <t xml:space="preserve">Емелин А. </t>
  </si>
  <si>
    <t>Меркулов Андрей</t>
  </si>
  <si>
    <t>Juniors 20-23 (02.03.1992)/23</t>
  </si>
  <si>
    <t xml:space="preserve">Лобня/Московская область </t>
  </si>
  <si>
    <t>Бураков Михаил</t>
  </si>
  <si>
    <t>Juniors 20-23 (06.04.1993)/22</t>
  </si>
  <si>
    <t xml:space="preserve">Айрон Прайд </t>
  </si>
  <si>
    <t>Соков Денис</t>
  </si>
  <si>
    <t>Open (06.12.1985)/30</t>
  </si>
  <si>
    <t>155,0</t>
  </si>
  <si>
    <t>Литченков Евгений</t>
  </si>
  <si>
    <t>Open (29.03.1982)/33</t>
  </si>
  <si>
    <t>145,0</t>
  </si>
  <si>
    <t>150,0</t>
  </si>
  <si>
    <t>Минасян Артур</t>
  </si>
  <si>
    <t>Open (09.02.1988)/28</t>
  </si>
  <si>
    <t>Open (07.10.1987)/28</t>
  </si>
  <si>
    <t>137,5</t>
  </si>
  <si>
    <t>Сергеев Максим</t>
  </si>
  <si>
    <t>Open (08.04.1988)/27</t>
  </si>
  <si>
    <t>127,5</t>
  </si>
  <si>
    <t>Сапетко Александр</t>
  </si>
  <si>
    <t>Open (20.08.1977)/38</t>
  </si>
  <si>
    <t xml:space="preserve">Ухта/Коми </t>
  </si>
  <si>
    <t>132,5</t>
  </si>
  <si>
    <t>Стрельцов Кирилл</t>
  </si>
  <si>
    <t>Open (20.02.1987)/29</t>
  </si>
  <si>
    <t>120,0</t>
  </si>
  <si>
    <t>Старостенко Роман</t>
  </si>
  <si>
    <t>Masters 40-44 (06.07.1973)/42</t>
  </si>
  <si>
    <t xml:space="preserve">Комсомольск/Ивановская область </t>
  </si>
  <si>
    <t>157,5</t>
  </si>
  <si>
    <t>ВЕСОВАЯ КАТЕГОРИЯ   100</t>
  </si>
  <si>
    <t>Варивода Дмитрий</t>
  </si>
  <si>
    <t>Juniors 20-23 (18.12.1994)/21</t>
  </si>
  <si>
    <t>162,5</t>
  </si>
  <si>
    <t>Гордиенко Сергей</t>
  </si>
  <si>
    <t>Juniors 20-23 (28.12.1993)/22</t>
  </si>
  <si>
    <t xml:space="preserve">Владимир/Владимирская область </t>
  </si>
  <si>
    <t>140,0</t>
  </si>
  <si>
    <t>Черноситов Юлий</t>
  </si>
  <si>
    <t>Open (30.11.1979)/36</t>
  </si>
  <si>
    <t xml:space="preserve">Тутаев/Ярославская область </t>
  </si>
  <si>
    <t>Open (18.12.1994)/21</t>
  </si>
  <si>
    <t>Михайлюк Игорь</t>
  </si>
  <si>
    <t>Open (26.01.1986)/30</t>
  </si>
  <si>
    <t>Трошин Роман</t>
  </si>
  <si>
    <t>Open (01.05.1982)/33</t>
  </si>
  <si>
    <t>122,5</t>
  </si>
  <si>
    <t>Колосов Александр</t>
  </si>
  <si>
    <t>Open (06.05.1983)/32</t>
  </si>
  <si>
    <t>200,0</t>
  </si>
  <si>
    <t>Смекалов Максим</t>
  </si>
  <si>
    <t>Open (05.05.1986)/29</t>
  </si>
  <si>
    <t>Срослов Евгений</t>
  </si>
  <si>
    <t>Open (15.07.1978)/37</t>
  </si>
  <si>
    <t xml:space="preserve">Яролавль/Ярославская </t>
  </si>
  <si>
    <t>Сухан Артём</t>
  </si>
  <si>
    <t>Open (16.07.1991)/24</t>
  </si>
  <si>
    <t>Лазарев Александр</t>
  </si>
  <si>
    <t>Open (13.06.1986)/29</t>
  </si>
  <si>
    <t>94,2450</t>
  </si>
  <si>
    <t>89,8250</t>
  </si>
  <si>
    <t>85,6240</t>
  </si>
  <si>
    <t>118,9600</t>
  </si>
  <si>
    <t>118,0200</t>
  </si>
  <si>
    <t>111,4915</t>
  </si>
  <si>
    <t>Павлов Александр</t>
  </si>
  <si>
    <t>Open (05.02.1992)/24</t>
  </si>
  <si>
    <t xml:space="preserve">Камешково/Владимирская область </t>
  </si>
  <si>
    <t>240,0</t>
  </si>
  <si>
    <t>255,0</t>
  </si>
  <si>
    <t>Коченюк Артем</t>
  </si>
  <si>
    <t>Open (04.03.1989)/26</t>
  </si>
  <si>
    <t xml:space="preserve">СК Русь </t>
  </si>
  <si>
    <t xml:space="preserve">Тула/Тульская область </t>
  </si>
  <si>
    <t>202,5</t>
  </si>
  <si>
    <t>Александров Иван</t>
  </si>
  <si>
    <t>Open (12.06.1990)/25</t>
  </si>
  <si>
    <t xml:space="preserve">Буй/Костромская область </t>
  </si>
  <si>
    <t>220,0</t>
  </si>
  <si>
    <t>235,0</t>
  </si>
  <si>
    <t>Хитров Сергей</t>
  </si>
  <si>
    <t>Open (01.10.1979)/36</t>
  </si>
  <si>
    <t>172,5</t>
  </si>
  <si>
    <t>250,0</t>
  </si>
  <si>
    <t>300,0</t>
  </si>
  <si>
    <t>310,0</t>
  </si>
  <si>
    <t>320,0</t>
  </si>
  <si>
    <t>Филатов Василий</t>
  </si>
  <si>
    <t>Open (24.02.1989)/27</t>
  </si>
  <si>
    <t>195,0</t>
  </si>
  <si>
    <t>Чернышов Владимир</t>
  </si>
  <si>
    <t>Masters 65-69 (06.09.1948)/67</t>
  </si>
  <si>
    <t xml:space="preserve">Липецк/Липецкая область </t>
  </si>
  <si>
    <t>850,0</t>
  </si>
  <si>
    <t>501,5000</t>
  </si>
  <si>
    <t>567,5</t>
  </si>
  <si>
    <t>408,9973</t>
  </si>
  <si>
    <t>607,5</t>
  </si>
  <si>
    <t>407,2680</t>
  </si>
  <si>
    <t>670,0</t>
  </si>
  <si>
    <t>595,0</t>
  </si>
  <si>
    <t>600,0</t>
  </si>
  <si>
    <t>Боброва Татьяна</t>
  </si>
  <si>
    <t>Open (08.10.1987)/28</t>
  </si>
  <si>
    <t xml:space="preserve">Олимпийская точка </t>
  </si>
  <si>
    <t>60,0</t>
  </si>
  <si>
    <t>30,0</t>
  </si>
  <si>
    <t>35,0</t>
  </si>
  <si>
    <t>37,5</t>
  </si>
  <si>
    <t>Кафаш Михаил</t>
  </si>
  <si>
    <t>Juniors 20-23 (25.02.1996)/20</t>
  </si>
  <si>
    <t xml:space="preserve">Пушкино/Московская область </t>
  </si>
  <si>
    <t>107,5</t>
  </si>
  <si>
    <t>112,5</t>
  </si>
  <si>
    <t>Юдин Григорий</t>
  </si>
  <si>
    <t>Open (06.06.1985)/30</t>
  </si>
  <si>
    <t>Латышев Артём</t>
  </si>
  <si>
    <t>Open (05.01.1981)/35</t>
  </si>
  <si>
    <t>Бурдаков Сергей</t>
  </si>
  <si>
    <t>Open (02.07.1979)/36</t>
  </si>
  <si>
    <t xml:space="preserve">Фиджин </t>
  </si>
  <si>
    <t>95,0</t>
  </si>
  <si>
    <t>Губанов Юрий</t>
  </si>
  <si>
    <t>Open (06.03.1987)/28</t>
  </si>
  <si>
    <t>212,5</t>
  </si>
  <si>
    <t>262,5</t>
  </si>
  <si>
    <t xml:space="preserve">Колесов З. </t>
  </si>
  <si>
    <t>635,0</t>
  </si>
  <si>
    <t>406,5270</t>
  </si>
  <si>
    <t>520,0</t>
  </si>
  <si>
    <t>351,7280</t>
  </si>
  <si>
    <t>430,0</t>
  </si>
  <si>
    <t>289,1320</t>
  </si>
  <si>
    <t>207,5</t>
  </si>
  <si>
    <t>Нестеров Иван</t>
  </si>
  <si>
    <t>Juniors 20-23 (03.04.1992)/23</t>
  </si>
  <si>
    <t xml:space="preserve">Вологда/Вологодская область </t>
  </si>
  <si>
    <t>Якушевич Алексей</t>
  </si>
  <si>
    <t>Open (02.07.1991)/24</t>
  </si>
  <si>
    <t>260,0</t>
  </si>
  <si>
    <t>272,5</t>
  </si>
  <si>
    <t>280,0</t>
  </si>
  <si>
    <t>302,5</t>
  </si>
  <si>
    <t>Креков Иван</t>
  </si>
  <si>
    <t>Teenage 15-19 (10.01.1999)/17</t>
  </si>
  <si>
    <t>105,0</t>
  </si>
  <si>
    <t>82,5</t>
  </si>
  <si>
    <t>315,0</t>
  </si>
  <si>
    <t>265,0</t>
  </si>
  <si>
    <t>Шеховцев Дмитрий</t>
  </si>
  <si>
    <t>Teenage 15-19 (05.09.1997)/18</t>
  </si>
  <si>
    <t xml:space="preserve">Ожерелье/Московская область </t>
  </si>
  <si>
    <t>252,5</t>
  </si>
  <si>
    <t>Воронов Владимир</t>
  </si>
  <si>
    <t>Open (18.11.1990)/25</t>
  </si>
  <si>
    <t>182,5</t>
  </si>
  <si>
    <t>Кошелев Павел</t>
  </si>
  <si>
    <t>Open (11.11.1986)/29</t>
  </si>
  <si>
    <t>Пименов Даниил</t>
  </si>
  <si>
    <t>Teenage 15-19 (22.05.1998)/17</t>
  </si>
  <si>
    <t>Место</t>
  </si>
  <si>
    <t>Весовая категория               Дата рождения/возраст</t>
  </si>
  <si>
    <t>Собств. вес</t>
  </si>
  <si>
    <t>Gloss</t>
  </si>
  <si>
    <t>Город/ область</t>
  </si>
  <si>
    <t>Результат</t>
  </si>
  <si>
    <t>Рек.</t>
  </si>
  <si>
    <t>1</t>
  </si>
  <si>
    <t>2</t>
  </si>
  <si>
    <t>3</t>
  </si>
  <si>
    <t>0</t>
  </si>
  <si>
    <t xml:space="preserve">Григорьев К. </t>
  </si>
  <si>
    <t xml:space="preserve">90,0 </t>
  </si>
  <si>
    <t xml:space="preserve">110,0 </t>
  </si>
  <si>
    <t xml:space="preserve">82,5 </t>
  </si>
  <si>
    <t xml:space="preserve">125,0 </t>
  </si>
  <si>
    <t xml:space="preserve">140,0 </t>
  </si>
  <si>
    <t>Москва/Московская область</t>
  </si>
  <si>
    <t>Зайцев О.</t>
  </si>
  <si>
    <t>Корнеев А.</t>
  </si>
  <si>
    <t xml:space="preserve">Самостоятелно </t>
  </si>
  <si>
    <t xml:space="preserve">Курицин М. </t>
  </si>
  <si>
    <t>Емелин А.</t>
  </si>
  <si>
    <t>Открытый мастерский турнир "Кубок Ярослава Мудрого" IPL                                   Жим лежа в однослойной экипировке ДК
Ярославль, 27 - 28 февраля 2016 г.</t>
  </si>
  <si>
    <t>Открытый мастерский турнир "Кубок Ярослава Мудрого" IPL                                                         Жим лежа без экипировки ДК
Ярославль, 27 - 28 февраля 2016 г.</t>
  </si>
  <si>
    <t xml:space="preserve">            Открытый мастерский турнир "Кубок Ярослава Мудрого" IPL                                            Жим лежа без экипировки
Ярославль, 27 - 28 февраля 2016 г.</t>
  </si>
  <si>
    <t>109,9</t>
  </si>
  <si>
    <t>59,3</t>
  </si>
  <si>
    <t>65,2</t>
  </si>
  <si>
    <t>66,7</t>
  </si>
  <si>
    <t>74,1</t>
  </si>
  <si>
    <t>74,0</t>
  </si>
  <si>
    <t>74,2</t>
  </si>
  <si>
    <t>74,9</t>
  </si>
  <si>
    <t>80,6</t>
  </si>
  <si>
    <t>81,1</t>
  </si>
  <si>
    <t>88,9</t>
  </si>
  <si>
    <t>89,5</t>
  </si>
  <si>
    <t>89,7</t>
  </si>
  <si>
    <t>96,4</t>
  </si>
  <si>
    <t>98,8</t>
  </si>
  <si>
    <t>93,5</t>
  </si>
  <si>
    <t>94,9</t>
  </si>
  <si>
    <t>96,0</t>
  </si>
  <si>
    <t>106,4</t>
  </si>
  <si>
    <t>102,5</t>
  </si>
  <si>
    <t>118,2</t>
  </si>
  <si>
    <t xml:space="preserve">Лебедев М. </t>
  </si>
  <si>
    <t>Открытый мастерский турнир "Кубок Ярослава Мудрого" IPL                                                 Пауэрлифтинг без экипировки
Ярославль, 27 - 28 февраля 2016 г.</t>
  </si>
  <si>
    <t xml:space="preserve">75,0 </t>
  </si>
  <si>
    <t>73,8</t>
  </si>
  <si>
    <t>82,4</t>
  </si>
  <si>
    <t>79,5</t>
  </si>
  <si>
    <t>86,6</t>
  </si>
  <si>
    <t>109,1</t>
  </si>
  <si>
    <t>105,1</t>
  </si>
  <si>
    <t>57,8</t>
  </si>
  <si>
    <t>81,2</t>
  </si>
  <si>
    <t>82,0</t>
  </si>
  <si>
    <t>78,4</t>
  </si>
  <si>
    <t>Открытый мастерский турнир "Кубок Ярослава Мудрого" IPL                                                          Пауэрлифтинг без экипировки ДК
Ярославль, 27 - 28 февраля 2016 г.</t>
  </si>
  <si>
    <t>Юдин Г.</t>
  </si>
  <si>
    <t xml:space="preserve">Гончаров В. </t>
  </si>
  <si>
    <t>Открытый мастерский турнир "Кубок Ярослава Мудрого" IPL                                                                       Пауэрлифтинг в бинтах
Ярославль, 27 - 28 февраля 2016 г.</t>
  </si>
  <si>
    <t>71,8</t>
  </si>
  <si>
    <t>88,5</t>
  </si>
  <si>
    <t>94,0</t>
  </si>
  <si>
    <t>Длужневский С.</t>
  </si>
  <si>
    <t>Открытый мастерский турнир "Кубок Ярослава Мудрого" IPL                                                                 Пауэрлифтинг в бинтах ДК
Ярославль, 27 - 28 февраля 2016 г.</t>
  </si>
  <si>
    <t>64,9</t>
  </si>
  <si>
    <t>Открытый мастерский турнир "Кубок Ярослава Мудрого" IPL                                                        Становая тяга без экипировки
Ярославль, 27 - 28 февраля 2016 г.</t>
  </si>
  <si>
    <t>107,6</t>
  </si>
  <si>
    <t>Открытый мастерский турнир "Кубок Ярослава Мудрого" IPL                                               Становая тяга без экипировки ДК
Ярославль, 27 - 28 февраля 2016 г.</t>
  </si>
  <si>
    <t>69,8</t>
  </si>
  <si>
    <t>69,7</t>
  </si>
  <si>
    <t>98,3</t>
  </si>
  <si>
    <t>Открытый мастерский турнир "Кубок Ярослава Мудрого" IPL                                                                  Присед в бинтах ДК
Ярославль, 27 - 28 февраля 2016 г.</t>
  </si>
  <si>
    <t>2850.00</t>
  </si>
  <si>
    <t>1575.00</t>
  </si>
  <si>
    <t>Open (25.02.1988)/28</t>
  </si>
  <si>
    <t>77,5</t>
  </si>
  <si>
    <t>2247.50</t>
  </si>
  <si>
    <t>Ульянов Василий</t>
  </si>
  <si>
    <t>Open (21.04.1989)/26</t>
  </si>
  <si>
    <t>85,0</t>
  </si>
  <si>
    <t>40,0</t>
  </si>
  <si>
    <t>3400.00</t>
  </si>
  <si>
    <t>Виноградов Антон</t>
  </si>
  <si>
    <t>92,5</t>
  </si>
  <si>
    <t>2682.50</t>
  </si>
  <si>
    <t>1805.00</t>
  </si>
  <si>
    <t>2430.00</t>
  </si>
  <si>
    <t xml:space="preserve">Gloss </t>
  </si>
  <si>
    <t>3400,0</t>
  </si>
  <si>
    <t>2150,8400</t>
  </si>
  <si>
    <t>2850,0</t>
  </si>
  <si>
    <t>1982,0325</t>
  </si>
  <si>
    <t>2682,5</t>
  </si>
  <si>
    <t>1620,2299</t>
  </si>
  <si>
    <t>Новиков георгий</t>
  </si>
  <si>
    <t>Открытый мастерский турнир "Кубок Ярослава Мудрого"                                                            Народный жим (1 вес) допинг контроль
Ярославль, 27-28 февраля 2016 г.</t>
  </si>
  <si>
    <t>Вес</t>
  </si>
  <si>
    <t>Повторы</t>
  </si>
  <si>
    <t>Тоннаж</t>
  </si>
  <si>
    <t>38</t>
  </si>
  <si>
    <t>21</t>
  </si>
  <si>
    <t>29</t>
  </si>
  <si>
    <t>40</t>
  </si>
  <si>
    <t>19</t>
  </si>
  <si>
    <t>18</t>
  </si>
  <si>
    <t xml:space="preserve">100,0 </t>
  </si>
  <si>
    <t>76,9</t>
  </si>
  <si>
    <t>92,2</t>
  </si>
  <si>
    <t>Глушков Иван</t>
  </si>
  <si>
    <t>Teen 13-19 (15.04.2000)/15</t>
  </si>
  <si>
    <t xml:space="preserve">Хамилов А. </t>
  </si>
  <si>
    <t>Открытый мастерский турнир "Кубок Ярослава Мудрого"                                                    Народный жим (1/2 вес) допинг контроль
Ярославль, 27-28 февраля 2016 г.</t>
  </si>
  <si>
    <t>Данилина Елена</t>
  </si>
  <si>
    <t>Open (15.02.1987)/29</t>
  </si>
  <si>
    <t>67,5</t>
  </si>
  <si>
    <t>Хамилов Александр</t>
  </si>
  <si>
    <t>Masters 50-59 (23.05.1965)/50</t>
  </si>
  <si>
    <t>Зубов Алексей</t>
  </si>
  <si>
    <t>Open (23.08.1987)/28</t>
  </si>
  <si>
    <t xml:space="preserve">Кинешма/Ивановская область </t>
  </si>
  <si>
    <t>87,5</t>
  </si>
  <si>
    <t>Гордеев Иван</t>
  </si>
  <si>
    <t>Open (02.06.1988)/27</t>
  </si>
  <si>
    <t>Емелин Александр</t>
  </si>
  <si>
    <t>Masters 40-49 (31.05.1966)/49</t>
  </si>
  <si>
    <t>3150,0</t>
  </si>
  <si>
    <t>1798,8075</t>
  </si>
  <si>
    <t>2712,5</t>
  </si>
  <si>
    <t>1696,6688</t>
  </si>
  <si>
    <t>2700,0</t>
  </si>
  <si>
    <t>1669,8150</t>
  </si>
  <si>
    <t>2250,0</t>
  </si>
  <si>
    <t>2350,0</t>
  </si>
  <si>
    <t>1725,0</t>
  </si>
  <si>
    <t>1760,0</t>
  </si>
  <si>
    <t>2450,0</t>
  </si>
  <si>
    <t>2530,0</t>
  </si>
  <si>
    <t>59,0</t>
  </si>
  <si>
    <t>66,4</t>
  </si>
  <si>
    <t>69,0</t>
  </si>
  <si>
    <t>80,8</t>
  </si>
  <si>
    <t>78,7</t>
  </si>
  <si>
    <t>88,3</t>
  </si>
  <si>
    <t>104,8</t>
  </si>
  <si>
    <t>117,2</t>
  </si>
  <si>
    <t>113,0</t>
  </si>
  <si>
    <t xml:space="preserve">Москва/Московская область </t>
  </si>
  <si>
    <t>27</t>
  </si>
  <si>
    <t>23</t>
  </si>
  <si>
    <t>35</t>
  </si>
  <si>
    <t>22</t>
  </si>
  <si>
    <t>31</t>
  </si>
  <si>
    <t>30</t>
  </si>
  <si>
    <t>25</t>
  </si>
  <si>
    <t>20</t>
  </si>
  <si>
    <t>Курицин М.</t>
  </si>
  <si>
    <t>Открытый мастерский турнир "Кубок Ярослава Мудрого"                                                           Народный жим (1 вес)
Ярославль, 27-28 февраля 2016 г.</t>
  </si>
  <si>
    <t>Панкратова Мария</t>
  </si>
  <si>
    <t>Masters 40-49 (03.10.1970)/45</t>
  </si>
  <si>
    <t>32,5</t>
  </si>
  <si>
    <t>Teen 13-19 (03.07.1998)/17</t>
  </si>
  <si>
    <t>1170,0</t>
  </si>
  <si>
    <t>2880,0</t>
  </si>
  <si>
    <t>Открытый мастерский турнир "Кубок Ярослава Мудрого"                                                             Народный жим (1/2 вес)
Ярославль, 27-28 февраля 2016 г.</t>
  </si>
  <si>
    <t>39</t>
  </si>
  <si>
    <t>33</t>
  </si>
  <si>
    <t>72</t>
  </si>
  <si>
    <t>Григорьев К.</t>
  </si>
  <si>
    <t>Клюшин Н.</t>
  </si>
  <si>
    <t>60,9</t>
  </si>
  <si>
    <t>71,2</t>
  </si>
  <si>
    <t>62</t>
  </si>
  <si>
    <t>2325,0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</si>
</sst>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0.0000"/>
    <numFmt numFmtId="167" formatCode="000000"/>
    <numFmt numFmtId="168" formatCode="0.000"/>
  </numFmts>
  <fonts count="50">
    <font>
      <sz val="10"/>
      <name val="Arial Cyr"/>
      <family val="0"/>
    </font>
    <font>
      <sz val="24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b/>
      <strike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trike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trike/>
      <sz val="10"/>
      <color rgb="FFFF0000"/>
      <name val="Arial Cyr"/>
      <family val="0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left"/>
    </xf>
    <xf numFmtId="49" fontId="0" fillId="0" borderId="13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left"/>
    </xf>
    <xf numFmtId="49" fontId="0" fillId="0" borderId="14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left"/>
    </xf>
    <xf numFmtId="49" fontId="0" fillId="0" borderId="15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 indent="1"/>
    </xf>
    <xf numFmtId="49" fontId="10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8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 horizontal="left" indent="1"/>
    </xf>
    <xf numFmtId="49" fontId="10" fillId="0" borderId="0" xfId="0" applyNumberFormat="1" applyFont="1" applyAlignment="1">
      <alignment horizontal="left" indent="1"/>
    </xf>
    <xf numFmtId="49" fontId="10" fillId="0" borderId="0" xfId="0" applyNumberFormat="1" applyFont="1" applyAlignment="1">
      <alignment/>
    </xf>
    <xf numFmtId="49" fontId="3" fillId="0" borderId="12" xfId="0" applyNumberFormat="1" applyFont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49" fontId="48" fillId="0" borderId="12" xfId="0" applyNumberFormat="1" applyFont="1" applyFill="1" applyBorder="1" applyAlignment="1">
      <alignment horizontal="center"/>
    </xf>
    <xf numFmtId="49" fontId="48" fillId="0" borderId="13" xfId="0" applyNumberFormat="1" applyFont="1" applyFill="1" applyBorder="1" applyAlignment="1">
      <alignment horizontal="center"/>
    </xf>
    <xf numFmtId="49" fontId="48" fillId="0" borderId="14" xfId="0" applyNumberFormat="1" applyFont="1" applyFill="1" applyBorder="1" applyAlignment="1">
      <alignment horizontal="center"/>
    </xf>
    <xf numFmtId="49" fontId="48" fillId="0" borderId="15" xfId="0" applyNumberFormat="1" applyFon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164" fontId="11" fillId="0" borderId="13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11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11" fillId="0" borderId="15" xfId="0" applyNumberFormat="1" applyFont="1" applyBorder="1" applyAlignment="1">
      <alignment horizontal="center"/>
    </xf>
    <xf numFmtId="164" fontId="2" fillId="33" borderId="12" xfId="0" applyNumberFormat="1" applyFont="1" applyFill="1" applyBorder="1" applyAlignment="1">
      <alignment horizontal="center"/>
    </xf>
    <xf numFmtId="164" fontId="2" fillId="33" borderId="13" xfId="0" applyNumberFormat="1" applyFont="1" applyFill="1" applyBorder="1" applyAlignment="1">
      <alignment horizontal="center"/>
    </xf>
    <xf numFmtId="164" fontId="2" fillId="33" borderId="14" xfId="0" applyNumberFormat="1" applyFont="1" applyFill="1" applyBorder="1" applyAlignment="1">
      <alignment horizontal="center"/>
    </xf>
    <xf numFmtId="164" fontId="2" fillId="33" borderId="15" xfId="0" applyNumberFormat="1" applyFont="1" applyFill="1" applyBorder="1" applyAlignment="1">
      <alignment horizontal="center"/>
    </xf>
    <xf numFmtId="164" fontId="48" fillId="0" borderId="12" xfId="0" applyNumberFormat="1" applyFont="1" applyBorder="1" applyAlignment="1">
      <alignment horizontal="center"/>
    </xf>
    <xf numFmtId="164" fontId="48" fillId="0" borderId="13" xfId="0" applyNumberFormat="1" applyFont="1" applyBorder="1" applyAlignment="1">
      <alignment horizontal="center"/>
    </xf>
    <xf numFmtId="164" fontId="48" fillId="0" borderId="14" xfId="0" applyNumberFormat="1" applyFont="1" applyBorder="1" applyAlignment="1">
      <alignment horizontal="center"/>
    </xf>
    <xf numFmtId="164" fontId="48" fillId="0" borderId="15" xfId="0" applyNumberFormat="1" applyFont="1" applyBorder="1" applyAlignment="1">
      <alignment horizontal="center"/>
    </xf>
    <xf numFmtId="49" fontId="49" fillId="0" borderId="0" xfId="0" applyNumberFormat="1" applyFont="1" applyAlignment="1">
      <alignment/>
    </xf>
    <xf numFmtId="49" fontId="48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left"/>
    </xf>
    <xf numFmtId="49" fontId="48" fillId="0" borderId="13" xfId="0" applyNumberFormat="1" applyFont="1" applyBorder="1" applyAlignment="1">
      <alignment horizontal="center"/>
    </xf>
    <xf numFmtId="49" fontId="48" fillId="0" borderId="15" xfId="0" applyNumberFormat="1" applyFont="1" applyBorder="1" applyAlignment="1">
      <alignment horizontal="center"/>
    </xf>
    <xf numFmtId="49" fontId="48" fillId="0" borderId="14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left" indent="1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49" fontId="3" fillId="34" borderId="20" xfId="0" applyNumberFormat="1" applyFont="1" applyFill="1" applyBorder="1" applyAlignment="1">
      <alignment horizontal="center" vertical="center"/>
    </xf>
    <xf numFmtId="49" fontId="3" fillId="34" borderId="21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H15" sqref="H15"/>
    </sheetView>
  </sheetViews>
  <sheetFormatPr defaultColWidth="9.00390625" defaultRowHeight="12.75"/>
  <cols>
    <col min="2" max="2" width="18.125" style="24" customWidth="1"/>
    <col min="3" max="3" width="25.25390625" style="24" customWidth="1"/>
    <col min="4" max="4" width="10.625" style="24" bestFit="1" customWidth="1"/>
    <col min="5" max="5" width="8.375" style="24" bestFit="1" customWidth="1"/>
    <col min="6" max="6" width="19.00390625" style="24" customWidth="1"/>
    <col min="7" max="7" width="28.00390625" style="24" bestFit="1" customWidth="1"/>
    <col min="8" max="10" width="5.625" style="24" bestFit="1" customWidth="1"/>
    <col min="11" max="11" width="4.625" style="24" bestFit="1" customWidth="1"/>
    <col min="12" max="12" width="12.375" style="24" customWidth="1"/>
    <col min="13" max="13" width="8.625" style="24" bestFit="1" customWidth="1"/>
    <col min="14" max="14" width="15.75390625" style="24" bestFit="1" customWidth="1"/>
  </cols>
  <sheetData>
    <row r="1" spans="2:14" s="1" customFormat="1" ht="15" customHeight="1">
      <c r="B1" s="108" t="s">
        <v>363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2:14" s="1" customFormat="1" ht="91.5" customHeight="1" thickBot="1"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</row>
    <row r="3" spans="1:14" s="2" customFormat="1" ht="12.75" customHeight="1">
      <c r="A3" s="102" t="s">
        <v>287</v>
      </c>
      <c r="B3" s="114" t="s">
        <v>0</v>
      </c>
      <c r="C3" s="116" t="s">
        <v>288</v>
      </c>
      <c r="D3" s="117" t="s">
        <v>289</v>
      </c>
      <c r="E3" s="101" t="s">
        <v>9</v>
      </c>
      <c r="F3" s="101" t="s">
        <v>7</v>
      </c>
      <c r="G3" s="99" t="s">
        <v>291</v>
      </c>
      <c r="H3" s="101" t="s">
        <v>1</v>
      </c>
      <c r="I3" s="101"/>
      <c r="J3" s="101"/>
      <c r="K3" s="101"/>
      <c r="L3" s="101" t="s">
        <v>292</v>
      </c>
      <c r="M3" s="101" t="s">
        <v>6</v>
      </c>
      <c r="N3" s="105" t="s">
        <v>5</v>
      </c>
    </row>
    <row r="4" spans="1:14" s="2" customFormat="1" ht="21" customHeight="1" thickBot="1">
      <c r="A4" s="103"/>
      <c r="B4" s="115"/>
      <c r="C4" s="104"/>
      <c r="D4" s="118"/>
      <c r="E4" s="104"/>
      <c r="F4" s="104"/>
      <c r="G4" s="100"/>
      <c r="H4" s="3">
        <v>1</v>
      </c>
      <c r="I4" s="3">
        <v>2</v>
      </c>
      <c r="J4" s="3">
        <v>3</v>
      </c>
      <c r="K4" s="3" t="s">
        <v>8</v>
      </c>
      <c r="L4" s="104"/>
      <c r="M4" s="104"/>
      <c r="N4" s="106"/>
    </row>
    <row r="5" spans="2:13" ht="15">
      <c r="B5" s="107" t="s">
        <v>23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1:14" ht="12.75">
      <c r="A6" s="57">
        <v>1</v>
      </c>
      <c r="B6" s="26" t="s">
        <v>241</v>
      </c>
      <c r="C6" s="26" t="s">
        <v>242</v>
      </c>
      <c r="D6" s="26" t="s">
        <v>344</v>
      </c>
      <c r="E6" s="26" t="str">
        <f>"0,6764"</f>
        <v>0,6764</v>
      </c>
      <c r="F6" s="26" t="s">
        <v>13</v>
      </c>
      <c r="G6" s="26" t="s">
        <v>238</v>
      </c>
      <c r="H6" s="78" t="s">
        <v>98</v>
      </c>
      <c r="I6" s="78" t="s">
        <v>205</v>
      </c>
      <c r="J6" s="78" t="s">
        <v>74</v>
      </c>
      <c r="K6" s="71"/>
      <c r="L6" s="72">
        <v>230</v>
      </c>
      <c r="M6" s="72" t="str">
        <f>"155,5720"</f>
        <v>155,5720</v>
      </c>
      <c r="N6" s="26" t="s">
        <v>22</v>
      </c>
    </row>
    <row r="7" spans="1:14" ht="12.75">
      <c r="A7" s="57">
        <v>2</v>
      </c>
      <c r="B7" s="28" t="s">
        <v>243</v>
      </c>
      <c r="C7" s="28" t="s">
        <v>244</v>
      </c>
      <c r="D7" s="28" t="s">
        <v>345</v>
      </c>
      <c r="E7" s="28" t="str">
        <f>"0,6724"</f>
        <v>0,6724</v>
      </c>
      <c r="F7" s="28" t="s">
        <v>231</v>
      </c>
      <c r="G7" s="28" t="s">
        <v>37</v>
      </c>
      <c r="H7" s="80" t="s">
        <v>164</v>
      </c>
      <c r="I7" s="76"/>
      <c r="J7" s="76"/>
      <c r="K7" s="76"/>
      <c r="L7" s="75">
        <v>140</v>
      </c>
      <c r="M7" s="75" t="str">
        <f>"94,1360"</f>
        <v>94,1360</v>
      </c>
      <c r="N7" s="28" t="s">
        <v>22</v>
      </c>
    </row>
  </sheetData>
  <sheetProtection/>
  <mergeCells count="13">
    <mergeCell ref="B5:M5"/>
    <mergeCell ref="B1:N2"/>
    <mergeCell ref="B3:B4"/>
    <mergeCell ref="C3:C4"/>
    <mergeCell ref="D3:D4"/>
    <mergeCell ref="E3:E4"/>
    <mergeCell ref="F3:F4"/>
    <mergeCell ref="G3:G4"/>
    <mergeCell ref="H3:K3"/>
    <mergeCell ref="A3:A4"/>
    <mergeCell ref="L3:L4"/>
    <mergeCell ref="M3:M4"/>
    <mergeCell ref="N3:N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G3" sqref="G3:G4"/>
    </sheetView>
  </sheetViews>
  <sheetFormatPr defaultColWidth="9.00390625" defaultRowHeight="12.75"/>
  <cols>
    <col min="1" max="1" width="9.125" style="36" customWidth="1"/>
    <col min="2" max="2" width="21.625" style="4" customWidth="1"/>
    <col min="3" max="3" width="26.25390625" style="1" customWidth="1"/>
    <col min="4" max="4" width="9.00390625" style="1" customWidth="1"/>
    <col min="5" max="5" width="8.375" style="1" bestFit="1" customWidth="1"/>
    <col min="6" max="6" width="14.25390625" style="5" customWidth="1"/>
    <col min="7" max="7" width="37.25390625" style="5" customWidth="1"/>
    <col min="8" max="10" width="5.625" style="1" bestFit="1" customWidth="1"/>
    <col min="11" max="11" width="4.625" style="1" bestFit="1" customWidth="1"/>
    <col min="12" max="12" width="11.625" style="4" customWidth="1"/>
    <col min="13" max="13" width="8.625" style="1" bestFit="1" customWidth="1"/>
    <col min="14" max="14" width="15.375" style="5" customWidth="1"/>
    <col min="15" max="16384" width="9.125" style="1" customWidth="1"/>
  </cols>
  <sheetData>
    <row r="1" spans="2:14" ht="15" customHeight="1">
      <c r="B1" s="108" t="s">
        <v>312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2:14" ht="77.25" customHeight="1" thickBot="1"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</row>
    <row r="3" spans="1:14" s="2" customFormat="1" ht="12.75" customHeight="1">
      <c r="A3" s="102" t="s">
        <v>287</v>
      </c>
      <c r="B3" s="114" t="s">
        <v>0</v>
      </c>
      <c r="C3" s="116" t="s">
        <v>288</v>
      </c>
      <c r="D3" s="117" t="s">
        <v>289</v>
      </c>
      <c r="E3" s="124" t="s">
        <v>9</v>
      </c>
      <c r="F3" s="124" t="s">
        <v>7</v>
      </c>
      <c r="G3" s="99" t="s">
        <v>291</v>
      </c>
      <c r="H3" s="114" t="s">
        <v>2</v>
      </c>
      <c r="I3" s="101"/>
      <c r="J3" s="101"/>
      <c r="K3" s="105"/>
      <c r="L3" s="120" t="s">
        <v>292</v>
      </c>
      <c r="M3" s="122" t="s">
        <v>6</v>
      </c>
      <c r="N3" s="105" t="s">
        <v>5</v>
      </c>
    </row>
    <row r="4" spans="1:14" s="2" customFormat="1" ht="21" customHeight="1" thickBot="1">
      <c r="A4" s="103"/>
      <c r="B4" s="115"/>
      <c r="C4" s="104"/>
      <c r="D4" s="118"/>
      <c r="E4" s="118"/>
      <c r="F4" s="118"/>
      <c r="G4" s="100"/>
      <c r="H4" s="35">
        <v>1</v>
      </c>
      <c r="I4" s="6">
        <v>2</v>
      </c>
      <c r="J4" s="6">
        <v>3</v>
      </c>
      <c r="K4" s="7" t="s">
        <v>293</v>
      </c>
      <c r="L4" s="121"/>
      <c r="M4" s="123"/>
      <c r="N4" s="106"/>
    </row>
    <row r="5" spans="2:13" ht="15">
      <c r="B5" s="126" t="s">
        <v>10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2:14" ht="12.75">
      <c r="B6" s="91" t="s">
        <v>11</v>
      </c>
      <c r="C6" s="9" t="s">
        <v>12</v>
      </c>
      <c r="D6" s="53">
        <v>66.4</v>
      </c>
      <c r="E6" s="8" t="str">
        <f>"0,7813"</f>
        <v>0,7813</v>
      </c>
      <c r="F6" s="9" t="s">
        <v>13</v>
      </c>
      <c r="G6" s="9" t="s">
        <v>14</v>
      </c>
      <c r="H6" s="49" t="s">
        <v>15</v>
      </c>
      <c r="I6" s="49" t="s">
        <v>15</v>
      </c>
      <c r="J6" s="49" t="s">
        <v>15</v>
      </c>
      <c r="K6" s="41"/>
      <c r="L6" s="37" t="s">
        <v>297</v>
      </c>
      <c r="M6" s="37" t="s">
        <v>297</v>
      </c>
      <c r="N6" s="9" t="s">
        <v>298</v>
      </c>
    </row>
    <row r="8" spans="2:13" ht="15">
      <c r="B8" s="125" t="s">
        <v>16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</row>
    <row r="9" spans="1:14" ht="12.75">
      <c r="A9" s="36" t="s">
        <v>294</v>
      </c>
      <c r="B9" s="91" t="s">
        <v>17</v>
      </c>
      <c r="C9" s="9" t="s">
        <v>18</v>
      </c>
      <c r="D9" s="53">
        <v>71.8</v>
      </c>
      <c r="E9" s="8" t="str">
        <f>"0,7352"</f>
        <v>0,7352</v>
      </c>
      <c r="F9" s="9" t="s">
        <v>13</v>
      </c>
      <c r="G9" s="9" t="s">
        <v>19</v>
      </c>
      <c r="H9" s="45" t="s">
        <v>20</v>
      </c>
      <c r="I9" s="41"/>
      <c r="J9" s="41"/>
      <c r="K9" s="41"/>
      <c r="L9" s="37" t="s">
        <v>21</v>
      </c>
      <c r="M9" s="37" t="str">
        <f>"99,2520"</f>
        <v>99,2520</v>
      </c>
      <c r="N9" s="9" t="s">
        <v>22</v>
      </c>
    </row>
    <row r="11" spans="2:13" ht="15">
      <c r="B11" s="125" t="s">
        <v>23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</row>
    <row r="12" spans="1:14" ht="12.75">
      <c r="A12" s="36" t="s">
        <v>294</v>
      </c>
      <c r="B12" s="92" t="s">
        <v>24</v>
      </c>
      <c r="C12" s="11" t="s">
        <v>25</v>
      </c>
      <c r="D12" s="54">
        <v>78.4</v>
      </c>
      <c r="E12" s="10" t="str">
        <f>"0,6916"</f>
        <v>0,6916</v>
      </c>
      <c r="F12" s="11" t="s">
        <v>13</v>
      </c>
      <c r="G12" s="11" t="s">
        <v>26</v>
      </c>
      <c r="H12" s="50" t="s">
        <v>27</v>
      </c>
      <c r="I12" s="46" t="s">
        <v>28</v>
      </c>
      <c r="J12" s="50" t="s">
        <v>29</v>
      </c>
      <c r="K12" s="42"/>
      <c r="L12" s="38" t="s">
        <v>30</v>
      </c>
      <c r="M12" s="38" t="str">
        <f>"79,5340"</f>
        <v>79,5340</v>
      </c>
      <c r="N12" s="11" t="s">
        <v>22</v>
      </c>
    </row>
    <row r="13" spans="1:14" ht="12.75">
      <c r="A13" s="36" t="s">
        <v>294</v>
      </c>
      <c r="B13" s="93" t="s">
        <v>31</v>
      </c>
      <c r="C13" s="13" t="s">
        <v>32</v>
      </c>
      <c r="D13" s="55">
        <v>78</v>
      </c>
      <c r="E13" s="12" t="str">
        <f>"0,6939"</f>
        <v>0,6939</v>
      </c>
      <c r="F13" s="13" t="s">
        <v>13</v>
      </c>
      <c r="G13" s="13" t="s">
        <v>33</v>
      </c>
      <c r="H13" s="51" t="s">
        <v>34</v>
      </c>
      <c r="I13" s="47" t="s">
        <v>34</v>
      </c>
      <c r="J13" s="47" t="s">
        <v>20</v>
      </c>
      <c r="K13" s="43"/>
      <c r="L13" s="39" t="s">
        <v>21</v>
      </c>
      <c r="M13" s="39" t="str">
        <f>"93,6765"</f>
        <v>93,6765</v>
      </c>
      <c r="N13" s="13" t="s">
        <v>22</v>
      </c>
    </row>
    <row r="14" spans="1:14" ht="12.75">
      <c r="A14" s="36" t="s">
        <v>294</v>
      </c>
      <c r="B14" s="94" t="s">
        <v>35</v>
      </c>
      <c r="C14" s="15" t="s">
        <v>36</v>
      </c>
      <c r="D14" s="56">
        <v>80.8</v>
      </c>
      <c r="E14" s="14" t="str">
        <f>"0,6785"</f>
        <v>0,6785</v>
      </c>
      <c r="F14" s="15" t="s">
        <v>13</v>
      </c>
      <c r="G14" s="15" t="s">
        <v>37</v>
      </c>
      <c r="H14" s="48" t="s">
        <v>34</v>
      </c>
      <c r="I14" s="48" t="s">
        <v>15</v>
      </c>
      <c r="J14" s="48" t="s">
        <v>38</v>
      </c>
      <c r="K14" s="44"/>
      <c r="L14" s="40" t="s">
        <v>39</v>
      </c>
      <c r="M14" s="40" t="str">
        <f>"100,0787"</f>
        <v>100,0787</v>
      </c>
      <c r="N14" s="15" t="s">
        <v>22</v>
      </c>
    </row>
    <row r="16" spans="2:13" ht="15">
      <c r="B16" s="125" t="s">
        <v>40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</row>
    <row r="17" spans="1:14" ht="12.75">
      <c r="A17" s="36" t="s">
        <v>294</v>
      </c>
      <c r="B17" s="92" t="s">
        <v>41</v>
      </c>
      <c r="C17" s="11" t="s">
        <v>42</v>
      </c>
      <c r="D17" s="54">
        <v>88.5</v>
      </c>
      <c r="E17" s="10" t="str">
        <f>"0,6440"</f>
        <v>0,6440</v>
      </c>
      <c r="F17" s="11" t="s">
        <v>13</v>
      </c>
      <c r="G17" s="11" t="s">
        <v>37</v>
      </c>
      <c r="H17" s="46" t="s">
        <v>43</v>
      </c>
      <c r="I17" s="46" t="s">
        <v>44</v>
      </c>
      <c r="J17" s="50" t="s">
        <v>45</v>
      </c>
      <c r="K17" s="42"/>
      <c r="L17" s="38" t="s">
        <v>46</v>
      </c>
      <c r="M17" s="38" t="str">
        <f>"103,0400"</f>
        <v>103,0400</v>
      </c>
      <c r="N17" s="11" t="s">
        <v>22</v>
      </c>
    </row>
    <row r="18" spans="1:14" ht="12.75">
      <c r="A18" s="36" t="s">
        <v>294</v>
      </c>
      <c r="B18" s="93" t="s">
        <v>47</v>
      </c>
      <c r="C18" s="13" t="s">
        <v>48</v>
      </c>
      <c r="D18" s="55">
        <v>88.3</v>
      </c>
      <c r="E18" s="12" t="str">
        <f>"0,6447"</f>
        <v>0,6447</v>
      </c>
      <c r="F18" s="13" t="s">
        <v>13</v>
      </c>
      <c r="G18" s="13" t="s">
        <v>26</v>
      </c>
      <c r="H18" s="47" t="s">
        <v>45</v>
      </c>
      <c r="I18" s="47" t="s">
        <v>49</v>
      </c>
      <c r="J18" s="51" t="s">
        <v>50</v>
      </c>
      <c r="K18" s="43"/>
      <c r="L18" s="39" t="s">
        <v>51</v>
      </c>
      <c r="M18" s="39" t="str">
        <f>"107,9872"</f>
        <v>107,9872</v>
      </c>
      <c r="N18" s="13" t="s">
        <v>22</v>
      </c>
    </row>
    <row r="19" spans="1:14" ht="12.75">
      <c r="A19" s="36" t="s">
        <v>295</v>
      </c>
      <c r="B19" s="93" t="s">
        <v>52</v>
      </c>
      <c r="C19" s="13" t="s">
        <v>53</v>
      </c>
      <c r="D19" s="55">
        <v>85</v>
      </c>
      <c r="E19" s="12" t="str">
        <f>"0,6583"</f>
        <v>0,6583</v>
      </c>
      <c r="F19" s="13" t="s">
        <v>54</v>
      </c>
      <c r="G19" s="13" t="s">
        <v>55</v>
      </c>
      <c r="H19" s="47" t="s">
        <v>56</v>
      </c>
      <c r="I19" s="51" t="s">
        <v>27</v>
      </c>
      <c r="J19" s="51" t="s">
        <v>27</v>
      </c>
      <c r="K19" s="43"/>
      <c r="L19" s="39" t="s">
        <v>57</v>
      </c>
      <c r="M19" s="39" t="str">
        <f>"65,8300"</f>
        <v>65,8300</v>
      </c>
      <c r="N19" s="13" t="s">
        <v>22</v>
      </c>
    </row>
    <row r="20" spans="1:14" ht="12.75">
      <c r="A20" s="36" t="s">
        <v>296</v>
      </c>
      <c r="B20" s="94" t="s">
        <v>58</v>
      </c>
      <c r="C20" s="15" t="s">
        <v>59</v>
      </c>
      <c r="D20" s="56">
        <v>89</v>
      </c>
      <c r="E20" s="14" t="str">
        <f>"0,6421"</f>
        <v>0,6421</v>
      </c>
      <c r="F20" s="15" t="s">
        <v>54</v>
      </c>
      <c r="G20" s="15" t="s">
        <v>55</v>
      </c>
      <c r="H20" s="48" t="s">
        <v>60</v>
      </c>
      <c r="I20" s="52" t="s">
        <v>61</v>
      </c>
      <c r="J20" s="52" t="s">
        <v>61</v>
      </c>
      <c r="K20" s="44"/>
      <c r="L20" s="40" t="s">
        <v>62</v>
      </c>
      <c r="M20" s="40" t="str">
        <f>"51,3680"</f>
        <v>51,3680</v>
      </c>
      <c r="N20" s="15" t="s">
        <v>22</v>
      </c>
    </row>
    <row r="22" spans="2:13" ht="15">
      <c r="B22" s="125" t="s">
        <v>63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</row>
    <row r="23" spans="1:14" ht="12.75">
      <c r="A23" s="36" t="s">
        <v>294</v>
      </c>
      <c r="B23" s="92" t="s">
        <v>64</v>
      </c>
      <c r="C23" s="11" t="s">
        <v>65</v>
      </c>
      <c r="D23" s="54">
        <v>106.2</v>
      </c>
      <c r="E23" s="10" t="str">
        <f>"0,5952"</f>
        <v>0,5952</v>
      </c>
      <c r="F23" s="11" t="s">
        <v>13</v>
      </c>
      <c r="G23" s="11" t="s">
        <v>66</v>
      </c>
      <c r="H23" s="46" t="s">
        <v>44</v>
      </c>
      <c r="I23" s="46" t="s">
        <v>49</v>
      </c>
      <c r="J23" s="50" t="s">
        <v>67</v>
      </c>
      <c r="K23" s="42"/>
      <c r="L23" s="38" t="s">
        <v>51</v>
      </c>
      <c r="M23" s="38" t="str">
        <f>"99,6960"</f>
        <v>99,6960</v>
      </c>
      <c r="N23" s="11" t="s">
        <v>22</v>
      </c>
    </row>
    <row r="24" spans="1:14" ht="12.75">
      <c r="A24" s="36" t="s">
        <v>295</v>
      </c>
      <c r="B24" s="93" t="s">
        <v>68</v>
      </c>
      <c r="C24" s="13" t="s">
        <v>69</v>
      </c>
      <c r="D24" s="55">
        <v>109.1</v>
      </c>
      <c r="E24" s="12" t="str">
        <f>"0,5900"</f>
        <v>0,5900</v>
      </c>
      <c r="F24" s="13" t="s">
        <v>13</v>
      </c>
      <c r="G24" s="13" t="s">
        <v>19</v>
      </c>
      <c r="H24" s="47" t="s">
        <v>70</v>
      </c>
      <c r="I24" s="47" t="s">
        <v>34</v>
      </c>
      <c r="J24" s="47" t="s">
        <v>20</v>
      </c>
      <c r="K24" s="43"/>
      <c r="L24" s="39" t="s">
        <v>21</v>
      </c>
      <c r="M24" s="39" t="str">
        <f>"79,6500"</f>
        <v>79,6500</v>
      </c>
      <c r="N24" s="13" t="s">
        <v>22</v>
      </c>
    </row>
    <row r="25" spans="1:14" ht="12.75">
      <c r="A25" s="36" t="s">
        <v>294</v>
      </c>
      <c r="B25" s="93" t="s">
        <v>71</v>
      </c>
      <c r="C25" s="13" t="s">
        <v>72</v>
      </c>
      <c r="D25" s="55">
        <v>109.1</v>
      </c>
      <c r="E25" s="12" t="str">
        <f>"0,5900"</f>
        <v>0,5900</v>
      </c>
      <c r="F25" s="13" t="s">
        <v>13</v>
      </c>
      <c r="G25" s="13" t="s">
        <v>73</v>
      </c>
      <c r="H25" s="47" t="s">
        <v>74</v>
      </c>
      <c r="I25" s="43"/>
      <c r="J25" s="43"/>
      <c r="K25" s="43"/>
      <c r="L25" s="39" t="s">
        <v>75</v>
      </c>
      <c r="M25" s="39" t="str">
        <f>"135,7000"</f>
        <v>135,7000</v>
      </c>
      <c r="N25" s="13" t="s">
        <v>22</v>
      </c>
    </row>
    <row r="26" spans="1:14" ht="12.75">
      <c r="A26" s="36" t="s">
        <v>295</v>
      </c>
      <c r="B26" s="94" t="s">
        <v>76</v>
      </c>
      <c r="C26" s="15" t="s">
        <v>77</v>
      </c>
      <c r="D26" s="56">
        <v>104.8</v>
      </c>
      <c r="E26" s="14" t="str">
        <f>"0,5980"</f>
        <v>0,5980</v>
      </c>
      <c r="F26" s="15" t="s">
        <v>78</v>
      </c>
      <c r="G26" s="15" t="s">
        <v>79</v>
      </c>
      <c r="H26" s="48" t="s">
        <v>50</v>
      </c>
      <c r="I26" s="52" t="s">
        <v>80</v>
      </c>
      <c r="J26" s="52" t="s">
        <v>80</v>
      </c>
      <c r="K26" s="44"/>
      <c r="L26" s="40" t="s">
        <v>81</v>
      </c>
      <c r="M26" s="40" t="str">
        <f>"101,6600"</f>
        <v>101,6600</v>
      </c>
      <c r="N26" s="15" t="s">
        <v>22</v>
      </c>
    </row>
    <row r="28" spans="2:13" ht="15">
      <c r="B28" s="125" t="s">
        <v>82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</row>
    <row r="29" spans="1:14" ht="12.75">
      <c r="A29" s="36" t="s">
        <v>294</v>
      </c>
      <c r="B29" s="92" t="s">
        <v>83</v>
      </c>
      <c r="C29" s="11" t="s">
        <v>84</v>
      </c>
      <c r="D29" s="54">
        <v>122</v>
      </c>
      <c r="E29" s="10" t="str">
        <f>"0,5728"</f>
        <v>0,5728</v>
      </c>
      <c r="F29" s="11" t="s">
        <v>13</v>
      </c>
      <c r="G29" s="11" t="s">
        <v>73</v>
      </c>
      <c r="H29" s="46" t="s">
        <v>85</v>
      </c>
      <c r="I29" s="50" t="s">
        <v>86</v>
      </c>
      <c r="J29" s="46" t="s">
        <v>86</v>
      </c>
      <c r="K29" s="42"/>
      <c r="L29" s="38" t="s">
        <v>87</v>
      </c>
      <c r="M29" s="38" t="str">
        <f>"128,8800"</f>
        <v>128,8800</v>
      </c>
      <c r="N29" s="11" t="s">
        <v>22</v>
      </c>
    </row>
    <row r="30" spans="1:14" ht="12.75">
      <c r="A30" s="36" t="s">
        <v>295</v>
      </c>
      <c r="B30" s="94" t="s">
        <v>88</v>
      </c>
      <c r="C30" s="15" t="s">
        <v>89</v>
      </c>
      <c r="D30" s="56">
        <v>117.2</v>
      </c>
      <c r="E30" s="14" t="str">
        <f>"0,5782"</f>
        <v>0,5782</v>
      </c>
      <c r="F30" s="15" t="s">
        <v>13</v>
      </c>
      <c r="G30" s="15" t="s">
        <v>90</v>
      </c>
      <c r="H30" s="48" t="s">
        <v>91</v>
      </c>
      <c r="I30" s="48" t="s">
        <v>92</v>
      </c>
      <c r="J30" s="44"/>
      <c r="K30" s="44"/>
      <c r="L30" s="40" t="s">
        <v>93</v>
      </c>
      <c r="M30" s="40" t="str">
        <f>"109,8580"</f>
        <v>109,8580</v>
      </c>
      <c r="N30" s="15" t="s">
        <v>22</v>
      </c>
    </row>
    <row r="32" spans="2:13" ht="15">
      <c r="B32" s="125" t="s">
        <v>94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</row>
    <row r="33" spans="1:14" ht="12.75">
      <c r="A33" s="36" t="s">
        <v>294</v>
      </c>
      <c r="B33" s="91" t="s">
        <v>95</v>
      </c>
      <c r="C33" s="9" t="s">
        <v>96</v>
      </c>
      <c r="D33" s="53">
        <v>136.5</v>
      </c>
      <c r="E33" s="8" t="str">
        <f>"0,5610"</f>
        <v>0,5610</v>
      </c>
      <c r="F33" s="9" t="s">
        <v>13</v>
      </c>
      <c r="G33" s="9" t="s">
        <v>26</v>
      </c>
      <c r="H33" s="45" t="s">
        <v>97</v>
      </c>
      <c r="I33" s="49" t="s">
        <v>98</v>
      </c>
      <c r="J33" s="49" t="s">
        <v>98</v>
      </c>
      <c r="K33" s="41"/>
      <c r="L33" s="37" t="s">
        <v>99</v>
      </c>
      <c r="M33" s="37" t="str">
        <f>"115,0050"</f>
        <v>115,0050</v>
      </c>
      <c r="N33" s="9" t="s">
        <v>22</v>
      </c>
    </row>
    <row r="35" spans="2:3" ht="18">
      <c r="B35" s="16" t="s">
        <v>100</v>
      </c>
      <c r="C35" s="17"/>
    </row>
    <row r="36" spans="2:3" ht="15">
      <c r="B36" s="18" t="s">
        <v>101</v>
      </c>
      <c r="C36" s="19"/>
    </row>
    <row r="37" spans="2:3" ht="14.25">
      <c r="B37" s="21"/>
      <c r="C37" s="22" t="s">
        <v>107</v>
      </c>
    </row>
    <row r="38" spans="2:6" ht="15">
      <c r="B38" s="23" t="s">
        <v>102</v>
      </c>
      <c r="C38" s="23" t="s">
        <v>103</v>
      </c>
      <c r="D38" s="23" t="s">
        <v>104</v>
      </c>
      <c r="E38" s="23" t="s">
        <v>105</v>
      </c>
      <c r="F38" s="23" t="s">
        <v>106</v>
      </c>
    </row>
    <row r="39" spans="1:6" ht="12.75">
      <c r="A39" s="36" t="s">
        <v>294</v>
      </c>
      <c r="B39" s="20" t="s">
        <v>41</v>
      </c>
      <c r="C39" s="1" t="s">
        <v>108</v>
      </c>
      <c r="D39" s="36" t="s">
        <v>299</v>
      </c>
      <c r="E39" s="36" t="s">
        <v>44</v>
      </c>
      <c r="F39" s="36" t="s">
        <v>109</v>
      </c>
    </row>
    <row r="40" spans="1:6" ht="12.75">
      <c r="A40" s="36" t="s">
        <v>295</v>
      </c>
      <c r="B40" s="20" t="s">
        <v>64</v>
      </c>
      <c r="C40" s="1" t="s">
        <v>108</v>
      </c>
      <c r="D40" s="36" t="s">
        <v>300</v>
      </c>
      <c r="E40" s="36" t="s">
        <v>49</v>
      </c>
      <c r="F40" s="36" t="s">
        <v>110</v>
      </c>
    </row>
    <row r="41" spans="1:6" ht="12.75">
      <c r="A41" s="36" t="s">
        <v>296</v>
      </c>
      <c r="B41" s="20" t="s">
        <v>31</v>
      </c>
      <c r="C41" s="1" t="s">
        <v>108</v>
      </c>
      <c r="D41" s="36" t="s">
        <v>301</v>
      </c>
      <c r="E41" s="36" t="s">
        <v>20</v>
      </c>
      <c r="F41" s="36" t="s">
        <v>111</v>
      </c>
    </row>
    <row r="43" spans="2:3" ht="14.25">
      <c r="B43" s="21"/>
      <c r="C43" s="22" t="s">
        <v>112</v>
      </c>
    </row>
    <row r="44" spans="2:6" ht="15">
      <c r="B44" s="23" t="s">
        <v>102</v>
      </c>
      <c r="C44" s="23" t="s">
        <v>103</v>
      </c>
      <c r="D44" s="23" t="s">
        <v>104</v>
      </c>
      <c r="E44" s="23" t="s">
        <v>105</v>
      </c>
      <c r="F44" s="23" t="s">
        <v>106</v>
      </c>
    </row>
    <row r="45" spans="1:6" ht="12.75">
      <c r="A45" s="36" t="s">
        <v>294</v>
      </c>
      <c r="B45" s="20" t="s">
        <v>71</v>
      </c>
      <c r="C45" s="1" t="s">
        <v>112</v>
      </c>
      <c r="D45" s="36" t="s">
        <v>300</v>
      </c>
      <c r="E45" s="36" t="s">
        <v>74</v>
      </c>
      <c r="F45" s="36" t="s">
        <v>113</v>
      </c>
    </row>
    <row r="46" spans="1:6" ht="12.75">
      <c r="A46" s="36" t="s">
        <v>295</v>
      </c>
      <c r="B46" s="20" t="s">
        <v>83</v>
      </c>
      <c r="C46" s="1" t="s">
        <v>112</v>
      </c>
      <c r="D46" s="36" t="s">
        <v>302</v>
      </c>
      <c r="E46" s="36" t="s">
        <v>86</v>
      </c>
      <c r="F46" s="36" t="s">
        <v>114</v>
      </c>
    </row>
    <row r="47" spans="1:6" ht="12.75">
      <c r="A47" s="36" t="s">
        <v>296</v>
      </c>
      <c r="B47" s="20" t="s">
        <v>95</v>
      </c>
      <c r="C47" s="1" t="s">
        <v>112</v>
      </c>
      <c r="D47" s="36" t="s">
        <v>303</v>
      </c>
      <c r="E47" s="36" t="s">
        <v>97</v>
      </c>
      <c r="F47" s="36" t="s">
        <v>115</v>
      </c>
    </row>
  </sheetData>
  <sheetProtection/>
  <mergeCells count="19">
    <mergeCell ref="B16:M16"/>
    <mergeCell ref="B22:M22"/>
    <mergeCell ref="B28:M28"/>
    <mergeCell ref="B32:M32"/>
    <mergeCell ref="N3:N4"/>
    <mergeCell ref="G3:G4"/>
    <mergeCell ref="F3:F4"/>
    <mergeCell ref="B5:M5"/>
    <mergeCell ref="B8:M8"/>
    <mergeCell ref="B11:M11"/>
    <mergeCell ref="A3:A4"/>
    <mergeCell ref="E3:E4"/>
    <mergeCell ref="L3:L4"/>
    <mergeCell ref="M3:M4"/>
    <mergeCell ref="B1:N2"/>
    <mergeCell ref="H3:K3"/>
    <mergeCell ref="B3:B4"/>
    <mergeCell ref="C3:C4"/>
    <mergeCell ref="D3:D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G29" sqref="G29"/>
    </sheetView>
  </sheetViews>
  <sheetFormatPr defaultColWidth="9.00390625" defaultRowHeight="12.75"/>
  <cols>
    <col min="1" max="1" width="9.125" style="36" customWidth="1"/>
    <col min="2" max="2" width="21.75390625" style="4" customWidth="1"/>
    <col min="3" max="3" width="25.375" style="1" customWidth="1"/>
    <col min="4" max="4" width="10.625" style="1" bestFit="1" customWidth="1"/>
    <col min="5" max="5" width="8.375" style="1" bestFit="1" customWidth="1"/>
    <col min="6" max="6" width="14.75390625" style="5" customWidth="1"/>
    <col min="7" max="7" width="30.625" style="5" bestFit="1" customWidth="1"/>
    <col min="8" max="8" width="5.625" style="1" bestFit="1" customWidth="1"/>
    <col min="9" max="9" width="10.625" style="1" customWidth="1"/>
    <col min="10" max="10" width="9.375" style="4" customWidth="1"/>
    <col min="11" max="11" width="9.625" style="1" bestFit="1" customWidth="1"/>
    <col min="12" max="12" width="15.125" style="5" customWidth="1"/>
    <col min="13" max="16384" width="9.125" style="1" customWidth="1"/>
  </cols>
  <sheetData>
    <row r="1" spans="2:12" ht="15" customHeight="1">
      <c r="B1" s="108" t="s">
        <v>387</v>
      </c>
      <c r="C1" s="109"/>
      <c r="D1" s="109"/>
      <c r="E1" s="109"/>
      <c r="F1" s="109"/>
      <c r="G1" s="109"/>
      <c r="H1" s="109"/>
      <c r="I1" s="109"/>
      <c r="J1" s="109"/>
      <c r="K1" s="109"/>
      <c r="L1" s="110"/>
    </row>
    <row r="2" spans="2:12" ht="100.5" customHeight="1" thickBot="1"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3"/>
    </row>
    <row r="3" spans="1:12" s="2" customFormat="1" ht="12.75" customHeight="1">
      <c r="A3" s="102" t="s">
        <v>287</v>
      </c>
      <c r="B3" s="114" t="s">
        <v>0</v>
      </c>
      <c r="C3" s="116" t="s">
        <v>288</v>
      </c>
      <c r="D3" s="117" t="s">
        <v>289</v>
      </c>
      <c r="E3" s="101" t="s">
        <v>290</v>
      </c>
      <c r="F3" s="101" t="s">
        <v>7</v>
      </c>
      <c r="G3" s="99" t="s">
        <v>291</v>
      </c>
      <c r="H3" s="101" t="s">
        <v>2</v>
      </c>
      <c r="I3" s="101"/>
      <c r="J3" s="101" t="s">
        <v>390</v>
      </c>
      <c r="K3" s="101" t="s">
        <v>6</v>
      </c>
      <c r="L3" s="105" t="s">
        <v>5</v>
      </c>
    </row>
    <row r="4" spans="1:12" s="2" customFormat="1" ht="21" customHeight="1" thickBot="1">
      <c r="A4" s="103"/>
      <c r="B4" s="115"/>
      <c r="C4" s="104"/>
      <c r="D4" s="118"/>
      <c r="E4" s="104"/>
      <c r="F4" s="104"/>
      <c r="G4" s="100"/>
      <c r="H4" s="6" t="s">
        <v>388</v>
      </c>
      <c r="I4" s="6" t="s">
        <v>389</v>
      </c>
      <c r="J4" s="104"/>
      <c r="K4" s="104"/>
      <c r="L4" s="106"/>
    </row>
    <row r="5" spans="2:11" ht="15">
      <c r="B5" s="126" t="s">
        <v>16</v>
      </c>
      <c r="C5" s="107"/>
      <c r="D5" s="107"/>
      <c r="E5" s="107"/>
      <c r="F5" s="107"/>
      <c r="G5" s="107"/>
      <c r="H5" s="107"/>
      <c r="I5" s="107"/>
      <c r="J5" s="107"/>
      <c r="K5" s="107"/>
    </row>
    <row r="6" spans="1:12" ht="12.75">
      <c r="A6" s="36" t="s">
        <v>294</v>
      </c>
      <c r="B6" s="92" t="s">
        <v>132</v>
      </c>
      <c r="C6" s="11" t="s">
        <v>133</v>
      </c>
      <c r="D6" s="10" t="s">
        <v>318</v>
      </c>
      <c r="E6" s="10" t="str">
        <f>"0,6955"</f>
        <v>0,6955</v>
      </c>
      <c r="F6" s="11" t="s">
        <v>78</v>
      </c>
      <c r="G6" s="11" t="s">
        <v>79</v>
      </c>
      <c r="H6" s="38" t="s">
        <v>124</v>
      </c>
      <c r="I6" s="38" t="s">
        <v>391</v>
      </c>
      <c r="J6" s="38" t="s">
        <v>364</v>
      </c>
      <c r="K6" s="38" t="str">
        <f>"1982,0325"</f>
        <v>1982,0325</v>
      </c>
      <c r="L6" s="11" t="s">
        <v>22</v>
      </c>
    </row>
    <row r="7" spans="1:12" ht="12.75">
      <c r="A7" s="36" t="s">
        <v>295</v>
      </c>
      <c r="B7" s="94" t="s">
        <v>243</v>
      </c>
      <c r="C7" s="15" t="s">
        <v>244</v>
      </c>
      <c r="D7" s="14" t="s">
        <v>318</v>
      </c>
      <c r="E7" s="14" t="str">
        <f>"0,6955"</f>
        <v>0,6955</v>
      </c>
      <c r="F7" s="15" t="s">
        <v>13</v>
      </c>
      <c r="G7" s="15" t="s">
        <v>37</v>
      </c>
      <c r="H7" s="40" t="s">
        <v>124</v>
      </c>
      <c r="I7" s="40" t="s">
        <v>392</v>
      </c>
      <c r="J7" s="40" t="s">
        <v>365</v>
      </c>
      <c r="K7" s="40" t="str">
        <f>"1095,3338"</f>
        <v>1095,3338</v>
      </c>
      <c r="L7" s="15" t="s">
        <v>22</v>
      </c>
    </row>
    <row r="9" spans="2:11" ht="15">
      <c r="B9" s="125" t="s">
        <v>23</v>
      </c>
      <c r="C9" s="119"/>
      <c r="D9" s="119"/>
      <c r="E9" s="119"/>
      <c r="F9" s="119"/>
      <c r="G9" s="119"/>
      <c r="H9" s="119"/>
      <c r="I9" s="119"/>
      <c r="J9" s="119"/>
      <c r="K9" s="119"/>
    </row>
    <row r="10" spans="1:12" ht="12.75">
      <c r="A10" s="36" t="s">
        <v>294</v>
      </c>
      <c r="B10" s="9" t="s">
        <v>386</v>
      </c>
      <c r="C10" s="9" t="s">
        <v>366</v>
      </c>
      <c r="D10" s="8" t="s">
        <v>398</v>
      </c>
      <c r="E10" s="8" t="str">
        <f>"0,6761"</f>
        <v>0,6761</v>
      </c>
      <c r="F10" s="9" t="s">
        <v>131</v>
      </c>
      <c r="G10" s="9" t="s">
        <v>26</v>
      </c>
      <c r="H10" s="37" t="s">
        <v>367</v>
      </c>
      <c r="I10" s="37" t="s">
        <v>393</v>
      </c>
      <c r="J10" s="37" t="s">
        <v>368</v>
      </c>
      <c r="K10" s="37" t="str">
        <f>"1519,5348"</f>
        <v>1519,5348</v>
      </c>
      <c r="L10" s="9" t="s">
        <v>22</v>
      </c>
    </row>
    <row r="12" spans="2:11" ht="15">
      <c r="B12" s="125" t="s">
        <v>40</v>
      </c>
      <c r="C12" s="119"/>
      <c r="D12" s="119"/>
      <c r="E12" s="119"/>
      <c r="F12" s="119"/>
      <c r="G12" s="119"/>
      <c r="H12" s="119"/>
      <c r="I12" s="119"/>
      <c r="J12" s="119"/>
      <c r="K12" s="119"/>
    </row>
    <row r="13" spans="1:12" ht="12.75">
      <c r="A13" s="36" t="s">
        <v>294</v>
      </c>
      <c r="B13" s="91" t="s">
        <v>369</v>
      </c>
      <c r="C13" s="9" t="s">
        <v>370</v>
      </c>
      <c r="D13" s="8" t="s">
        <v>371</v>
      </c>
      <c r="E13" s="8" t="str">
        <f>"0,6326"</f>
        <v>0,6326</v>
      </c>
      <c r="F13" s="9" t="s">
        <v>13</v>
      </c>
      <c r="G13" s="9" t="s">
        <v>37</v>
      </c>
      <c r="H13" s="37" t="s">
        <v>371</v>
      </c>
      <c r="I13" s="37" t="s">
        <v>394</v>
      </c>
      <c r="J13" s="37" t="s">
        <v>373</v>
      </c>
      <c r="K13" s="37" t="str">
        <f>"2150,8400"</f>
        <v>2150,8400</v>
      </c>
      <c r="L13" s="9" t="s">
        <v>22</v>
      </c>
    </row>
    <row r="15" spans="2:11" ht="15">
      <c r="B15" s="125" t="s">
        <v>157</v>
      </c>
      <c r="C15" s="119"/>
      <c r="D15" s="119"/>
      <c r="E15" s="119"/>
      <c r="F15" s="119"/>
      <c r="G15" s="119"/>
      <c r="H15" s="119"/>
      <c r="I15" s="119"/>
      <c r="J15" s="119"/>
      <c r="K15" s="119"/>
    </row>
    <row r="16" spans="1:12" ht="12.75">
      <c r="A16" s="36" t="s">
        <v>294</v>
      </c>
      <c r="B16" s="92" t="s">
        <v>374</v>
      </c>
      <c r="C16" s="11" t="s">
        <v>141</v>
      </c>
      <c r="D16" s="10" t="s">
        <v>399</v>
      </c>
      <c r="E16" s="10" t="str">
        <f>"0,6040"</f>
        <v>0,6040</v>
      </c>
      <c r="F16" s="11" t="s">
        <v>13</v>
      </c>
      <c r="G16" s="11" t="s">
        <v>26</v>
      </c>
      <c r="H16" s="38" t="s">
        <v>375</v>
      </c>
      <c r="I16" s="38" t="s">
        <v>393</v>
      </c>
      <c r="J16" s="38" t="s">
        <v>376</v>
      </c>
      <c r="K16" s="38" t="str">
        <f>"1620,2299"</f>
        <v>1620,2299</v>
      </c>
      <c r="L16" s="11" t="s">
        <v>22</v>
      </c>
    </row>
    <row r="17" spans="1:12" ht="12.75">
      <c r="A17" s="36" t="s">
        <v>295</v>
      </c>
      <c r="B17" s="94" t="s">
        <v>169</v>
      </c>
      <c r="C17" s="15" t="s">
        <v>170</v>
      </c>
      <c r="D17" s="14" t="s">
        <v>329</v>
      </c>
      <c r="E17" s="14" t="str">
        <f>"0,5952"</f>
        <v>0,5952</v>
      </c>
      <c r="F17" s="15" t="s">
        <v>13</v>
      </c>
      <c r="G17" s="15" t="s">
        <v>26</v>
      </c>
      <c r="H17" s="40" t="s">
        <v>248</v>
      </c>
      <c r="I17" s="40" t="s">
        <v>395</v>
      </c>
      <c r="J17" s="40" t="s">
        <v>377</v>
      </c>
      <c r="K17" s="40" t="str">
        <f>"1074,3360"</f>
        <v>1074,3360</v>
      </c>
      <c r="L17" s="15" t="s">
        <v>309</v>
      </c>
    </row>
    <row r="19" spans="2:11" ht="15">
      <c r="B19" s="125" t="s">
        <v>94</v>
      </c>
      <c r="C19" s="119"/>
      <c r="D19" s="119"/>
      <c r="E19" s="119"/>
      <c r="F19" s="119"/>
      <c r="G19" s="119"/>
      <c r="H19" s="119"/>
      <c r="I19" s="119"/>
      <c r="J19" s="119"/>
      <c r="K19" s="119"/>
    </row>
    <row r="20" spans="1:12" ht="12.75">
      <c r="A20" s="36" t="s">
        <v>294</v>
      </c>
      <c r="B20" s="91" t="s">
        <v>184</v>
      </c>
      <c r="C20" s="9" t="s">
        <v>185</v>
      </c>
      <c r="D20" s="8" t="s">
        <v>20</v>
      </c>
      <c r="E20" s="8" t="str">
        <f>"0,5355"</f>
        <v>0,5355</v>
      </c>
      <c r="F20" s="9" t="s">
        <v>78</v>
      </c>
      <c r="G20" s="9" t="s">
        <v>79</v>
      </c>
      <c r="H20" s="37" t="s">
        <v>20</v>
      </c>
      <c r="I20" s="37" t="s">
        <v>396</v>
      </c>
      <c r="J20" s="37" t="s">
        <v>378</v>
      </c>
      <c r="K20" s="37" t="str">
        <f>"1301,3136"</f>
        <v>1301,3136</v>
      </c>
      <c r="L20" s="9" t="s">
        <v>22</v>
      </c>
    </row>
    <row r="22" spans="2:3" ht="18">
      <c r="B22" s="16" t="s">
        <v>100</v>
      </c>
      <c r="C22" s="17"/>
    </row>
    <row r="23" spans="2:3" ht="15">
      <c r="B23" s="18" t="s">
        <v>101</v>
      </c>
      <c r="C23" s="19"/>
    </row>
    <row r="24" spans="2:3" ht="14.25">
      <c r="B24" s="21"/>
      <c r="C24" s="22" t="s">
        <v>112</v>
      </c>
    </row>
    <row r="25" spans="2:6" ht="15">
      <c r="B25" s="23" t="s">
        <v>102</v>
      </c>
      <c r="C25" s="23" t="s">
        <v>103</v>
      </c>
      <c r="D25" s="23" t="s">
        <v>104</v>
      </c>
      <c r="E25" s="23" t="s">
        <v>105</v>
      </c>
      <c r="F25" s="23" t="s">
        <v>379</v>
      </c>
    </row>
    <row r="26" spans="1:6" ht="12.75">
      <c r="A26" s="36" t="s">
        <v>294</v>
      </c>
      <c r="B26" s="98" t="s">
        <v>369</v>
      </c>
      <c r="C26" s="1" t="s">
        <v>112</v>
      </c>
      <c r="D26" s="36" t="s">
        <v>61</v>
      </c>
      <c r="E26" s="36" t="s">
        <v>380</v>
      </c>
      <c r="F26" s="36" t="s">
        <v>381</v>
      </c>
    </row>
    <row r="27" spans="1:6" ht="12.75">
      <c r="A27" s="36" t="s">
        <v>295</v>
      </c>
      <c r="B27" s="98" t="s">
        <v>132</v>
      </c>
      <c r="C27" s="1" t="s">
        <v>112</v>
      </c>
      <c r="D27" s="36" t="s">
        <v>336</v>
      </c>
      <c r="E27" s="36" t="s">
        <v>382</v>
      </c>
      <c r="F27" s="36" t="s">
        <v>383</v>
      </c>
    </row>
    <row r="28" spans="1:6" ht="12.75">
      <c r="A28" s="36" t="s">
        <v>296</v>
      </c>
      <c r="B28" s="98" t="s">
        <v>374</v>
      </c>
      <c r="C28" s="1" t="s">
        <v>112</v>
      </c>
      <c r="D28" s="36" t="s">
        <v>397</v>
      </c>
      <c r="E28" s="36" t="s">
        <v>384</v>
      </c>
      <c r="F28" s="36" t="s">
        <v>385</v>
      </c>
    </row>
  </sheetData>
  <sheetProtection/>
  <mergeCells count="17">
    <mergeCell ref="B19:K19"/>
    <mergeCell ref="B1:L2"/>
    <mergeCell ref="B3:B4"/>
    <mergeCell ref="C3:C4"/>
    <mergeCell ref="D3:D4"/>
    <mergeCell ref="E3:E4"/>
    <mergeCell ref="F3:F4"/>
    <mergeCell ref="G3:G4"/>
    <mergeCell ref="H3:I3"/>
    <mergeCell ref="J3:J4"/>
    <mergeCell ref="A3:A4"/>
    <mergeCell ref="L3:L4"/>
    <mergeCell ref="B5:K5"/>
    <mergeCell ref="B9:K9"/>
    <mergeCell ref="B12:K12"/>
    <mergeCell ref="B15:K15"/>
    <mergeCell ref="K3:K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PageLayoutView="0" workbookViewId="0" topLeftCell="A1">
      <selection activeCell="J17" sqref="J17"/>
    </sheetView>
  </sheetViews>
  <sheetFormatPr defaultColWidth="9.00390625" defaultRowHeight="12.75"/>
  <cols>
    <col min="2" max="2" width="16.625" style="24" customWidth="1"/>
    <col min="3" max="3" width="26.00390625" style="24" customWidth="1"/>
    <col min="4" max="4" width="10.625" style="24" bestFit="1" customWidth="1"/>
    <col min="5" max="5" width="8.375" style="24" bestFit="1" customWidth="1"/>
    <col min="6" max="6" width="22.75390625" style="24" bestFit="1" customWidth="1"/>
    <col min="7" max="7" width="30.625" style="24" bestFit="1" customWidth="1"/>
    <col min="8" max="8" width="5.875" style="24" customWidth="1"/>
    <col min="9" max="9" width="9.75390625" style="24" customWidth="1"/>
    <col min="10" max="10" width="8.875" style="24" customWidth="1"/>
    <col min="11" max="11" width="9.625" style="24" bestFit="1" customWidth="1"/>
    <col min="12" max="12" width="12.25390625" style="24" customWidth="1"/>
  </cols>
  <sheetData>
    <row r="1" spans="2:12" s="1" customFormat="1" ht="15" customHeight="1">
      <c r="B1" s="108" t="s">
        <v>403</v>
      </c>
      <c r="C1" s="109"/>
      <c r="D1" s="109"/>
      <c r="E1" s="109"/>
      <c r="F1" s="109"/>
      <c r="G1" s="109"/>
      <c r="H1" s="109"/>
      <c r="I1" s="109"/>
      <c r="J1" s="109"/>
      <c r="K1" s="109"/>
      <c r="L1" s="110"/>
    </row>
    <row r="2" spans="2:12" s="1" customFormat="1" ht="86.25" customHeight="1" thickBot="1"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3"/>
    </row>
    <row r="3" spans="1:12" s="2" customFormat="1" ht="12.75" customHeight="1">
      <c r="A3" s="102" t="s">
        <v>287</v>
      </c>
      <c r="B3" s="114" t="s">
        <v>0</v>
      </c>
      <c r="C3" s="116" t="s">
        <v>288</v>
      </c>
      <c r="D3" s="117" t="s">
        <v>289</v>
      </c>
      <c r="E3" s="101" t="s">
        <v>290</v>
      </c>
      <c r="F3" s="101" t="s">
        <v>7</v>
      </c>
      <c r="G3" s="99" t="s">
        <v>291</v>
      </c>
      <c r="H3" s="101" t="s">
        <v>2</v>
      </c>
      <c r="I3" s="101"/>
      <c r="J3" s="101" t="s">
        <v>390</v>
      </c>
      <c r="K3" s="101" t="s">
        <v>6</v>
      </c>
      <c r="L3" s="105" t="s">
        <v>5</v>
      </c>
    </row>
    <row r="4" spans="1:12" s="2" customFormat="1" ht="21" customHeight="1" thickBot="1">
      <c r="A4" s="103"/>
      <c r="B4" s="115"/>
      <c r="C4" s="104"/>
      <c r="D4" s="118"/>
      <c r="E4" s="104"/>
      <c r="F4" s="104"/>
      <c r="G4" s="100"/>
      <c r="H4" s="6" t="s">
        <v>388</v>
      </c>
      <c r="I4" s="6" t="s">
        <v>389</v>
      </c>
      <c r="J4" s="104"/>
      <c r="K4" s="104"/>
      <c r="L4" s="106"/>
    </row>
    <row r="5" spans="2:11" ht="15">
      <c r="B5" s="107" t="s">
        <v>16</v>
      </c>
      <c r="C5" s="107"/>
      <c r="D5" s="107"/>
      <c r="E5" s="107"/>
      <c r="F5" s="107"/>
      <c r="G5" s="107"/>
      <c r="H5" s="107"/>
      <c r="I5" s="107"/>
      <c r="J5" s="107"/>
      <c r="K5" s="107"/>
    </row>
    <row r="6" spans="1:12" ht="12.75">
      <c r="A6" s="57">
        <v>1</v>
      </c>
      <c r="B6" s="25" t="s">
        <v>400</v>
      </c>
      <c r="C6" s="25" t="s">
        <v>401</v>
      </c>
      <c r="D6" s="87" t="s">
        <v>462</v>
      </c>
      <c r="E6" s="25" t="str">
        <f>"0,7164"</f>
        <v>0,7164</v>
      </c>
      <c r="F6" s="25" t="s">
        <v>131</v>
      </c>
      <c r="G6" s="25" t="s">
        <v>26</v>
      </c>
      <c r="H6" s="60" t="s">
        <v>235</v>
      </c>
      <c r="I6" s="60" t="s">
        <v>463</v>
      </c>
      <c r="J6" s="60" t="s">
        <v>464</v>
      </c>
      <c r="K6" s="60" t="str">
        <f>"1665,7462"</f>
        <v>1665,7462</v>
      </c>
      <c r="L6" s="25" t="s">
        <v>402</v>
      </c>
    </row>
  </sheetData>
  <sheetProtection/>
  <mergeCells count="13">
    <mergeCell ref="H3:I3"/>
    <mergeCell ref="J3:J4"/>
    <mergeCell ref="K3:K4"/>
    <mergeCell ref="L3:L4"/>
    <mergeCell ref="B5:K5"/>
    <mergeCell ref="A3:A4"/>
    <mergeCell ref="B1:L2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M3" sqref="A3:IV4"/>
    </sheetView>
  </sheetViews>
  <sheetFormatPr defaultColWidth="9.00390625" defaultRowHeight="12.75"/>
  <cols>
    <col min="1" max="1" width="9.125" style="57" customWidth="1"/>
    <col min="2" max="2" width="21.875" style="24" customWidth="1"/>
    <col min="3" max="3" width="26.875" style="24" bestFit="1" customWidth="1"/>
    <col min="4" max="4" width="10.625" style="24" bestFit="1" customWidth="1"/>
    <col min="5" max="5" width="8.375" style="24" bestFit="1" customWidth="1"/>
    <col min="6" max="6" width="12.75390625" style="24" customWidth="1"/>
    <col min="7" max="7" width="37.125" style="24" customWidth="1"/>
    <col min="8" max="8" width="5.625" style="24" bestFit="1" customWidth="1"/>
    <col min="9" max="9" width="9.625" style="24" bestFit="1" customWidth="1"/>
    <col min="10" max="10" width="8.875" style="24" customWidth="1"/>
    <col min="11" max="11" width="9.625" style="24" bestFit="1" customWidth="1"/>
    <col min="12" max="12" width="15.875" style="24" customWidth="1"/>
  </cols>
  <sheetData>
    <row r="1" spans="1:12" s="1" customFormat="1" ht="15" customHeight="1">
      <c r="A1" s="36"/>
      <c r="B1" s="108" t="s">
        <v>448</v>
      </c>
      <c r="C1" s="109"/>
      <c r="D1" s="109"/>
      <c r="E1" s="109"/>
      <c r="F1" s="109"/>
      <c r="G1" s="109"/>
      <c r="H1" s="109"/>
      <c r="I1" s="109"/>
      <c r="J1" s="109"/>
      <c r="K1" s="109"/>
      <c r="L1" s="110"/>
    </row>
    <row r="2" spans="1:12" s="1" customFormat="1" ht="103.5" customHeight="1" thickBot="1">
      <c r="A2" s="36"/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3"/>
    </row>
    <row r="3" spans="1:12" s="2" customFormat="1" ht="12.75" customHeight="1">
      <c r="A3" s="102" t="s">
        <v>287</v>
      </c>
      <c r="B3" s="114" t="s">
        <v>0</v>
      </c>
      <c r="C3" s="116" t="s">
        <v>288</v>
      </c>
      <c r="D3" s="117" t="s">
        <v>289</v>
      </c>
      <c r="E3" s="101" t="s">
        <v>290</v>
      </c>
      <c r="F3" s="101" t="s">
        <v>7</v>
      </c>
      <c r="G3" s="99" t="s">
        <v>291</v>
      </c>
      <c r="H3" s="101" t="s">
        <v>2</v>
      </c>
      <c r="I3" s="101"/>
      <c r="J3" s="101" t="s">
        <v>390</v>
      </c>
      <c r="K3" s="101" t="s">
        <v>6</v>
      </c>
      <c r="L3" s="105" t="s">
        <v>5</v>
      </c>
    </row>
    <row r="4" spans="1:12" s="2" customFormat="1" ht="21" customHeight="1" thickBot="1">
      <c r="A4" s="103"/>
      <c r="B4" s="115"/>
      <c r="C4" s="104"/>
      <c r="D4" s="118"/>
      <c r="E4" s="104"/>
      <c r="F4" s="104"/>
      <c r="G4" s="100"/>
      <c r="H4" s="6" t="s">
        <v>388</v>
      </c>
      <c r="I4" s="6" t="s">
        <v>389</v>
      </c>
      <c r="J4" s="104"/>
      <c r="K4" s="104"/>
      <c r="L4" s="106"/>
    </row>
    <row r="5" spans="2:11" ht="15">
      <c r="B5" s="119" t="s">
        <v>10</v>
      </c>
      <c r="C5" s="119"/>
      <c r="D5" s="119"/>
      <c r="E5" s="119"/>
      <c r="F5" s="119"/>
      <c r="G5" s="119"/>
      <c r="H5" s="119"/>
      <c r="I5" s="119"/>
      <c r="J5" s="119"/>
      <c r="K5" s="119"/>
    </row>
    <row r="6" spans="1:12" ht="12.75">
      <c r="A6" s="57">
        <v>1</v>
      </c>
      <c r="B6" s="25" t="s">
        <v>11</v>
      </c>
      <c r="C6" s="25" t="s">
        <v>12</v>
      </c>
      <c r="D6" s="87" t="s">
        <v>430</v>
      </c>
      <c r="E6" s="25" t="str">
        <f>"0,7590"</f>
        <v>0,7590</v>
      </c>
      <c r="F6" s="25" t="s">
        <v>13</v>
      </c>
      <c r="G6" s="25" t="s">
        <v>14</v>
      </c>
      <c r="H6" s="60" t="s">
        <v>406</v>
      </c>
      <c r="I6" s="60" t="s">
        <v>439</v>
      </c>
      <c r="J6" s="60">
        <v>1822.5</v>
      </c>
      <c r="K6" s="60" t="str">
        <f>"1383,2775"</f>
        <v>1383,2775</v>
      </c>
      <c r="L6" s="25" t="s">
        <v>298</v>
      </c>
    </row>
    <row r="8" spans="2:11" ht="15">
      <c r="B8" s="119" t="s">
        <v>16</v>
      </c>
      <c r="C8" s="119"/>
      <c r="D8" s="119"/>
      <c r="E8" s="119"/>
      <c r="F8" s="119"/>
      <c r="G8" s="119"/>
      <c r="H8" s="119"/>
      <c r="I8" s="119"/>
      <c r="J8" s="119"/>
      <c r="K8" s="119"/>
    </row>
    <row r="9" spans="1:12" ht="12.75">
      <c r="A9" s="57">
        <v>1</v>
      </c>
      <c r="B9" s="26" t="s">
        <v>139</v>
      </c>
      <c r="C9" s="26" t="s">
        <v>140</v>
      </c>
      <c r="D9" s="88" t="s">
        <v>320</v>
      </c>
      <c r="E9" s="26" t="str">
        <f>"0,6892"</f>
        <v>0,6892</v>
      </c>
      <c r="F9" s="26" t="s">
        <v>78</v>
      </c>
      <c r="G9" s="26" t="s">
        <v>79</v>
      </c>
      <c r="H9" s="63" t="s">
        <v>124</v>
      </c>
      <c r="I9" s="63" t="s">
        <v>440</v>
      </c>
      <c r="J9" s="63" t="s">
        <v>425</v>
      </c>
      <c r="K9" s="63" t="str">
        <f>"1188,8700"</f>
        <v>1188,8700</v>
      </c>
      <c r="L9" s="26" t="s">
        <v>447</v>
      </c>
    </row>
    <row r="10" spans="1:12" ht="12.75">
      <c r="A10" s="57">
        <v>1</v>
      </c>
      <c r="B10" s="28" t="s">
        <v>407</v>
      </c>
      <c r="C10" s="28" t="s">
        <v>408</v>
      </c>
      <c r="D10" s="90" t="s">
        <v>431</v>
      </c>
      <c r="E10" s="28" t="str">
        <f>"0,7348"</f>
        <v>0,7348</v>
      </c>
      <c r="F10" s="28" t="s">
        <v>131</v>
      </c>
      <c r="G10" s="28" t="s">
        <v>26</v>
      </c>
      <c r="H10" s="66" t="s">
        <v>122</v>
      </c>
      <c r="I10" s="66" t="s">
        <v>441</v>
      </c>
      <c r="J10" s="66" t="s">
        <v>427</v>
      </c>
      <c r="K10" s="66" t="str">
        <f>"2034,4322"</f>
        <v>2034,4322</v>
      </c>
      <c r="L10" s="28" t="s">
        <v>22</v>
      </c>
    </row>
    <row r="12" spans="2:11" ht="15">
      <c r="B12" s="119" t="s">
        <v>23</v>
      </c>
      <c r="C12" s="119"/>
      <c r="D12" s="119"/>
      <c r="E12" s="119"/>
      <c r="F12" s="119"/>
      <c r="G12" s="119"/>
      <c r="H12" s="119"/>
      <c r="I12" s="119"/>
      <c r="J12" s="119"/>
      <c r="K12" s="119"/>
    </row>
    <row r="13" spans="1:12" ht="12.75">
      <c r="A13" s="57">
        <v>1</v>
      </c>
      <c r="B13" s="26" t="s">
        <v>35</v>
      </c>
      <c r="C13" s="26" t="s">
        <v>36</v>
      </c>
      <c r="D13" s="88" t="s">
        <v>432</v>
      </c>
      <c r="E13" s="26" t="str">
        <f>"0,6535"</f>
        <v>0,6535</v>
      </c>
      <c r="F13" s="26" t="s">
        <v>13</v>
      </c>
      <c r="G13" s="26" t="s">
        <v>37</v>
      </c>
      <c r="H13" s="63" t="s">
        <v>273</v>
      </c>
      <c r="I13" s="63" t="s">
        <v>440</v>
      </c>
      <c r="J13" s="63">
        <v>1897.5</v>
      </c>
      <c r="K13" s="63" t="str">
        <f>"1239,9214"</f>
        <v>1239,9214</v>
      </c>
      <c r="L13" s="26" t="s">
        <v>22</v>
      </c>
    </row>
    <row r="14" spans="1:12" ht="12.75">
      <c r="A14" s="57">
        <v>2</v>
      </c>
      <c r="B14" s="28" t="s">
        <v>409</v>
      </c>
      <c r="C14" s="28" t="s">
        <v>410</v>
      </c>
      <c r="D14" s="90" t="s">
        <v>433</v>
      </c>
      <c r="E14" s="28" t="str">
        <f>"0,6652"</f>
        <v>0,6652</v>
      </c>
      <c r="F14" s="28" t="s">
        <v>13</v>
      </c>
      <c r="G14" s="28" t="s">
        <v>411</v>
      </c>
      <c r="H14" s="66" t="s">
        <v>60</v>
      </c>
      <c r="I14" s="66" t="s">
        <v>442</v>
      </c>
      <c r="J14" s="66" t="s">
        <v>426</v>
      </c>
      <c r="K14" s="66" t="str">
        <f>"1170,7520"</f>
        <v>1170,7520</v>
      </c>
      <c r="L14" s="28" t="s">
        <v>22</v>
      </c>
    </row>
    <row r="16" spans="2:11" ht="15">
      <c r="B16" s="119" t="s">
        <v>40</v>
      </c>
      <c r="C16" s="119"/>
      <c r="D16" s="119"/>
      <c r="E16" s="119"/>
      <c r="F16" s="119"/>
      <c r="G16" s="119"/>
      <c r="H16" s="119"/>
      <c r="I16" s="119"/>
      <c r="J16" s="119"/>
      <c r="K16" s="119"/>
    </row>
    <row r="17" spans="1:12" ht="12.75">
      <c r="A17" s="57">
        <v>1</v>
      </c>
      <c r="B17" s="26" t="s">
        <v>207</v>
      </c>
      <c r="C17" s="26" t="s">
        <v>208</v>
      </c>
      <c r="D17" s="88" t="s">
        <v>340</v>
      </c>
      <c r="E17" s="26" t="str">
        <f>"0,6255"</f>
        <v>0,6255</v>
      </c>
      <c r="F17" s="26" t="s">
        <v>13</v>
      </c>
      <c r="G17" s="26" t="s">
        <v>438</v>
      </c>
      <c r="H17" s="63" t="s">
        <v>412</v>
      </c>
      <c r="I17" s="63" t="s">
        <v>443</v>
      </c>
      <c r="J17" s="63">
        <v>2712.5</v>
      </c>
      <c r="K17" s="63" t="str">
        <f>"1696,6688"</f>
        <v>1696,6688</v>
      </c>
      <c r="L17" s="26" t="s">
        <v>22</v>
      </c>
    </row>
    <row r="18" spans="1:12" ht="12.75">
      <c r="A18" s="57">
        <v>2</v>
      </c>
      <c r="B18" s="27" t="s">
        <v>47</v>
      </c>
      <c r="C18" s="27" t="s">
        <v>48</v>
      </c>
      <c r="D18" s="89" t="s">
        <v>434</v>
      </c>
      <c r="E18" s="27" t="str">
        <f>"0,6184"</f>
        <v>0,6184</v>
      </c>
      <c r="F18" s="27" t="s">
        <v>13</v>
      </c>
      <c r="G18" s="27" t="s">
        <v>26</v>
      </c>
      <c r="H18" s="64" t="s">
        <v>61</v>
      </c>
      <c r="I18" s="64" t="s">
        <v>444</v>
      </c>
      <c r="J18" s="64" t="s">
        <v>421</v>
      </c>
      <c r="K18" s="64" t="str">
        <f>"1669,8150"</f>
        <v>1669,8150</v>
      </c>
      <c r="L18" s="27" t="s">
        <v>22</v>
      </c>
    </row>
    <row r="19" spans="1:12" ht="12.75">
      <c r="A19" s="57">
        <v>3</v>
      </c>
      <c r="B19" s="28" t="s">
        <v>413</v>
      </c>
      <c r="C19" s="28" t="s">
        <v>414</v>
      </c>
      <c r="D19" s="90" t="s">
        <v>61</v>
      </c>
      <c r="E19" s="28" t="str">
        <f>"0,6119"</f>
        <v>0,6119</v>
      </c>
      <c r="F19" s="28" t="s">
        <v>13</v>
      </c>
      <c r="G19" s="28" t="s">
        <v>55</v>
      </c>
      <c r="H19" s="66" t="s">
        <v>61</v>
      </c>
      <c r="I19" s="66" t="s">
        <v>445</v>
      </c>
      <c r="J19" s="66" t="s">
        <v>423</v>
      </c>
      <c r="K19" s="66" t="str">
        <f>"1376,6626"</f>
        <v>1376,6626</v>
      </c>
      <c r="L19" s="28" t="s">
        <v>22</v>
      </c>
    </row>
    <row r="21" spans="2:11" ht="15">
      <c r="B21" s="119" t="s">
        <v>63</v>
      </c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2" ht="12.75">
      <c r="A22" s="57">
        <v>1</v>
      </c>
      <c r="B22" s="25" t="s">
        <v>76</v>
      </c>
      <c r="C22" s="25" t="s">
        <v>77</v>
      </c>
      <c r="D22" s="87" t="s">
        <v>435</v>
      </c>
      <c r="E22" s="25" t="str">
        <f>"0,5710"</f>
        <v>0,5710</v>
      </c>
      <c r="F22" s="25" t="s">
        <v>78</v>
      </c>
      <c r="G22" s="25" t="s">
        <v>79</v>
      </c>
      <c r="H22" s="60" t="s">
        <v>272</v>
      </c>
      <c r="I22" s="60" t="s">
        <v>444</v>
      </c>
      <c r="J22" s="60" t="s">
        <v>417</v>
      </c>
      <c r="K22" s="60" t="str">
        <f>"1798,8075"</f>
        <v>1798,8075</v>
      </c>
      <c r="L22" s="25" t="s">
        <v>22</v>
      </c>
    </row>
    <row r="24" spans="2:11" ht="15">
      <c r="B24" s="119" t="s">
        <v>82</v>
      </c>
      <c r="C24" s="119"/>
      <c r="D24" s="119"/>
      <c r="E24" s="119"/>
      <c r="F24" s="119"/>
      <c r="G24" s="119"/>
      <c r="H24" s="119"/>
      <c r="I24" s="119"/>
      <c r="J24" s="119"/>
      <c r="K24" s="119"/>
    </row>
    <row r="25" spans="1:12" ht="12.75">
      <c r="A25" s="57">
        <v>1</v>
      </c>
      <c r="B25" s="26" t="s">
        <v>88</v>
      </c>
      <c r="C25" s="26" t="s">
        <v>89</v>
      </c>
      <c r="D25" s="88" t="s">
        <v>436</v>
      </c>
      <c r="E25" s="26" t="str">
        <f>"0,5538"</f>
        <v>0,5538</v>
      </c>
      <c r="F25" s="26" t="s">
        <v>13</v>
      </c>
      <c r="G25" s="26" t="s">
        <v>90</v>
      </c>
      <c r="H25" s="63" t="s">
        <v>29</v>
      </c>
      <c r="I25" s="63" t="s">
        <v>446</v>
      </c>
      <c r="J25" s="63" t="s">
        <v>424</v>
      </c>
      <c r="K25" s="63" t="str">
        <f>"1301,5475"</f>
        <v>1301,5475</v>
      </c>
      <c r="L25" s="26" t="s">
        <v>22</v>
      </c>
    </row>
    <row r="26" spans="1:12" ht="12.75">
      <c r="A26" s="57">
        <v>1</v>
      </c>
      <c r="B26" s="28" t="s">
        <v>415</v>
      </c>
      <c r="C26" s="28" t="s">
        <v>416</v>
      </c>
      <c r="D26" s="90" t="s">
        <v>437</v>
      </c>
      <c r="E26" s="28" t="str">
        <f>"0,5586"</f>
        <v>0,5586</v>
      </c>
      <c r="F26" s="28" t="s">
        <v>13</v>
      </c>
      <c r="G26" s="28" t="s">
        <v>33</v>
      </c>
      <c r="H26" s="66" t="s">
        <v>28</v>
      </c>
      <c r="I26" s="66" t="s">
        <v>442</v>
      </c>
      <c r="J26" s="66" t="s">
        <v>428</v>
      </c>
      <c r="K26" s="66" t="str">
        <f>"1572,8154"</f>
        <v>1572,8154</v>
      </c>
      <c r="L26" s="28" t="s">
        <v>22</v>
      </c>
    </row>
    <row r="28" spans="2:3" ht="18">
      <c r="B28" s="29" t="s">
        <v>100</v>
      </c>
      <c r="C28" s="29"/>
    </row>
    <row r="29" spans="2:3" ht="15">
      <c r="B29" s="30" t="s">
        <v>101</v>
      </c>
      <c r="C29" s="30"/>
    </row>
    <row r="30" spans="2:3" ht="14.25">
      <c r="B30" s="32"/>
      <c r="C30" s="33" t="s">
        <v>112</v>
      </c>
    </row>
    <row r="31" spans="2:6" ht="15">
      <c r="B31" s="34" t="s">
        <v>102</v>
      </c>
      <c r="C31" s="34" t="s">
        <v>103</v>
      </c>
      <c r="D31" s="34" t="s">
        <v>104</v>
      </c>
      <c r="E31" s="34" t="s">
        <v>105</v>
      </c>
      <c r="F31" s="34" t="s">
        <v>379</v>
      </c>
    </row>
    <row r="32" spans="1:6" ht="12.75">
      <c r="A32" s="57">
        <v>1</v>
      </c>
      <c r="B32" s="31" t="s">
        <v>76</v>
      </c>
      <c r="C32" s="58" t="s">
        <v>112</v>
      </c>
      <c r="D32" s="59" t="s">
        <v>27</v>
      </c>
      <c r="E32" s="59" t="s">
        <v>417</v>
      </c>
      <c r="F32" s="59" t="s">
        <v>418</v>
      </c>
    </row>
    <row r="33" spans="1:6" ht="12.75">
      <c r="A33" s="57">
        <v>2</v>
      </c>
      <c r="B33" s="31" t="s">
        <v>207</v>
      </c>
      <c r="C33" s="58" t="s">
        <v>112</v>
      </c>
      <c r="D33" s="59" t="s">
        <v>61</v>
      </c>
      <c r="E33" s="59" t="s">
        <v>419</v>
      </c>
      <c r="F33" s="59" t="s">
        <v>420</v>
      </c>
    </row>
    <row r="34" spans="1:6" ht="12.75">
      <c r="A34" s="57">
        <v>3</v>
      </c>
      <c r="B34" s="31" t="s">
        <v>47</v>
      </c>
      <c r="C34" s="58" t="s">
        <v>112</v>
      </c>
      <c r="D34" s="59" t="s">
        <v>299</v>
      </c>
      <c r="E34" s="59" t="s">
        <v>421</v>
      </c>
      <c r="F34" s="59" t="s">
        <v>422</v>
      </c>
    </row>
  </sheetData>
  <sheetProtection/>
  <mergeCells count="18">
    <mergeCell ref="B1:L2"/>
    <mergeCell ref="B3:B4"/>
    <mergeCell ref="C3:C4"/>
    <mergeCell ref="D3:D4"/>
    <mergeCell ref="E3:E4"/>
    <mergeCell ref="F3:F4"/>
    <mergeCell ref="G3:G4"/>
    <mergeCell ref="H3:I3"/>
    <mergeCell ref="J3:J4"/>
    <mergeCell ref="K3:K4"/>
    <mergeCell ref="B21:K21"/>
    <mergeCell ref="B24:K24"/>
    <mergeCell ref="A3:A4"/>
    <mergeCell ref="L3:L4"/>
    <mergeCell ref="B5:K5"/>
    <mergeCell ref="B8:K8"/>
    <mergeCell ref="B12:K12"/>
    <mergeCell ref="B16:K1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C27" sqref="C27"/>
    </sheetView>
  </sheetViews>
  <sheetFormatPr defaultColWidth="9.00390625" defaultRowHeight="12.75"/>
  <cols>
    <col min="2" max="2" width="20.25390625" style="24" customWidth="1"/>
    <col min="3" max="3" width="26.875" style="24" bestFit="1" customWidth="1"/>
    <col min="4" max="4" width="10.625" style="58" bestFit="1" customWidth="1"/>
    <col min="5" max="5" width="8.375" style="24" bestFit="1" customWidth="1"/>
    <col min="6" max="6" width="13.25390625" style="24" customWidth="1"/>
    <col min="7" max="7" width="37.875" style="24" customWidth="1"/>
    <col min="8" max="8" width="4.75390625" style="24" bestFit="1" customWidth="1"/>
    <col min="9" max="9" width="9.625" style="24" bestFit="1" customWidth="1"/>
    <col min="10" max="10" width="8.75390625" style="24" customWidth="1"/>
    <col min="11" max="11" width="9.625" style="24" bestFit="1" customWidth="1"/>
    <col min="12" max="12" width="15.375" style="24" customWidth="1"/>
  </cols>
  <sheetData>
    <row r="1" spans="2:12" s="1" customFormat="1" ht="15" customHeight="1">
      <c r="B1" s="108" t="s">
        <v>455</v>
      </c>
      <c r="C1" s="109"/>
      <c r="D1" s="109"/>
      <c r="E1" s="109"/>
      <c r="F1" s="109"/>
      <c r="G1" s="109"/>
      <c r="H1" s="109"/>
      <c r="I1" s="109"/>
      <c r="J1" s="109"/>
      <c r="K1" s="109"/>
      <c r="L1" s="110"/>
    </row>
    <row r="2" spans="2:12" s="1" customFormat="1" ht="76.5" customHeight="1" thickBot="1"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3"/>
    </row>
    <row r="3" spans="1:12" s="2" customFormat="1" ht="12.75" customHeight="1">
      <c r="A3" s="102" t="s">
        <v>287</v>
      </c>
      <c r="B3" s="114" t="s">
        <v>0</v>
      </c>
      <c r="C3" s="116" t="s">
        <v>288</v>
      </c>
      <c r="D3" s="117" t="s">
        <v>289</v>
      </c>
      <c r="E3" s="101" t="s">
        <v>290</v>
      </c>
      <c r="F3" s="101" t="s">
        <v>7</v>
      </c>
      <c r="G3" s="99" t="s">
        <v>291</v>
      </c>
      <c r="H3" s="101" t="s">
        <v>2</v>
      </c>
      <c r="I3" s="101"/>
      <c r="J3" s="101" t="s">
        <v>390</v>
      </c>
      <c r="K3" s="101" t="s">
        <v>6</v>
      </c>
      <c r="L3" s="105" t="s">
        <v>5</v>
      </c>
    </row>
    <row r="4" spans="1:12" s="2" customFormat="1" ht="21" customHeight="1" thickBot="1">
      <c r="A4" s="103"/>
      <c r="B4" s="115"/>
      <c r="C4" s="104"/>
      <c r="D4" s="118"/>
      <c r="E4" s="104"/>
      <c r="F4" s="104"/>
      <c r="G4" s="100"/>
      <c r="H4" s="6" t="s">
        <v>388</v>
      </c>
      <c r="I4" s="6" t="s">
        <v>389</v>
      </c>
      <c r="J4" s="104"/>
      <c r="K4" s="104"/>
      <c r="L4" s="106"/>
    </row>
    <row r="5" spans="2:11" ht="15">
      <c r="B5" s="107" t="s">
        <v>116</v>
      </c>
      <c r="C5" s="107"/>
      <c r="D5" s="107"/>
      <c r="E5" s="107"/>
      <c r="F5" s="107"/>
      <c r="G5" s="107"/>
      <c r="H5" s="107"/>
      <c r="I5" s="107"/>
      <c r="J5" s="107"/>
      <c r="K5" s="107"/>
    </row>
    <row r="6" spans="1:12" ht="12.75">
      <c r="A6" s="57">
        <v>1</v>
      </c>
      <c r="B6" s="25" t="s">
        <v>404</v>
      </c>
      <c r="C6" s="25" t="s">
        <v>405</v>
      </c>
      <c r="D6" s="87" t="s">
        <v>429</v>
      </c>
      <c r="E6" s="25" t="str">
        <f>"1,0010"</f>
        <v>1,0010</v>
      </c>
      <c r="F6" s="25" t="s">
        <v>13</v>
      </c>
      <c r="G6" s="25" t="s">
        <v>26</v>
      </c>
      <c r="H6" s="60" t="s">
        <v>233</v>
      </c>
      <c r="I6" s="60" t="s">
        <v>456</v>
      </c>
      <c r="J6" s="60" t="s">
        <v>453</v>
      </c>
      <c r="K6" s="60" t="str">
        <f>"1171,1701"</f>
        <v>1171,1701</v>
      </c>
      <c r="L6" s="25" t="s">
        <v>459</v>
      </c>
    </row>
    <row r="8" spans="2:11" ht="15">
      <c r="B8" s="119" t="s">
        <v>10</v>
      </c>
      <c r="C8" s="119"/>
      <c r="D8" s="119"/>
      <c r="E8" s="119"/>
      <c r="F8" s="119"/>
      <c r="G8" s="119"/>
      <c r="H8" s="119"/>
      <c r="I8" s="119"/>
      <c r="J8" s="119"/>
      <c r="K8" s="119"/>
    </row>
    <row r="9" spans="1:12" ht="12.75">
      <c r="A9" s="57">
        <v>1</v>
      </c>
      <c r="B9" s="25" t="s">
        <v>449</v>
      </c>
      <c r="C9" s="25" t="s">
        <v>450</v>
      </c>
      <c r="D9" s="87" t="s">
        <v>461</v>
      </c>
      <c r="E9" s="25" t="str">
        <f>"0,9759"</f>
        <v>0,9759</v>
      </c>
      <c r="F9" s="25" t="s">
        <v>13</v>
      </c>
      <c r="G9" s="25" t="s">
        <v>55</v>
      </c>
      <c r="H9" s="60" t="s">
        <v>451</v>
      </c>
      <c r="I9" s="60" t="s">
        <v>457</v>
      </c>
      <c r="J9" s="60">
        <v>1072.5</v>
      </c>
      <c r="K9" s="60" t="str">
        <f>"1104,2186"</f>
        <v>1104,2186</v>
      </c>
      <c r="L9" s="25" t="s">
        <v>460</v>
      </c>
    </row>
    <row r="11" spans="2:11" ht="15">
      <c r="B11" s="119" t="s">
        <v>23</v>
      </c>
      <c r="C11" s="119"/>
      <c r="D11" s="119"/>
      <c r="E11" s="119"/>
      <c r="F11" s="119"/>
      <c r="G11" s="119"/>
      <c r="H11" s="119"/>
      <c r="I11" s="119"/>
      <c r="J11" s="119"/>
      <c r="K11" s="119"/>
    </row>
    <row r="12" spans="1:12" ht="12.75">
      <c r="A12" s="57">
        <v>1</v>
      </c>
      <c r="B12" s="25" t="s">
        <v>24</v>
      </c>
      <c r="C12" s="25" t="s">
        <v>452</v>
      </c>
      <c r="D12" s="87" t="s">
        <v>346</v>
      </c>
      <c r="E12" s="25" t="str">
        <f>"0,6670"</f>
        <v>0,6670</v>
      </c>
      <c r="F12" s="25" t="s">
        <v>13</v>
      </c>
      <c r="G12" s="25" t="s">
        <v>26</v>
      </c>
      <c r="H12" s="60" t="s">
        <v>372</v>
      </c>
      <c r="I12" s="60" t="s">
        <v>458</v>
      </c>
      <c r="J12" s="60" t="s">
        <v>454</v>
      </c>
      <c r="K12" s="60" t="str">
        <f>"1920,9600"</f>
        <v>1920,9600</v>
      </c>
      <c r="L12" s="25" t="s">
        <v>22</v>
      </c>
    </row>
  </sheetData>
  <sheetProtection/>
  <mergeCells count="15">
    <mergeCell ref="F3:F4"/>
    <mergeCell ref="G3:G4"/>
    <mergeCell ref="H3:I3"/>
    <mergeCell ref="J3:J4"/>
    <mergeCell ref="K3:K4"/>
    <mergeCell ref="L3:L4"/>
    <mergeCell ref="B5:K5"/>
    <mergeCell ref="B8:K8"/>
    <mergeCell ref="B11:K11"/>
    <mergeCell ref="A3:A4"/>
    <mergeCell ref="B1:L2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O3" sqref="A3:IV4"/>
    </sheetView>
  </sheetViews>
  <sheetFormatPr defaultColWidth="9.00390625" defaultRowHeight="12.75"/>
  <cols>
    <col min="1" max="1" width="9.125" style="57" customWidth="1"/>
    <col min="2" max="2" width="18.625" style="24" customWidth="1"/>
    <col min="3" max="3" width="27.125" style="24" bestFit="1" customWidth="1"/>
    <col min="4" max="4" width="8.875" style="58" customWidth="1"/>
    <col min="5" max="5" width="8.375" style="24" bestFit="1" customWidth="1"/>
    <col min="6" max="6" width="17.75390625" style="24" customWidth="1"/>
    <col min="7" max="7" width="29.25390625" style="24" customWidth="1"/>
    <col min="8" max="10" width="5.625" style="24" bestFit="1" customWidth="1"/>
    <col min="11" max="11" width="4.625" style="24" bestFit="1" customWidth="1"/>
    <col min="12" max="12" width="11.875" style="24" customWidth="1"/>
    <col min="13" max="13" width="8.625" style="24" bestFit="1" customWidth="1"/>
    <col min="14" max="14" width="15.125" style="24" customWidth="1"/>
  </cols>
  <sheetData>
    <row r="1" spans="1:14" s="1" customFormat="1" ht="15" customHeight="1">
      <c r="A1" s="36"/>
      <c r="B1" s="108" t="s">
        <v>359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4" s="1" customFormat="1" ht="97.5" customHeight="1" thickBot="1">
      <c r="A2" s="36"/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</row>
    <row r="3" spans="1:14" s="2" customFormat="1" ht="12.75" customHeight="1">
      <c r="A3" s="102" t="s">
        <v>287</v>
      </c>
      <c r="B3" s="114" t="s">
        <v>0</v>
      </c>
      <c r="C3" s="116" t="s">
        <v>288</v>
      </c>
      <c r="D3" s="117" t="s">
        <v>289</v>
      </c>
      <c r="E3" s="101" t="s">
        <v>9</v>
      </c>
      <c r="F3" s="101" t="s">
        <v>7</v>
      </c>
      <c r="G3" s="99" t="s">
        <v>291</v>
      </c>
      <c r="H3" s="101" t="s">
        <v>3</v>
      </c>
      <c r="I3" s="101"/>
      <c r="J3" s="101"/>
      <c r="K3" s="101"/>
      <c r="L3" s="101" t="s">
        <v>292</v>
      </c>
      <c r="M3" s="101" t="s">
        <v>6</v>
      </c>
      <c r="N3" s="105" t="s">
        <v>5</v>
      </c>
    </row>
    <row r="4" spans="1:14" s="2" customFormat="1" ht="21" customHeight="1" thickBot="1">
      <c r="A4" s="103"/>
      <c r="B4" s="115"/>
      <c r="C4" s="104"/>
      <c r="D4" s="118"/>
      <c r="E4" s="104"/>
      <c r="F4" s="104"/>
      <c r="G4" s="100"/>
      <c r="H4" s="3">
        <v>1</v>
      </c>
      <c r="I4" s="3">
        <v>2</v>
      </c>
      <c r="J4" s="3">
        <v>3</v>
      </c>
      <c r="K4" s="3" t="s">
        <v>8</v>
      </c>
      <c r="L4" s="104"/>
      <c r="M4" s="104"/>
      <c r="N4" s="106"/>
    </row>
    <row r="5" spans="2:13" ht="15">
      <c r="B5" s="107" t="s">
        <v>10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1:14" ht="12.75">
      <c r="A6" s="57">
        <v>1</v>
      </c>
      <c r="B6" s="25" t="s">
        <v>126</v>
      </c>
      <c r="C6" s="25" t="s">
        <v>127</v>
      </c>
      <c r="D6" s="87" t="s">
        <v>316</v>
      </c>
      <c r="E6" s="25" t="str">
        <f>"0,7785"</f>
        <v>0,7785</v>
      </c>
      <c r="F6" s="25" t="s">
        <v>13</v>
      </c>
      <c r="G6" s="25" t="s">
        <v>128</v>
      </c>
      <c r="H6" s="45" t="s">
        <v>44</v>
      </c>
      <c r="I6" s="45" t="s">
        <v>50</v>
      </c>
      <c r="J6" s="45" t="s">
        <v>80</v>
      </c>
      <c r="K6" s="61"/>
      <c r="L6" s="60" t="s">
        <v>80</v>
      </c>
      <c r="M6" s="60" t="str">
        <f>"140,1300"</f>
        <v>140,1300</v>
      </c>
      <c r="N6" s="25" t="s">
        <v>306</v>
      </c>
    </row>
    <row r="8" spans="2:13" ht="15">
      <c r="B8" s="119" t="s">
        <v>16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</row>
    <row r="9" spans="1:14" ht="12.75">
      <c r="A9" s="57">
        <v>1</v>
      </c>
      <c r="B9" s="26" t="s">
        <v>280</v>
      </c>
      <c r="C9" s="26" t="s">
        <v>281</v>
      </c>
      <c r="D9" s="88" t="s">
        <v>360</v>
      </c>
      <c r="E9" s="26" t="str">
        <f>"0,7510"</f>
        <v>0,7510</v>
      </c>
      <c r="F9" s="26" t="s">
        <v>231</v>
      </c>
      <c r="G9" s="26" t="s">
        <v>37</v>
      </c>
      <c r="H9" s="46" t="s">
        <v>50</v>
      </c>
      <c r="I9" s="46" t="s">
        <v>282</v>
      </c>
      <c r="J9" s="62"/>
      <c r="K9" s="62"/>
      <c r="L9" s="63">
        <v>182.5</v>
      </c>
      <c r="M9" s="63" t="str">
        <f>"137,0575"</f>
        <v>137,0575</v>
      </c>
      <c r="N9" s="26" t="s">
        <v>22</v>
      </c>
    </row>
    <row r="10" spans="1:14" ht="12.75">
      <c r="A10" s="57">
        <v>2</v>
      </c>
      <c r="B10" s="28" t="s">
        <v>283</v>
      </c>
      <c r="C10" s="28" t="s">
        <v>284</v>
      </c>
      <c r="D10" s="90" t="s">
        <v>361</v>
      </c>
      <c r="E10" s="28" t="str">
        <f>"0,7519"</f>
        <v>0,7519</v>
      </c>
      <c r="F10" s="28" t="s">
        <v>13</v>
      </c>
      <c r="G10" s="28" t="s">
        <v>128</v>
      </c>
      <c r="H10" s="48" t="s">
        <v>38</v>
      </c>
      <c r="I10" s="48" t="s">
        <v>44</v>
      </c>
      <c r="J10" s="96" t="s">
        <v>45</v>
      </c>
      <c r="K10" s="67"/>
      <c r="L10" s="66" t="s">
        <v>44</v>
      </c>
      <c r="M10" s="66" t="str">
        <f>"120,3040"</f>
        <v>120,3040</v>
      </c>
      <c r="N10" s="28" t="s">
        <v>22</v>
      </c>
    </row>
    <row r="12" spans="2:13" ht="15">
      <c r="B12" s="119" t="s">
        <v>40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</row>
    <row r="13" spans="1:14" ht="12.75">
      <c r="A13" s="57">
        <v>1</v>
      </c>
      <c r="B13" s="25" t="s">
        <v>249</v>
      </c>
      <c r="C13" s="25" t="s">
        <v>250</v>
      </c>
      <c r="D13" s="87" t="s">
        <v>324</v>
      </c>
      <c r="E13" s="25" t="str">
        <f>"0,6402"</f>
        <v>0,6402</v>
      </c>
      <c r="F13" s="25" t="s">
        <v>78</v>
      </c>
      <c r="G13" s="25" t="s">
        <v>79</v>
      </c>
      <c r="H13" s="45" t="s">
        <v>252</v>
      </c>
      <c r="I13" s="61"/>
      <c r="J13" s="61"/>
      <c r="K13" s="61"/>
      <c r="L13" s="60">
        <v>262.5</v>
      </c>
      <c r="M13" s="60" t="str">
        <f>"168,0525"</f>
        <v>168,0525</v>
      </c>
      <c r="N13" s="25" t="s">
        <v>253</v>
      </c>
    </row>
    <row r="15" spans="2:13" ht="15">
      <c r="B15" s="119" t="s">
        <v>157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</row>
    <row r="16" spans="1:14" ht="12.75">
      <c r="A16" s="57">
        <v>1</v>
      </c>
      <c r="B16" s="25" t="s">
        <v>285</v>
      </c>
      <c r="C16" s="25" t="s">
        <v>286</v>
      </c>
      <c r="D16" s="87" t="s">
        <v>362</v>
      </c>
      <c r="E16" s="25" t="str">
        <f>"0,6129"</f>
        <v>0,6129</v>
      </c>
      <c r="F16" s="25" t="s">
        <v>13</v>
      </c>
      <c r="G16" s="25" t="s">
        <v>26</v>
      </c>
      <c r="H16" s="86" t="s">
        <v>176</v>
      </c>
      <c r="I16" s="86" t="s">
        <v>98</v>
      </c>
      <c r="J16" s="45" t="s">
        <v>98</v>
      </c>
      <c r="K16" s="61"/>
      <c r="L16" s="60" t="s">
        <v>98</v>
      </c>
      <c r="M16" s="60" t="str">
        <f>"128,7090"</f>
        <v>128,7090</v>
      </c>
      <c r="N16" s="25" t="s">
        <v>22</v>
      </c>
    </row>
    <row r="18" spans="2:13" ht="15">
      <c r="B18" s="119" t="s">
        <v>82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</row>
    <row r="19" spans="2:14" ht="12.75">
      <c r="B19" s="25" t="s">
        <v>182</v>
      </c>
      <c r="C19" s="25" t="s">
        <v>183</v>
      </c>
      <c r="D19" s="87" t="s">
        <v>333</v>
      </c>
      <c r="E19" s="25" t="str">
        <f>"0,5770"</f>
        <v>0,5770</v>
      </c>
      <c r="F19" s="25" t="s">
        <v>13</v>
      </c>
      <c r="G19" s="25" t="s">
        <v>26</v>
      </c>
      <c r="H19" s="86" t="s">
        <v>176</v>
      </c>
      <c r="I19" s="86" t="s">
        <v>176</v>
      </c>
      <c r="J19" s="86" t="s">
        <v>86</v>
      </c>
      <c r="K19" s="61"/>
      <c r="L19" s="60">
        <v>0</v>
      </c>
      <c r="M19" s="60" t="s">
        <v>297</v>
      </c>
      <c r="N19" s="25" t="s">
        <v>22</v>
      </c>
    </row>
  </sheetData>
  <sheetProtection/>
  <mergeCells count="17">
    <mergeCell ref="B12:M12"/>
    <mergeCell ref="B15:M15"/>
    <mergeCell ref="B18:M18"/>
    <mergeCell ref="L3:L4"/>
    <mergeCell ref="M3:M4"/>
    <mergeCell ref="N3:N4"/>
    <mergeCell ref="B5:M5"/>
    <mergeCell ref="B8:M8"/>
    <mergeCell ref="A3:A4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D33" sqref="D33"/>
    </sheetView>
  </sheetViews>
  <sheetFormatPr defaultColWidth="9.00390625" defaultRowHeight="12.75"/>
  <cols>
    <col min="1" max="1" width="7.625" style="0" customWidth="1"/>
    <col min="2" max="2" width="26.00390625" style="24" bestFit="1" customWidth="1"/>
    <col min="3" max="3" width="27.125" style="24" bestFit="1" customWidth="1"/>
    <col min="4" max="4" width="10.625" style="24" bestFit="1" customWidth="1"/>
    <col min="5" max="5" width="8.375" style="24" bestFit="1" customWidth="1"/>
    <col min="6" max="6" width="11.25390625" style="24" customWidth="1"/>
    <col min="7" max="7" width="27.625" style="24" customWidth="1"/>
    <col min="8" max="10" width="5.625" style="24" bestFit="1" customWidth="1"/>
    <col min="11" max="11" width="4.625" style="24" bestFit="1" customWidth="1"/>
    <col min="12" max="12" width="11.625" style="24" customWidth="1"/>
    <col min="13" max="13" width="8.625" style="24" bestFit="1" customWidth="1"/>
    <col min="14" max="14" width="15.375" style="24" customWidth="1"/>
  </cols>
  <sheetData>
    <row r="1" spans="2:14" s="1" customFormat="1" ht="15" customHeight="1">
      <c r="B1" s="108" t="s">
        <v>357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2:14" s="1" customFormat="1" ht="102" customHeight="1" thickBot="1"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</row>
    <row r="3" spans="1:14" s="2" customFormat="1" ht="12.75" customHeight="1">
      <c r="A3" s="102" t="s">
        <v>287</v>
      </c>
      <c r="B3" s="114" t="s">
        <v>0</v>
      </c>
      <c r="C3" s="116" t="s">
        <v>288</v>
      </c>
      <c r="D3" s="117" t="s">
        <v>289</v>
      </c>
      <c r="E3" s="101" t="s">
        <v>9</v>
      </c>
      <c r="F3" s="101" t="s">
        <v>7</v>
      </c>
      <c r="G3" s="99" t="s">
        <v>291</v>
      </c>
      <c r="H3" s="101" t="s">
        <v>3</v>
      </c>
      <c r="I3" s="101"/>
      <c r="J3" s="101"/>
      <c r="K3" s="101"/>
      <c r="L3" s="101" t="s">
        <v>292</v>
      </c>
      <c r="M3" s="101" t="s">
        <v>6</v>
      </c>
      <c r="N3" s="105" t="s">
        <v>5</v>
      </c>
    </row>
    <row r="4" spans="1:14" s="2" customFormat="1" ht="21" customHeight="1" thickBot="1">
      <c r="A4" s="103"/>
      <c r="B4" s="115"/>
      <c r="C4" s="104"/>
      <c r="D4" s="118"/>
      <c r="E4" s="104"/>
      <c r="F4" s="104"/>
      <c r="G4" s="100"/>
      <c r="H4" s="3">
        <v>1</v>
      </c>
      <c r="I4" s="3">
        <v>2</v>
      </c>
      <c r="J4" s="3">
        <v>3</v>
      </c>
      <c r="K4" s="3" t="s">
        <v>8</v>
      </c>
      <c r="L4" s="104"/>
      <c r="M4" s="104"/>
      <c r="N4" s="106"/>
    </row>
    <row r="5" spans="2:13" ht="15">
      <c r="B5" s="107" t="s">
        <v>23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1:14" ht="12.75">
      <c r="A6" s="57">
        <v>1</v>
      </c>
      <c r="B6" s="26" t="s">
        <v>197</v>
      </c>
      <c r="C6" s="26" t="s">
        <v>198</v>
      </c>
      <c r="D6" s="88" t="s">
        <v>338</v>
      </c>
      <c r="E6" s="26" t="str">
        <f>"0,6704"</f>
        <v>0,6704</v>
      </c>
      <c r="F6" s="26" t="s">
        <v>199</v>
      </c>
      <c r="G6" s="26" t="s">
        <v>200</v>
      </c>
      <c r="H6" s="78" t="s">
        <v>210</v>
      </c>
      <c r="I6" s="78" t="s">
        <v>266</v>
      </c>
      <c r="J6" s="78" t="s">
        <v>275</v>
      </c>
      <c r="K6" s="71"/>
      <c r="L6" s="72">
        <v>265</v>
      </c>
      <c r="M6" s="72" t="str">
        <f>"177,6560"</f>
        <v>177,6560</v>
      </c>
      <c r="N6" s="26" t="s">
        <v>22</v>
      </c>
    </row>
    <row r="7" spans="1:14" ht="12.75">
      <c r="A7" s="57">
        <v>2</v>
      </c>
      <c r="B7" s="28" t="s">
        <v>202</v>
      </c>
      <c r="C7" s="28" t="s">
        <v>203</v>
      </c>
      <c r="D7" s="90" t="s">
        <v>339</v>
      </c>
      <c r="E7" s="28" t="str">
        <f>"0,6854"</f>
        <v>0,6854</v>
      </c>
      <c r="F7" s="28" t="s">
        <v>13</v>
      </c>
      <c r="G7" s="28" t="s">
        <v>204</v>
      </c>
      <c r="H7" s="80" t="s">
        <v>74</v>
      </c>
      <c r="I7" s="80" t="s">
        <v>195</v>
      </c>
      <c r="J7" s="76"/>
      <c r="K7" s="76"/>
      <c r="L7" s="75">
        <v>240</v>
      </c>
      <c r="M7" s="75" t="str">
        <f>"164,4960"</f>
        <v>164,4960</v>
      </c>
      <c r="N7" s="28" t="s">
        <v>22</v>
      </c>
    </row>
    <row r="9" spans="2:13" ht="15">
      <c r="B9" s="119" t="s">
        <v>157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</row>
    <row r="10" spans="1:14" ht="12.75">
      <c r="A10" s="57">
        <v>1</v>
      </c>
      <c r="B10" s="25" t="s">
        <v>264</v>
      </c>
      <c r="C10" s="25" t="s">
        <v>265</v>
      </c>
      <c r="D10" s="87" t="s">
        <v>353</v>
      </c>
      <c r="E10" s="25" t="str">
        <f>"0,6250"</f>
        <v>0,6250</v>
      </c>
      <c r="F10" s="25" t="s">
        <v>13</v>
      </c>
      <c r="G10" s="25" t="s">
        <v>263</v>
      </c>
      <c r="H10" s="77" t="s">
        <v>269</v>
      </c>
      <c r="I10" s="70"/>
      <c r="J10" s="70"/>
      <c r="K10" s="70"/>
      <c r="L10" s="69">
        <v>302.5</v>
      </c>
      <c r="M10" s="69" t="str">
        <f>"189,0625"</f>
        <v>189,0625</v>
      </c>
      <c r="N10" s="25" t="s">
        <v>354</v>
      </c>
    </row>
    <row r="12" spans="2:13" ht="15">
      <c r="B12" s="119" t="s">
        <v>63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</row>
    <row r="13" spans="1:14" ht="12.75">
      <c r="A13" s="57">
        <v>1</v>
      </c>
      <c r="B13" s="25" t="s">
        <v>276</v>
      </c>
      <c r="C13" s="25" t="s">
        <v>277</v>
      </c>
      <c r="D13" s="87" t="s">
        <v>358</v>
      </c>
      <c r="E13" s="25" t="str">
        <f>"0,5926"</f>
        <v>0,5926</v>
      </c>
      <c r="F13" s="25" t="s">
        <v>199</v>
      </c>
      <c r="G13" s="25" t="s">
        <v>278</v>
      </c>
      <c r="H13" s="77" t="s">
        <v>74</v>
      </c>
      <c r="I13" s="77" t="s">
        <v>195</v>
      </c>
      <c r="J13" s="77" t="s">
        <v>279</v>
      </c>
      <c r="K13" s="70"/>
      <c r="L13" s="69">
        <v>252.5</v>
      </c>
      <c r="M13" s="69" t="str">
        <f>"149,6315"</f>
        <v>149,6315</v>
      </c>
      <c r="N13" s="25" t="s">
        <v>22</v>
      </c>
    </row>
  </sheetData>
  <sheetProtection/>
  <mergeCells count="15">
    <mergeCell ref="M3:M4"/>
    <mergeCell ref="N3:N4"/>
    <mergeCell ref="B5:M5"/>
    <mergeCell ref="B9:M9"/>
    <mergeCell ref="B12:M12"/>
    <mergeCell ref="A3:A4"/>
    <mergeCell ref="B1:N2"/>
    <mergeCell ref="B3:B4"/>
    <mergeCell ref="C3:C4"/>
    <mergeCell ref="D3:D4"/>
    <mergeCell ref="E3:E4"/>
    <mergeCell ref="F3:F4"/>
    <mergeCell ref="G3:G4"/>
    <mergeCell ref="H3:K3"/>
    <mergeCell ref="L3:L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9"/>
  <sheetViews>
    <sheetView zoomScalePageLayoutView="0" workbookViewId="0" topLeftCell="A1">
      <selection activeCell="A3" sqref="A3:A4"/>
    </sheetView>
  </sheetViews>
  <sheetFormatPr defaultColWidth="9.00390625" defaultRowHeight="12.75"/>
  <cols>
    <col min="2" max="2" width="26.00390625" style="24" bestFit="1" customWidth="1"/>
    <col min="3" max="3" width="27.125" style="24" bestFit="1" customWidth="1"/>
    <col min="4" max="4" width="10.625" style="24" bestFit="1" customWidth="1"/>
    <col min="5" max="5" width="8.375" style="24" bestFit="1" customWidth="1"/>
    <col min="6" max="6" width="11.00390625" style="24" customWidth="1"/>
    <col min="7" max="7" width="30.625" style="24" bestFit="1" customWidth="1"/>
    <col min="8" max="10" width="5.625" style="24" bestFit="1" customWidth="1"/>
    <col min="11" max="11" width="4.625" style="24" bestFit="1" customWidth="1"/>
    <col min="12" max="12" width="5.625" style="24" bestFit="1" customWidth="1"/>
    <col min="13" max="15" width="4.625" style="24" bestFit="1" customWidth="1"/>
    <col min="16" max="18" width="5.625" style="24" bestFit="1" customWidth="1"/>
    <col min="19" max="19" width="4.625" style="24" bestFit="1" customWidth="1"/>
    <col min="20" max="20" width="7.875" style="24" bestFit="1" customWidth="1"/>
    <col min="21" max="21" width="8.625" style="24" bestFit="1" customWidth="1"/>
    <col min="22" max="22" width="15.375" style="24" bestFit="1" customWidth="1"/>
  </cols>
  <sheetData>
    <row r="1" spans="2:22" s="1" customFormat="1" ht="15" customHeight="1">
      <c r="B1" s="108" t="s">
        <v>355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10"/>
    </row>
    <row r="2" spans="2:22" s="1" customFormat="1" ht="89.25" customHeight="1" thickBot="1"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3"/>
    </row>
    <row r="3" spans="1:22" s="2" customFormat="1" ht="12.75" customHeight="1">
      <c r="A3" s="102" t="s">
        <v>287</v>
      </c>
      <c r="B3" s="114" t="s">
        <v>0</v>
      </c>
      <c r="C3" s="116" t="s">
        <v>288</v>
      </c>
      <c r="D3" s="117" t="s">
        <v>289</v>
      </c>
      <c r="E3" s="101" t="s">
        <v>9</v>
      </c>
      <c r="F3" s="101" t="s">
        <v>7</v>
      </c>
      <c r="G3" s="99" t="s">
        <v>291</v>
      </c>
      <c r="H3" s="101" t="s">
        <v>1</v>
      </c>
      <c r="I3" s="101"/>
      <c r="J3" s="101"/>
      <c r="K3" s="101"/>
      <c r="L3" s="101" t="s">
        <v>2</v>
      </c>
      <c r="M3" s="101"/>
      <c r="N3" s="101"/>
      <c r="O3" s="101"/>
      <c r="P3" s="101" t="s">
        <v>3</v>
      </c>
      <c r="Q3" s="101"/>
      <c r="R3" s="101"/>
      <c r="S3" s="101"/>
      <c r="T3" s="101" t="s">
        <v>4</v>
      </c>
      <c r="U3" s="101" t="s">
        <v>6</v>
      </c>
      <c r="V3" s="105" t="s">
        <v>5</v>
      </c>
    </row>
    <row r="4" spans="1:22" s="2" customFormat="1" ht="21" customHeight="1" thickBot="1">
      <c r="A4" s="103"/>
      <c r="B4" s="115"/>
      <c r="C4" s="104"/>
      <c r="D4" s="118"/>
      <c r="E4" s="104"/>
      <c r="F4" s="104"/>
      <c r="G4" s="100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104"/>
      <c r="U4" s="104"/>
      <c r="V4" s="106"/>
    </row>
    <row r="5" spans="2:21" ht="15">
      <c r="B5" s="107" t="s">
        <v>10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</row>
    <row r="6" spans="1:22" ht="12.75">
      <c r="A6" s="57">
        <v>1</v>
      </c>
      <c r="B6" s="25" t="s">
        <v>270</v>
      </c>
      <c r="C6" s="25" t="s">
        <v>271</v>
      </c>
      <c r="D6" s="87" t="s">
        <v>356</v>
      </c>
      <c r="E6" s="25" t="str">
        <f>"0,7962"</f>
        <v>0,7962</v>
      </c>
      <c r="F6" s="25" t="s">
        <v>13</v>
      </c>
      <c r="G6" s="25" t="s">
        <v>26</v>
      </c>
      <c r="H6" s="45" t="s">
        <v>272</v>
      </c>
      <c r="I6" s="45" t="s">
        <v>28</v>
      </c>
      <c r="J6" s="86" t="s">
        <v>70</v>
      </c>
      <c r="K6" s="61"/>
      <c r="L6" s="45" t="s">
        <v>122</v>
      </c>
      <c r="M6" s="45" t="s">
        <v>60</v>
      </c>
      <c r="N6" s="45" t="s">
        <v>273</v>
      </c>
      <c r="O6" s="61"/>
      <c r="P6" s="45" t="s">
        <v>56</v>
      </c>
      <c r="Q6" s="45" t="s">
        <v>27</v>
      </c>
      <c r="R6" s="45" t="s">
        <v>29</v>
      </c>
      <c r="S6" s="61"/>
      <c r="T6" s="60" t="s">
        <v>274</v>
      </c>
      <c r="U6" s="60" t="str">
        <f>"250,8030"</f>
        <v>250,8030</v>
      </c>
      <c r="V6" s="25" t="s">
        <v>22</v>
      </c>
    </row>
    <row r="8" spans="2:21" ht="15">
      <c r="B8" s="119" t="s">
        <v>157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</row>
    <row r="9" spans="1:22" ht="12.75">
      <c r="A9" s="57"/>
      <c r="B9" s="25" t="s">
        <v>165</v>
      </c>
      <c r="C9" s="25" t="s">
        <v>166</v>
      </c>
      <c r="D9" s="87" t="s">
        <v>328</v>
      </c>
      <c r="E9" s="25" t="str">
        <f>"0,6266"</f>
        <v>0,6266</v>
      </c>
      <c r="F9" s="25" t="s">
        <v>13</v>
      </c>
      <c r="G9" s="25" t="s">
        <v>167</v>
      </c>
      <c r="H9" s="86" t="s">
        <v>98</v>
      </c>
      <c r="I9" s="86" t="s">
        <v>85</v>
      </c>
      <c r="J9" s="86" t="s">
        <v>85</v>
      </c>
      <c r="K9" s="61"/>
      <c r="L9" s="61"/>
      <c r="M9" s="61"/>
      <c r="N9" s="61"/>
      <c r="O9" s="61"/>
      <c r="P9" s="61"/>
      <c r="Q9" s="61"/>
      <c r="R9" s="61"/>
      <c r="S9" s="61"/>
      <c r="T9" s="60">
        <v>0</v>
      </c>
      <c r="U9" s="60" t="s">
        <v>297</v>
      </c>
      <c r="V9" s="25" t="s">
        <v>22</v>
      </c>
    </row>
  </sheetData>
  <sheetProtection/>
  <mergeCells count="16">
    <mergeCell ref="T3:T4"/>
    <mergeCell ref="U3:U4"/>
    <mergeCell ref="V3:V4"/>
    <mergeCell ref="B5:U5"/>
    <mergeCell ref="B8:U8"/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P3:S3"/>
    <mergeCell ref="A3:A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2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9.125" style="57" customWidth="1"/>
    <col min="2" max="2" width="18.75390625" style="24" customWidth="1"/>
    <col min="3" max="3" width="26.00390625" style="24" bestFit="1" customWidth="1"/>
    <col min="4" max="4" width="10.625" style="24" bestFit="1" customWidth="1"/>
    <col min="5" max="5" width="8.375" style="24" bestFit="1" customWidth="1"/>
    <col min="6" max="6" width="11.875" style="24" customWidth="1"/>
    <col min="7" max="7" width="30.375" style="24" bestFit="1" customWidth="1"/>
    <col min="8" max="10" width="5.625" style="24" bestFit="1" customWidth="1"/>
    <col min="11" max="11" width="4.625" style="24" bestFit="1" customWidth="1"/>
    <col min="12" max="14" width="5.625" style="24" bestFit="1" customWidth="1"/>
    <col min="15" max="15" width="4.625" style="24" bestFit="1" customWidth="1"/>
    <col min="16" max="18" width="5.625" style="24" bestFit="1" customWidth="1"/>
    <col min="19" max="19" width="4.625" style="24" bestFit="1" customWidth="1"/>
    <col min="20" max="20" width="7.875" style="24" bestFit="1" customWidth="1"/>
    <col min="21" max="21" width="8.625" style="24" bestFit="1" customWidth="1"/>
    <col min="22" max="22" width="15.625" style="24" customWidth="1"/>
  </cols>
  <sheetData>
    <row r="1" spans="1:22" s="1" customFormat="1" ht="15" customHeight="1">
      <c r="A1" s="36"/>
      <c r="B1" s="108" t="s">
        <v>350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10"/>
    </row>
    <row r="2" spans="1:22" s="1" customFormat="1" ht="94.5" customHeight="1" thickBot="1">
      <c r="A2" s="36"/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3"/>
    </row>
    <row r="3" spans="1:22" s="2" customFormat="1" ht="12.75" customHeight="1">
      <c r="A3" s="102" t="s">
        <v>287</v>
      </c>
      <c r="B3" s="114" t="s">
        <v>0</v>
      </c>
      <c r="C3" s="116" t="s">
        <v>288</v>
      </c>
      <c r="D3" s="117" t="s">
        <v>289</v>
      </c>
      <c r="E3" s="101" t="s">
        <v>9</v>
      </c>
      <c r="F3" s="101" t="s">
        <v>7</v>
      </c>
      <c r="G3" s="99" t="s">
        <v>291</v>
      </c>
      <c r="H3" s="101" t="s">
        <v>1</v>
      </c>
      <c r="I3" s="101"/>
      <c r="J3" s="101"/>
      <c r="K3" s="101"/>
      <c r="L3" s="101" t="s">
        <v>2</v>
      </c>
      <c r="M3" s="101"/>
      <c r="N3" s="101"/>
      <c r="O3" s="101"/>
      <c r="P3" s="101" t="s">
        <v>3</v>
      </c>
      <c r="Q3" s="101"/>
      <c r="R3" s="101"/>
      <c r="S3" s="101"/>
      <c r="T3" s="101" t="s">
        <v>4</v>
      </c>
      <c r="U3" s="101" t="s">
        <v>6</v>
      </c>
      <c r="V3" s="105" t="s">
        <v>5</v>
      </c>
    </row>
    <row r="4" spans="1:22" s="2" customFormat="1" ht="21" customHeight="1" thickBot="1">
      <c r="A4" s="103"/>
      <c r="B4" s="115"/>
      <c r="C4" s="104"/>
      <c r="D4" s="118"/>
      <c r="E4" s="104"/>
      <c r="F4" s="104"/>
      <c r="G4" s="100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104"/>
      <c r="U4" s="104"/>
      <c r="V4" s="106"/>
    </row>
    <row r="5" spans="2:21" ht="15">
      <c r="B5" s="107" t="s">
        <v>16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</row>
    <row r="6" spans="1:22" ht="12.75">
      <c r="A6" s="57">
        <v>1</v>
      </c>
      <c r="B6" s="25" t="s">
        <v>17</v>
      </c>
      <c r="C6" s="25" t="s">
        <v>18</v>
      </c>
      <c r="D6" s="87" t="s">
        <v>351</v>
      </c>
      <c r="E6" s="25" t="str">
        <f>"0,7352"</f>
        <v>0,7352</v>
      </c>
      <c r="F6" s="25" t="s">
        <v>13</v>
      </c>
      <c r="G6" s="25" t="s">
        <v>19</v>
      </c>
      <c r="H6" s="77" t="s">
        <v>138</v>
      </c>
      <c r="I6" s="77" t="s">
        <v>45</v>
      </c>
      <c r="J6" s="77" t="s">
        <v>80</v>
      </c>
      <c r="K6" s="70"/>
      <c r="L6" s="77" t="s">
        <v>34</v>
      </c>
      <c r="M6" s="77" t="s">
        <v>20</v>
      </c>
      <c r="N6" s="81" t="s">
        <v>164</v>
      </c>
      <c r="O6" s="70"/>
      <c r="P6" s="77" t="s">
        <v>176</v>
      </c>
      <c r="Q6" s="77" t="s">
        <v>260</v>
      </c>
      <c r="R6" s="77" t="s">
        <v>98</v>
      </c>
      <c r="S6" s="70"/>
      <c r="T6" s="69">
        <v>525</v>
      </c>
      <c r="U6" s="69" t="str">
        <f>"385,9800"</f>
        <v>385,9800</v>
      </c>
      <c r="V6" s="25" t="s">
        <v>22</v>
      </c>
    </row>
    <row r="8" spans="2:21" ht="15">
      <c r="B8" s="119" t="s">
        <v>40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</row>
    <row r="9" spans="1:22" ht="12.75">
      <c r="A9" s="57">
        <v>1</v>
      </c>
      <c r="B9" s="25" t="s">
        <v>261</v>
      </c>
      <c r="C9" s="25" t="s">
        <v>262</v>
      </c>
      <c r="D9" s="87" t="s">
        <v>352</v>
      </c>
      <c r="E9" s="25" t="str">
        <f>"0,6440"</f>
        <v>0,6440</v>
      </c>
      <c r="F9" s="25" t="s">
        <v>13</v>
      </c>
      <c r="G9" s="25" t="s">
        <v>263</v>
      </c>
      <c r="H9" s="77" t="s">
        <v>97</v>
      </c>
      <c r="I9" s="77" t="s">
        <v>205</v>
      </c>
      <c r="J9" s="77" t="s">
        <v>195</v>
      </c>
      <c r="K9" s="70"/>
      <c r="L9" s="77" t="s">
        <v>20</v>
      </c>
      <c r="M9" s="77" t="s">
        <v>137</v>
      </c>
      <c r="N9" s="77" t="s">
        <v>138</v>
      </c>
      <c r="O9" s="70"/>
      <c r="P9" s="77" t="s">
        <v>97</v>
      </c>
      <c r="Q9" s="81" t="s">
        <v>74</v>
      </c>
      <c r="R9" s="77" t="s">
        <v>74</v>
      </c>
      <c r="S9" s="70"/>
      <c r="T9" s="69">
        <v>620</v>
      </c>
      <c r="U9" s="69" t="str">
        <f>"399,2800"</f>
        <v>399,2800</v>
      </c>
      <c r="V9" s="25" t="s">
        <v>22</v>
      </c>
    </row>
    <row r="11" spans="2:21" ht="15">
      <c r="B11" s="119" t="s">
        <v>157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</row>
    <row r="12" spans="1:22" ht="12.75">
      <c r="A12" s="57">
        <v>1</v>
      </c>
      <c r="B12" s="25" t="s">
        <v>264</v>
      </c>
      <c r="C12" s="25" t="s">
        <v>265</v>
      </c>
      <c r="D12" s="87" t="s">
        <v>353</v>
      </c>
      <c r="E12" s="25" t="str">
        <f>"0,6250"</f>
        <v>0,6250</v>
      </c>
      <c r="F12" s="25" t="s">
        <v>13</v>
      </c>
      <c r="G12" s="25" t="s">
        <v>263</v>
      </c>
      <c r="H12" s="77" t="s">
        <v>195</v>
      </c>
      <c r="I12" s="77" t="s">
        <v>266</v>
      </c>
      <c r="J12" s="77" t="s">
        <v>267</v>
      </c>
      <c r="K12" s="70"/>
      <c r="L12" s="77" t="s">
        <v>164</v>
      </c>
      <c r="M12" s="77" t="s">
        <v>134</v>
      </c>
      <c r="N12" s="77" t="s">
        <v>50</v>
      </c>
      <c r="O12" s="70"/>
      <c r="P12" s="77" t="s">
        <v>266</v>
      </c>
      <c r="Q12" s="77" t="s">
        <v>268</v>
      </c>
      <c r="R12" s="77" t="s">
        <v>269</v>
      </c>
      <c r="S12" s="70"/>
      <c r="T12" s="69">
        <v>745</v>
      </c>
      <c r="U12" s="69" t="str">
        <f>"465,6250"</f>
        <v>465,6250</v>
      </c>
      <c r="V12" s="25" t="s">
        <v>354</v>
      </c>
    </row>
  </sheetData>
  <sheetProtection/>
  <mergeCells count="17">
    <mergeCell ref="B11:U11"/>
    <mergeCell ref="P3:S3"/>
    <mergeCell ref="T3:T4"/>
    <mergeCell ref="U3:U4"/>
    <mergeCell ref="V3:V4"/>
    <mergeCell ref="B5:U5"/>
    <mergeCell ref="B8:U8"/>
    <mergeCell ref="A3:A4"/>
    <mergeCell ref="B1:V2"/>
    <mergeCell ref="B3:B4"/>
    <mergeCell ref="C3:C4"/>
    <mergeCell ref="D3:D4"/>
    <mergeCell ref="E3:E4"/>
    <mergeCell ref="F3:F4"/>
    <mergeCell ref="G3:G4"/>
    <mergeCell ref="H3:K3"/>
    <mergeCell ref="L3:O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7.25390625" style="57" customWidth="1"/>
    <col min="2" max="3" width="26.00390625" style="24" bestFit="1" customWidth="1"/>
    <col min="4" max="4" width="10.625" style="24" bestFit="1" customWidth="1"/>
    <col min="5" max="5" width="8.375" style="24" bestFit="1" customWidth="1"/>
    <col min="6" max="6" width="17.375" style="24" customWidth="1"/>
    <col min="7" max="7" width="37.25390625" style="24" customWidth="1"/>
    <col min="8" max="10" width="5.625" style="24" bestFit="1" customWidth="1"/>
    <col min="11" max="11" width="4.625" style="24" bestFit="1" customWidth="1"/>
    <col min="12" max="14" width="5.625" style="24" bestFit="1" customWidth="1"/>
    <col min="15" max="15" width="4.625" style="24" bestFit="1" customWidth="1"/>
    <col min="16" max="18" width="5.625" style="24" bestFit="1" customWidth="1"/>
    <col min="19" max="19" width="4.625" style="24" bestFit="1" customWidth="1"/>
    <col min="20" max="20" width="7.875" style="24" bestFit="1" customWidth="1"/>
    <col min="21" max="21" width="8.625" style="24" bestFit="1" customWidth="1"/>
    <col min="22" max="22" width="15.625" style="24" customWidth="1"/>
  </cols>
  <sheetData>
    <row r="1" spans="1:22" s="1" customFormat="1" ht="15" customHeight="1">
      <c r="A1" s="36"/>
      <c r="B1" s="108" t="s">
        <v>347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10"/>
    </row>
    <row r="2" spans="1:22" s="1" customFormat="1" ht="93" customHeight="1" thickBot="1">
      <c r="A2" s="36"/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3"/>
    </row>
    <row r="3" spans="1:22" s="2" customFormat="1" ht="12.75" customHeight="1">
      <c r="A3" s="102" t="s">
        <v>287</v>
      </c>
      <c r="B3" s="114" t="s">
        <v>0</v>
      </c>
      <c r="C3" s="116" t="s">
        <v>288</v>
      </c>
      <c r="D3" s="117" t="s">
        <v>289</v>
      </c>
      <c r="E3" s="101" t="s">
        <v>9</v>
      </c>
      <c r="F3" s="101" t="s">
        <v>7</v>
      </c>
      <c r="G3" s="99" t="s">
        <v>291</v>
      </c>
      <c r="H3" s="101" t="s">
        <v>1</v>
      </c>
      <c r="I3" s="101"/>
      <c r="J3" s="101"/>
      <c r="K3" s="101"/>
      <c r="L3" s="101" t="s">
        <v>2</v>
      </c>
      <c r="M3" s="101"/>
      <c r="N3" s="101"/>
      <c r="O3" s="101"/>
      <c r="P3" s="101" t="s">
        <v>3</v>
      </c>
      <c r="Q3" s="101"/>
      <c r="R3" s="101"/>
      <c r="S3" s="101"/>
      <c r="T3" s="101" t="s">
        <v>4</v>
      </c>
      <c r="U3" s="101" t="s">
        <v>6</v>
      </c>
      <c r="V3" s="105" t="s">
        <v>5</v>
      </c>
    </row>
    <row r="4" spans="1:22" s="2" customFormat="1" ht="21" customHeight="1" thickBot="1">
      <c r="A4" s="103"/>
      <c r="B4" s="115"/>
      <c r="C4" s="104"/>
      <c r="D4" s="118"/>
      <c r="E4" s="104"/>
      <c r="F4" s="104"/>
      <c r="G4" s="100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104"/>
      <c r="U4" s="104"/>
      <c r="V4" s="106"/>
    </row>
    <row r="5" spans="2:21" ht="15">
      <c r="B5" s="107" t="s">
        <v>116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</row>
    <row r="6" spans="1:22" ht="12.75">
      <c r="A6" s="57">
        <v>1</v>
      </c>
      <c r="B6" s="25" t="s">
        <v>229</v>
      </c>
      <c r="C6" s="25" t="s">
        <v>230</v>
      </c>
      <c r="D6" s="87" t="s">
        <v>343</v>
      </c>
      <c r="E6" s="25" t="str">
        <f>"1,1478"</f>
        <v>1,1478</v>
      </c>
      <c r="F6" s="25" t="s">
        <v>231</v>
      </c>
      <c r="G6" s="25" t="s">
        <v>37</v>
      </c>
      <c r="H6" s="45" t="s">
        <v>232</v>
      </c>
      <c r="I6" s="86" t="s">
        <v>119</v>
      </c>
      <c r="J6" s="86" t="s">
        <v>119</v>
      </c>
      <c r="K6" s="61"/>
      <c r="L6" s="86" t="s">
        <v>233</v>
      </c>
      <c r="M6" s="45" t="s">
        <v>234</v>
      </c>
      <c r="N6" s="45" t="s">
        <v>235</v>
      </c>
      <c r="O6" s="61"/>
      <c r="P6" s="45" t="s">
        <v>232</v>
      </c>
      <c r="Q6" s="86" t="s">
        <v>122</v>
      </c>
      <c r="R6" s="45" t="s">
        <v>122</v>
      </c>
      <c r="S6" s="61"/>
      <c r="T6" s="60">
        <v>167.5</v>
      </c>
      <c r="U6" s="60" t="str">
        <f>"192,2565"</f>
        <v>192,2565</v>
      </c>
      <c r="V6" s="25" t="s">
        <v>22</v>
      </c>
    </row>
    <row r="8" spans="2:21" ht="15">
      <c r="B8" s="119" t="s">
        <v>16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</row>
    <row r="9" spans="1:22" ht="12.75">
      <c r="A9" s="57">
        <v>1</v>
      </c>
      <c r="B9" s="25" t="s">
        <v>236</v>
      </c>
      <c r="C9" s="25" t="s">
        <v>237</v>
      </c>
      <c r="D9" s="87" t="s">
        <v>337</v>
      </c>
      <c r="E9" s="25" t="str">
        <f>"0,7207"</f>
        <v>0,7207</v>
      </c>
      <c r="F9" s="25" t="s">
        <v>13</v>
      </c>
      <c r="G9" s="25" t="s">
        <v>238</v>
      </c>
      <c r="H9" s="45" t="s">
        <v>164</v>
      </c>
      <c r="I9" s="45" t="s">
        <v>138</v>
      </c>
      <c r="J9" s="86" t="s">
        <v>44</v>
      </c>
      <c r="K9" s="61"/>
      <c r="L9" s="45" t="s">
        <v>239</v>
      </c>
      <c r="M9" s="86" t="s">
        <v>240</v>
      </c>
      <c r="N9" s="45" t="s">
        <v>240</v>
      </c>
      <c r="O9" s="61"/>
      <c r="P9" s="45" t="s">
        <v>138</v>
      </c>
      <c r="Q9" s="45" t="s">
        <v>45</v>
      </c>
      <c r="R9" s="45" t="s">
        <v>67</v>
      </c>
      <c r="S9" s="61"/>
      <c r="T9" s="60">
        <v>437.5</v>
      </c>
      <c r="U9" s="60" t="str">
        <f>"315,3063"</f>
        <v>315,3063</v>
      </c>
      <c r="V9" s="25" t="s">
        <v>348</v>
      </c>
    </row>
    <row r="11" spans="2:21" ht="15">
      <c r="B11" s="119" t="s">
        <v>23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</row>
    <row r="12" spans="1:22" ht="12.75">
      <c r="A12" s="57">
        <v>1</v>
      </c>
      <c r="B12" s="26" t="s">
        <v>241</v>
      </c>
      <c r="C12" s="26" t="s">
        <v>242</v>
      </c>
      <c r="D12" s="88" t="s">
        <v>344</v>
      </c>
      <c r="E12" s="26" t="str">
        <f>"0,6764"</f>
        <v>0,6764</v>
      </c>
      <c r="F12" s="26" t="s">
        <v>13</v>
      </c>
      <c r="G12" s="26" t="s">
        <v>238</v>
      </c>
      <c r="H12" s="46" t="s">
        <v>91</v>
      </c>
      <c r="I12" s="46" t="s">
        <v>176</v>
      </c>
      <c r="J12" s="62"/>
      <c r="K12" s="62"/>
      <c r="L12" s="46" t="s">
        <v>27</v>
      </c>
      <c r="M12" s="46" t="s">
        <v>152</v>
      </c>
      <c r="N12" s="46" t="s">
        <v>34</v>
      </c>
      <c r="O12" s="62"/>
      <c r="P12" s="46" t="s">
        <v>50</v>
      </c>
      <c r="Q12" s="46" t="s">
        <v>91</v>
      </c>
      <c r="R12" s="46" t="s">
        <v>92</v>
      </c>
      <c r="S12" s="62"/>
      <c r="T12" s="63" t="s">
        <v>256</v>
      </c>
      <c r="U12" s="63" t="str">
        <f>"351,7280"</f>
        <v>351,7280</v>
      </c>
      <c r="V12" s="26" t="s">
        <v>22</v>
      </c>
    </row>
    <row r="13" spans="1:22" ht="12.75">
      <c r="A13" s="57">
        <v>2</v>
      </c>
      <c r="B13" s="27" t="s">
        <v>243</v>
      </c>
      <c r="C13" s="27" t="s">
        <v>244</v>
      </c>
      <c r="D13" s="89" t="s">
        <v>345</v>
      </c>
      <c r="E13" s="27" t="str">
        <f>"0,6724"</f>
        <v>0,6724</v>
      </c>
      <c r="F13" s="27" t="s">
        <v>231</v>
      </c>
      <c r="G13" s="27" t="s">
        <v>37</v>
      </c>
      <c r="H13" s="97" t="s">
        <v>164</v>
      </c>
      <c r="I13" s="47" t="s">
        <v>164</v>
      </c>
      <c r="J13" s="65"/>
      <c r="K13" s="65"/>
      <c r="L13" s="47" t="s">
        <v>27</v>
      </c>
      <c r="M13" s="47" t="s">
        <v>28</v>
      </c>
      <c r="N13" s="47" t="s">
        <v>152</v>
      </c>
      <c r="O13" s="65"/>
      <c r="P13" s="47" t="s">
        <v>138</v>
      </c>
      <c r="Q13" s="47" t="s">
        <v>43</v>
      </c>
      <c r="R13" s="47" t="s">
        <v>50</v>
      </c>
      <c r="S13" s="65"/>
      <c r="T13" s="64" t="s">
        <v>258</v>
      </c>
      <c r="U13" s="64" t="str">
        <f>"289,1320"</f>
        <v>289,1320</v>
      </c>
      <c r="V13" s="27" t="s">
        <v>22</v>
      </c>
    </row>
    <row r="14" spans="1:22" ht="12.75">
      <c r="A14" s="57">
        <v>3</v>
      </c>
      <c r="B14" s="28" t="s">
        <v>245</v>
      </c>
      <c r="C14" s="28" t="s">
        <v>246</v>
      </c>
      <c r="D14" s="90" t="s">
        <v>346</v>
      </c>
      <c r="E14" s="28" t="str">
        <f>"0,6916"</f>
        <v>0,6916</v>
      </c>
      <c r="F14" s="28" t="s">
        <v>247</v>
      </c>
      <c r="G14" s="28" t="s">
        <v>55</v>
      </c>
      <c r="H14" s="48" t="s">
        <v>20</v>
      </c>
      <c r="I14" s="48" t="s">
        <v>137</v>
      </c>
      <c r="J14" s="96" t="s">
        <v>43</v>
      </c>
      <c r="K14" s="67"/>
      <c r="L14" s="48" t="s">
        <v>248</v>
      </c>
      <c r="M14" s="96" t="s">
        <v>56</v>
      </c>
      <c r="N14" s="48" t="s">
        <v>56</v>
      </c>
      <c r="O14" s="67"/>
      <c r="P14" s="48" t="s">
        <v>38</v>
      </c>
      <c r="Q14" s="48" t="s">
        <v>156</v>
      </c>
      <c r="R14" s="67"/>
      <c r="S14" s="67"/>
      <c r="T14" s="66">
        <v>402.5</v>
      </c>
      <c r="U14" s="66" t="str">
        <f>"278,3690"</f>
        <v>278,3690</v>
      </c>
      <c r="V14" s="28" t="s">
        <v>349</v>
      </c>
    </row>
    <row r="16" spans="2:21" ht="15">
      <c r="B16" s="119" t="s">
        <v>40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</row>
    <row r="17" spans="1:22" ht="12.75">
      <c r="A17" s="57">
        <v>1</v>
      </c>
      <c r="B17" s="25" t="s">
        <v>249</v>
      </c>
      <c r="C17" s="25" t="s">
        <v>250</v>
      </c>
      <c r="D17" s="87" t="s">
        <v>324</v>
      </c>
      <c r="E17" s="25" t="str">
        <f>"0,6402"</f>
        <v>0,6402</v>
      </c>
      <c r="F17" s="25" t="s">
        <v>78</v>
      </c>
      <c r="G17" s="25" t="s">
        <v>79</v>
      </c>
      <c r="H17" s="45" t="s">
        <v>97</v>
      </c>
      <c r="I17" s="45" t="s">
        <v>251</v>
      </c>
      <c r="J17" s="86" t="s">
        <v>205</v>
      </c>
      <c r="K17" s="61"/>
      <c r="L17" s="45" t="s">
        <v>138</v>
      </c>
      <c r="M17" s="45" t="s">
        <v>44</v>
      </c>
      <c r="N17" s="86" t="s">
        <v>45</v>
      </c>
      <c r="O17" s="61"/>
      <c r="P17" s="45" t="s">
        <v>195</v>
      </c>
      <c r="Q17" s="45" t="s">
        <v>196</v>
      </c>
      <c r="R17" s="45" t="s">
        <v>252</v>
      </c>
      <c r="S17" s="61"/>
      <c r="T17" s="60" t="s">
        <v>254</v>
      </c>
      <c r="U17" s="60" t="str">
        <f>"406,5270"</f>
        <v>406,5270</v>
      </c>
      <c r="V17" s="25" t="s">
        <v>253</v>
      </c>
    </row>
    <row r="19" spans="2:3" ht="18">
      <c r="B19" s="29" t="s">
        <v>100</v>
      </c>
      <c r="C19" s="29"/>
    </row>
    <row r="20" spans="2:3" ht="13.5" customHeight="1">
      <c r="B20" s="30" t="s">
        <v>101</v>
      </c>
      <c r="C20" s="30"/>
    </row>
    <row r="21" spans="2:3" ht="0.75" customHeight="1">
      <c r="B21" s="32"/>
      <c r="C21" s="33" t="s">
        <v>107</v>
      </c>
    </row>
    <row r="22" spans="2:3" ht="14.25">
      <c r="B22" s="32"/>
      <c r="C22" s="33" t="s">
        <v>112</v>
      </c>
    </row>
    <row r="23" spans="2:6" ht="15">
      <c r="B23" s="34" t="s">
        <v>102</v>
      </c>
      <c r="C23" s="34" t="s">
        <v>103</v>
      </c>
      <c r="D23" s="34" t="s">
        <v>104</v>
      </c>
      <c r="E23" s="34" t="s">
        <v>105</v>
      </c>
      <c r="F23" s="34" t="s">
        <v>106</v>
      </c>
    </row>
    <row r="24" spans="1:6" ht="12.75">
      <c r="A24" s="57">
        <v>1</v>
      </c>
      <c r="B24" s="31" t="s">
        <v>249</v>
      </c>
      <c r="C24" s="58" t="s">
        <v>112</v>
      </c>
      <c r="D24" s="59" t="s">
        <v>299</v>
      </c>
      <c r="E24" s="59" t="s">
        <v>254</v>
      </c>
      <c r="F24" s="59" t="s">
        <v>255</v>
      </c>
    </row>
    <row r="25" spans="1:6" ht="12.75">
      <c r="A25" s="57">
        <v>2</v>
      </c>
      <c r="B25" s="31" t="s">
        <v>241</v>
      </c>
      <c r="C25" s="58" t="s">
        <v>112</v>
      </c>
      <c r="D25" s="59" t="s">
        <v>301</v>
      </c>
      <c r="E25" s="59" t="s">
        <v>256</v>
      </c>
      <c r="F25" s="59" t="s">
        <v>257</v>
      </c>
    </row>
    <row r="26" spans="1:6" ht="12.75">
      <c r="A26" s="57">
        <v>3</v>
      </c>
      <c r="B26" s="31" t="s">
        <v>243</v>
      </c>
      <c r="C26" s="58" t="s">
        <v>112</v>
      </c>
      <c r="D26" s="59" t="s">
        <v>301</v>
      </c>
      <c r="E26" s="59" t="s">
        <v>258</v>
      </c>
      <c r="F26" s="59" t="s">
        <v>259</v>
      </c>
    </row>
  </sheetData>
  <sheetProtection/>
  <mergeCells count="18">
    <mergeCell ref="P3:S3"/>
    <mergeCell ref="B16:U16"/>
    <mergeCell ref="T3:T4"/>
    <mergeCell ref="U3:U4"/>
    <mergeCell ref="V3:V4"/>
    <mergeCell ref="B5:U5"/>
    <mergeCell ref="B8:U8"/>
    <mergeCell ref="B11:U11"/>
    <mergeCell ref="A3:A4"/>
    <mergeCell ref="B1:V2"/>
    <mergeCell ref="B3:B4"/>
    <mergeCell ref="C3:C4"/>
    <mergeCell ref="D3:D4"/>
    <mergeCell ref="E3:E4"/>
    <mergeCell ref="F3:F4"/>
    <mergeCell ref="G3:G4"/>
    <mergeCell ref="H3:K3"/>
    <mergeCell ref="L3:O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7.625" style="57" customWidth="1"/>
    <col min="2" max="2" width="18.875" style="24" customWidth="1"/>
    <col min="3" max="3" width="26.875" style="24" bestFit="1" customWidth="1"/>
    <col min="4" max="4" width="10.625" style="24" bestFit="1" customWidth="1"/>
    <col min="5" max="5" width="8.375" style="24" bestFit="1" customWidth="1"/>
    <col min="6" max="6" width="9.75390625" style="24" customWidth="1"/>
    <col min="7" max="7" width="31.125" style="24" customWidth="1"/>
    <col min="8" max="10" width="5.625" style="24" bestFit="1" customWidth="1"/>
    <col min="11" max="11" width="4.625" style="24" bestFit="1" customWidth="1"/>
    <col min="12" max="14" width="5.625" style="24" bestFit="1" customWidth="1"/>
    <col min="15" max="15" width="4.625" style="24" bestFit="1" customWidth="1"/>
    <col min="16" max="18" width="5.625" style="24" bestFit="1" customWidth="1"/>
    <col min="19" max="19" width="4.625" style="24" bestFit="1" customWidth="1"/>
    <col min="20" max="20" width="7.875" style="24" bestFit="1" customWidth="1"/>
    <col min="21" max="21" width="8.625" style="24" bestFit="1" customWidth="1"/>
    <col min="22" max="22" width="16.25390625" style="24" bestFit="1" customWidth="1"/>
  </cols>
  <sheetData>
    <row r="1" spans="1:22" s="1" customFormat="1" ht="15" customHeight="1">
      <c r="A1" s="36"/>
      <c r="B1" s="108" t="s">
        <v>335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10"/>
    </row>
    <row r="2" spans="1:22" s="1" customFormat="1" ht="98.25" customHeight="1" thickBot="1">
      <c r="A2" s="36"/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3"/>
    </row>
    <row r="3" spans="1:22" s="2" customFormat="1" ht="12.75" customHeight="1">
      <c r="A3" s="102" t="s">
        <v>287</v>
      </c>
      <c r="B3" s="114" t="s">
        <v>0</v>
      </c>
      <c r="C3" s="116" t="s">
        <v>288</v>
      </c>
      <c r="D3" s="117" t="s">
        <v>289</v>
      </c>
      <c r="E3" s="101" t="s">
        <v>9</v>
      </c>
      <c r="F3" s="101" t="s">
        <v>7</v>
      </c>
      <c r="G3" s="99" t="s">
        <v>291</v>
      </c>
      <c r="H3" s="101" t="s">
        <v>1</v>
      </c>
      <c r="I3" s="101"/>
      <c r="J3" s="101"/>
      <c r="K3" s="101"/>
      <c r="L3" s="101" t="s">
        <v>2</v>
      </c>
      <c r="M3" s="101"/>
      <c r="N3" s="101"/>
      <c r="O3" s="101"/>
      <c r="P3" s="101" t="s">
        <v>3</v>
      </c>
      <c r="Q3" s="101"/>
      <c r="R3" s="101"/>
      <c r="S3" s="101"/>
      <c r="T3" s="101" t="s">
        <v>4</v>
      </c>
      <c r="U3" s="101" t="s">
        <v>6</v>
      </c>
      <c r="V3" s="105" t="s">
        <v>5</v>
      </c>
    </row>
    <row r="4" spans="1:22" s="2" customFormat="1" ht="21" customHeight="1" thickBot="1">
      <c r="A4" s="103"/>
      <c r="B4" s="115"/>
      <c r="C4" s="104"/>
      <c r="D4" s="118"/>
      <c r="E4" s="104"/>
      <c r="F4" s="104"/>
      <c r="G4" s="100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104"/>
      <c r="U4" s="104"/>
      <c r="V4" s="106"/>
    </row>
    <row r="5" spans="2:21" ht="15">
      <c r="B5" s="107" t="s">
        <v>16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</row>
    <row r="6" spans="1:22" ht="12.75">
      <c r="A6" s="57">
        <v>1</v>
      </c>
      <c r="B6" s="25" t="s">
        <v>192</v>
      </c>
      <c r="C6" s="25" t="s">
        <v>193</v>
      </c>
      <c r="D6" s="87" t="s">
        <v>337</v>
      </c>
      <c r="E6" s="25" t="str">
        <f>"0,7207"</f>
        <v>0,7207</v>
      </c>
      <c r="F6" s="25" t="s">
        <v>13</v>
      </c>
      <c r="G6" s="25" t="s">
        <v>194</v>
      </c>
      <c r="H6" s="45" t="s">
        <v>50</v>
      </c>
      <c r="I6" s="45" t="s">
        <v>91</v>
      </c>
      <c r="J6" s="86" t="s">
        <v>176</v>
      </c>
      <c r="K6" s="61"/>
      <c r="L6" s="45" t="s">
        <v>28</v>
      </c>
      <c r="M6" s="45" t="s">
        <v>70</v>
      </c>
      <c r="N6" s="45" t="s">
        <v>145</v>
      </c>
      <c r="O6" s="61"/>
      <c r="P6" s="86" t="s">
        <v>74</v>
      </c>
      <c r="Q6" s="45" t="s">
        <v>195</v>
      </c>
      <c r="R6" s="45" t="s">
        <v>196</v>
      </c>
      <c r="S6" s="61"/>
      <c r="T6" s="60">
        <v>567.5</v>
      </c>
      <c r="U6" s="60" t="str">
        <f>"408,9973"</f>
        <v>408,9973</v>
      </c>
      <c r="V6" s="25" t="s">
        <v>22</v>
      </c>
    </row>
    <row r="8" spans="2:21" ht="15">
      <c r="B8" s="119" t="s">
        <v>23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</row>
    <row r="9" spans="1:22" ht="12.75">
      <c r="A9" s="57">
        <v>1</v>
      </c>
      <c r="B9" s="26" t="s">
        <v>197</v>
      </c>
      <c r="C9" s="26" t="s">
        <v>198</v>
      </c>
      <c r="D9" s="88" t="s">
        <v>338</v>
      </c>
      <c r="E9" s="26" t="str">
        <f>"0,6704"</f>
        <v>0,6704</v>
      </c>
      <c r="F9" s="26" t="s">
        <v>199</v>
      </c>
      <c r="G9" s="26" t="s">
        <v>200</v>
      </c>
      <c r="H9" s="46" t="s">
        <v>176</v>
      </c>
      <c r="I9" s="46" t="s">
        <v>201</v>
      </c>
      <c r="J9" s="46" t="s">
        <v>97</v>
      </c>
      <c r="K9" s="62"/>
      <c r="L9" s="46" t="s">
        <v>164</v>
      </c>
      <c r="M9" s="46" t="s">
        <v>137</v>
      </c>
      <c r="N9" s="46" t="s">
        <v>38</v>
      </c>
      <c r="O9" s="62"/>
      <c r="P9" s="46" t="s">
        <v>196</v>
      </c>
      <c r="Q9" s="62"/>
      <c r="R9" s="62"/>
      <c r="S9" s="62"/>
      <c r="T9" s="63">
        <v>607.5</v>
      </c>
      <c r="U9" s="63" t="str">
        <f>"407,2680"</f>
        <v>407,2680</v>
      </c>
      <c r="V9" s="26" t="s">
        <v>22</v>
      </c>
    </row>
    <row r="10" spans="1:22" ht="12.75">
      <c r="A10" s="57">
        <v>2</v>
      </c>
      <c r="B10" s="28" t="s">
        <v>202</v>
      </c>
      <c r="C10" s="28" t="s">
        <v>203</v>
      </c>
      <c r="D10" s="90" t="s">
        <v>339</v>
      </c>
      <c r="E10" s="28" t="str">
        <f>"0,6854"</f>
        <v>0,6854</v>
      </c>
      <c r="F10" s="28" t="s">
        <v>13</v>
      </c>
      <c r="G10" s="28" t="s">
        <v>204</v>
      </c>
      <c r="H10" s="48" t="s">
        <v>49</v>
      </c>
      <c r="I10" s="48" t="s">
        <v>67</v>
      </c>
      <c r="J10" s="48" t="s">
        <v>80</v>
      </c>
      <c r="K10" s="67"/>
      <c r="L10" s="48" t="s">
        <v>70</v>
      </c>
      <c r="M10" s="48" t="s">
        <v>34</v>
      </c>
      <c r="N10" s="48" t="s">
        <v>149</v>
      </c>
      <c r="O10" s="67"/>
      <c r="P10" s="48" t="s">
        <v>205</v>
      </c>
      <c r="Q10" s="48" t="s">
        <v>74</v>
      </c>
      <c r="R10" s="48" t="s">
        <v>206</v>
      </c>
      <c r="S10" s="67"/>
      <c r="T10" s="66">
        <v>547.5</v>
      </c>
      <c r="U10" s="66" t="str">
        <f>"375,2565"</f>
        <v>375,2565</v>
      </c>
      <c r="V10" s="28" t="s">
        <v>334</v>
      </c>
    </row>
    <row r="12" spans="2:21" ht="15">
      <c r="B12" s="119" t="s">
        <v>40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</row>
    <row r="13" spans="1:22" ht="12.75">
      <c r="A13" s="57">
        <v>1</v>
      </c>
      <c r="B13" s="25" t="s">
        <v>207</v>
      </c>
      <c r="C13" s="25" t="s">
        <v>208</v>
      </c>
      <c r="D13" s="87" t="s">
        <v>340</v>
      </c>
      <c r="E13" s="25" t="str">
        <f>"0,6515"</f>
        <v>0,6515</v>
      </c>
      <c r="F13" s="25" t="s">
        <v>13</v>
      </c>
      <c r="G13" s="25" t="s">
        <v>304</v>
      </c>
      <c r="H13" s="86" t="s">
        <v>209</v>
      </c>
      <c r="I13" s="45" t="s">
        <v>209</v>
      </c>
      <c r="J13" s="45" t="s">
        <v>91</v>
      </c>
      <c r="K13" s="61"/>
      <c r="L13" s="45" t="s">
        <v>138</v>
      </c>
      <c r="M13" s="45" t="s">
        <v>44</v>
      </c>
      <c r="N13" s="86" t="s">
        <v>45</v>
      </c>
      <c r="O13" s="61"/>
      <c r="P13" s="45" t="s">
        <v>74</v>
      </c>
      <c r="Q13" s="45" t="s">
        <v>195</v>
      </c>
      <c r="R13" s="45" t="s">
        <v>210</v>
      </c>
      <c r="S13" s="61"/>
      <c r="T13" s="60" t="s">
        <v>227</v>
      </c>
      <c r="U13" s="60" t="str">
        <f>"387,6425"</f>
        <v>387,6425</v>
      </c>
      <c r="V13" s="25" t="s">
        <v>22</v>
      </c>
    </row>
    <row r="15" spans="2:21" ht="15">
      <c r="B15" s="119" t="s">
        <v>63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</row>
    <row r="16" spans="1:22" ht="12.75">
      <c r="A16" s="57">
        <v>1</v>
      </c>
      <c r="B16" s="26" t="s">
        <v>71</v>
      </c>
      <c r="C16" s="26" t="s">
        <v>72</v>
      </c>
      <c r="D16" s="88" t="s">
        <v>341</v>
      </c>
      <c r="E16" s="26" t="str">
        <f>"0,5900"</f>
        <v>0,5900</v>
      </c>
      <c r="F16" s="26" t="s">
        <v>13</v>
      </c>
      <c r="G16" s="26" t="s">
        <v>73</v>
      </c>
      <c r="H16" s="46" t="s">
        <v>211</v>
      </c>
      <c r="I16" s="46" t="s">
        <v>212</v>
      </c>
      <c r="J16" s="62"/>
      <c r="K16" s="62"/>
      <c r="L16" s="46" t="s">
        <v>205</v>
      </c>
      <c r="M16" s="46" t="s">
        <v>74</v>
      </c>
      <c r="N16" s="95" t="s">
        <v>206</v>
      </c>
      <c r="O16" s="62"/>
      <c r="P16" s="46" t="s">
        <v>211</v>
      </c>
      <c r="Q16" s="46" t="s">
        <v>212</v>
      </c>
      <c r="R16" s="95" t="s">
        <v>213</v>
      </c>
      <c r="S16" s="62"/>
      <c r="T16" s="63" t="s">
        <v>220</v>
      </c>
      <c r="U16" s="63" t="str">
        <f>"501,5000"</f>
        <v>501,5000</v>
      </c>
      <c r="V16" s="26" t="s">
        <v>22</v>
      </c>
    </row>
    <row r="17" spans="1:22" ht="12.75">
      <c r="A17" s="57">
        <v>2</v>
      </c>
      <c r="B17" s="28" t="s">
        <v>214</v>
      </c>
      <c r="C17" s="28" t="s">
        <v>215</v>
      </c>
      <c r="D17" s="90" t="s">
        <v>342</v>
      </c>
      <c r="E17" s="28" t="str">
        <f>"0,5974"</f>
        <v>0,5974</v>
      </c>
      <c r="F17" s="28" t="s">
        <v>199</v>
      </c>
      <c r="G17" s="28" t="s">
        <v>200</v>
      </c>
      <c r="H17" s="96" t="s">
        <v>74</v>
      </c>
      <c r="I17" s="48" t="s">
        <v>74</v>
      </c>
      <c r="J17" s="67"/>
      <c r="K17" s="67"/>
      <c r="L17" s="48" t="s">
        <v>91</v>
      </c>
      <c r="M17" s="48" t="s">
        <v>92</v>
      </c>
      <c r="N17" s="96" t="s">
        <v>216</v>
      </c>
      <c r="O17" s="67"/>
      <c r="P17" s="48" t="s">
        <v>195</v>
      </c>
      <c r="Q17" s="48" t="s">
        <v>210</v>
      </c>
      <c r="R17" s="67"/>
      <c r="S17" s="67"/>
      <c r="T17" s="66" t="s">
        <v>226</v>
      </c>
      <c r="U17" s="66" t="str">
        <f>"400,2580"</f>
        <v>400,2580</v>
      </c>
      <c r="V17" s="28" t="s">
        <v>22</v>
      </c>
    </row>
    <row r="19" spans="2:21" ht="15">
      <c r="B19" s="119" t="s">
        <v>82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</row>
    <row r="20" spans="1:22" ht="12.75">
      <c r="A20" s="57">
        <v>1</v>
      </c>
      <c r="B20" s="25" t="s">
        <v>217</v>
      </c>
      <c r="C20" s="25" t="s">
        <v>218</v>
      </c>
      <c r="D20" s="87" t="s">
        <v>70</v>
      </c>
      <c r="E20" s="25" t="str">
        <f>"0,5698"</f>
        <v>0,5698</v>
      </c>
      <c r="F20" s="25" t="s">
        <v>13</v>
      </c>
      <c r="G20" s="25" t="s">
        <v>219</v>
      </c>
      <c r="H20" s="45" t="s">
        <v>97</v>
      </c>
      <c r="I20" s="86" t="s">
        <v>85</v>
      </c>
      <c r="J20" s="45" t="s">
        <v>86</v>
      </c>
      <c r="K20" s="61"/>
      <c r="L20" s="86" t="s">
        <v>152</v>
      </c>
      <c r="M20" s="45" t="s">
        <v>34</v>
      </c>
      <c r="N20" s="45" t="s">
        <v>20</v>
      </c>
      <c r="O20" s="61"/>
      <c r="P20" s="45" t="s">
        <v>205</v>
      </c>
      <c r="Q20" s="45" t="s">
        <v>195</v>
      </c>
      <c r="R20" s="61"/>
      <c r="S20" s="61"/>
      <c r="T20" s="60" t="s">
        <v>228</v>
      </c>
      <c r="U20" s="60" t="str">
        <f>"545,9824"</f>
        <v>545,9824</v>
      </c>
      <c r="V20" s="25" t="s">
        <v>22</v>
      </c>
    </row>
    <row r="22" spans="2:3" ht="18">
      <c r="B22" s="29" t="s">
        <v>100</v>
      </c>
      <c r="C22" s="29"/>
    </row>
    <row r="23" spans="2:3" ht="15">
      <c r="B23" s="30" t="s">
        <v>101</v>
      </c>
      <c r="C23" s="30"/>
    </row>
    <row r="24" spans="2:3" ht="14.25">
      <c r="B24" s="32"/>
      <c r="C24" s="33" t="s">
        <v>112</v>
      </c>
    </row>
    <row r="25" spans="2:6" ht="15">
      <c r="B25" s="34" t="s">
        <v>102</v>
      </c>
      <c r="C25" s="34" t="s">
        <v>103</v>
      </c>
      <c r="D25" s="34" t="s">
        <v>104</v>
      </c>
      <c r="E25" s="34" t="s">
        <v>105</v>
      </c>
      <c r="F25" s="34" t="s">
        <v>106</v>
      </c>
    </row>
    <row r="26" spans="1:6" ht="12.75">
      <c r="A26" s="57">
        <v>1</v>
      </c>
      <c r="B26" s="31" t="s">
        <v>71</v>
      </c>
      <c r="C26" s="58" t="s">
        <v>112</v>
      </c>
      <c r="D26" s="59" t="s">
        <v>300</v>
      </c>
      <c r="E26" s="59" t="s">
        <v>220</v>
      </c>
      <c r="F26" s="59" t="s">
        <v>221</v>
      </c>
    </row>
    <row r="27" spans="1:6" ht="12.75">
      <c r="A27" s="57">
        <v>2</v>
      </c>
      <c r="B27" s="31" t="s">
        <v>192</v>
      </c>
      <c r="C27" s="58" t="s">
        <v>112</v>
      </c>
      <c r="D27" s="59" t="s">
        <v>336</v>
      </c>
      <c r="E27" s="59" t="s">
        <v>222</v>
      </c>
      <c r="F27" s="59" t="s">
        <v>223</v>
      </c>
    </row>
    <row r="28" spans="1:6" ht="12.75">
      <c r="A28" s="57">
        <v>3</v>
      </c>
      <c r="B28" s="31" t="s">
        <v>197</v>
      </c>
      <c r="C28" s="58" t="s">
        <v>112</v>
      </c>
      <c r="D28" s="59" t="s">
        <v>301</v>
      </c>
      <c r="E28" s="59" t="s">
        <v>224</v>
      </c>
      <c r="F28" s="59" t="s">
        <v>225</v>
      </c>
    </row>
  </sheetData>
  <sheetProtection/>
  <mergeCells count="19">
    <mergeCell ref="P3:S3"/>
    <mergeCell ref="B15:U15"/>
    <mergeCell ref="B19:U19"/>
    <mergeCell ref="T3:T4"/>
    <mergeCell ref="U3:U4"/>
    <mergeCell ref="V3:V4"/>
    <mergeCell ref="B5:U5"/>
    <mergeCell ref="B8:U8"/>
    <mergeCell ref="B12:U12"/>
    <mergeCell ref="A3:A4"/>
    <mergeCell ref="B1:V2"/>
    <mergeCell ref="B3:B4"/>
    <mergeCell ref="C3:C4"/>
    <mergeCell ref="D3:D4"/>
    <mergeCell ref="E3:E4"/>
    <mergeCell ref="F3:F4"/>
    <mergeCell ref="G3:G4"/>
    <mergeCell ref="H3:K3"/>
    <mergeCell ref="L3:O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B39" sqref="B39"/>
    </sheetView>
  </sheetViews>
  <sheetFormatPr defaultColWidth="9.00390625" defaultRowHeight="12.75"/>
  <cols>
    <col min="1" max="1" width="9.125" style="57" customWidth="1"/>
    <col min="2" max="2" width="21.125" style="24" customWidth="1"/>
    <col min="3" max="3" width="27.75390625" style="24" customWidth="1"/>
    <col min="4" max="4" width="10.625" style="24" bestFit="1" customWidth="1"/>
    <col min="5" max="5" width="8.375" style="24" bestFit="1" customWidth="1"/>
    <col min="6" max="6" width="12.375" style="24" customWidth="1"/>
    <col min="7" max="7" width="28.625" style="24" bestFit="1" customWidth="1"/>
    <col min="8" max="10" width="5.625" style="24" bestFit="1" customWidth="1"/>
    <col min="11" max="11" width="4.625" style="24" bestFit="1" customWidth="1"/>
    <col min="12" max="12" width="11.375" style="24" customWidth="1"/>
    <col min="13" max="13" width="8.625" style="24" bestFit="1" customWidth="1"/>
    <col min="14" max="14" width="15.375" style="24" bestFit="1" customWidth="1"/>
  </cols>
  <sheetData>
    <row r="1" spans="1:14" s="1" customFormat="1" ht="15" customHeight="1">
      <c r="A1" s="36"/>
      <c r="B1" s="108" t="s">
        <v>310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4" s="1" customFormat="1" ht="83.25" customHeight="1" thickBot="1">
      <c r="A2" s="36"/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</row>
    <row r="3" spans="1:14" s="2" customFormat="1" ht="12.75" customHeight="1">
      <c r="A3" s="102" t="s">
        <v>287</v>
      </c>
      <c r="B3" s="114" t="s">
        <v>0</v>
      </c>
      <c r="C3" s="116" t="s">
        <v>288</v>
      </c>
      <c r="D3" s="117" t="s">
        <v>289</v>
      </c>
      <c r="E3" s="124" t="s">
        <v>9</v>
      </c>
      <c r="F3" s="124" t="s">
        <v>7</v>
      </c>
      <c r="G3" s="99" t="s">
        <v>291</v>
      </c>
      <c r="H3" s="114" t="s">
        <v>2</v>
      </c>
      <c r="I3" s="101"/>
      <c r="J3" s="101"/>
      <c r="K3" s="105"/>
      <c r="L3" s="120" t="s">
        <v>292</v>
      </c>
      <c r="M3" s="122" t="s">
        <v>6</v>
      </c>
      <c r="N3" s="105" t="s">
        <v>5</v>
      </c>
    </row>
    <row r="4" spans="1:14" s="2" customFormat="1" ht="21" customHeight="1" thickBot="1">
      <c r="A4" s="103"/>
      <c r="B4" s="115"/>
      <c r="C4" s="104"/>
      <c r="D4" s="118"/>
      <c r="E4" s="118"/>
      <c r="F4" s="118"/>
      <c r="G4" s="100"/>
      <c r="H4" s="35">
        <v>1</v>
      </c>
      <c r="I4" s="6">
        <v>2</v>
      </c>
      <c r="J4" s="6">
        <v>3</v>
      </c>
      <c r="K4" s="7" t="s">
        <v>293</v>
      </c>
      <c r="L4" s="121"/>
      <c r="M4" s="123"/>
      <c r="N4" s="106"/>
    </row>
    <row r="5" spans="2:13" ht="15">
      <c r="B5" s="107" t="s">
        <v>63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1:14" ht="12.75">
      <c r="A6" s="57">
        <v>1</v>
      </c>
      <c r="B6" s="25" t="s">
        <v>177</v>
      </c>
      <c r="C6" s="25" t="s">
        <v>178</v>
      </c>
      <c r="D6" s="87" t="s">
        <v>313</v>
      </c>
      <c r="E6" s="25" t="str">
        <f>"0,5887"</f>
        <v>0,5887</v>
      </c>
      <c r="F6" s="25" t="s">
        <v>13</v>
      </c>
      <c r="G6" s="25" t="s">
        <v>73</v>
      </c>
      <c r="H6" s="45" t="s">
        <v>92</v>
      </c>
      <c r="I6" s="86" t="s">
        <v>98</v>
      </c>
      <c r="J6" s="86" t="s">
        <v>98</v>
      </c>
      <c r="K6" s="61"/>
      <c r="L6" s="60" t="s">
        <v>92</v>
      </c>
      <c r="M6" s="60" t="str">
        <f>"111,8530"</f>
        <v>111,8530</v>
      </c>
      <c r="N6" s="25" t="s">
        <v>22</v>
      </c>
    </row>
  </sheetData>
  <sheetProtection/>
  <mergeCells count="13">
    <mergeCell ref="B5:M5"/>
    <mergeCell ref="B1:N2"/>
    <mergeCell ref="B3:B4"/>
    <mergeCell ref="C3:C4"/>
    <mergeCell ref="D3:D4"/>
    <mergeCell ref="E3:E4"/>
    <mergeCell ref="F3:F4"/>
    <mergeCell ref="G3:G4"/>
    <mergeCell ref="H3:K3"/>
    <mergeCell ref="A3:A4"/>
    <mergeCell ref="L3:L4"/>
    <mergeCell ref="M3:M4"/>
    <mergeCell ref="N3:N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9.125" style="57" customWidth="1"/>
    <col min="2" max="2" width="26.00390625" style="24" bestFit="1" customWidth="1"/>
    <col min="3" max="3" width="26.875" style="24" bestFit="1" customWidth="1"/>
    <col min="4" max="4" width="10.625" style="24" bestFit="1" customWidth="1"/>
    <col min="5" max="5" width="8.375" style="24" bestFit="1" customWidth="1"/>
    <col min="6" max="6" width="13.875" style="24" customWidth="1"/>
    <col min="7" max="7" width="30.625" style="24" customWidth="1"/>
    <col min="8" max="10" width="5.625" style="24" bestFit="1" customWidth="1"/>
    <col min="11" max="11" width="4.625" style="24" bestFit="1" customWidth="1"/>
    <col min="12" max="12" width="10.875" style="24" customWidth="1"/>
    <col min="13" max="13" width="8.625" style="24" bestFit="1" customWidth="1"/>
    <col min="14" max="14" width="15.00390625" style="24" customWidth="1"/>
  </cols>
  <sheetData>
    <row r="1" spans="1:14" s="1" customFormat="1" ht="15" customHeight="1">
      <c r="A1" s="36"/>
      <c r="B1" s="108" t="s">
        <v>311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4" s="1" customFormat="1" ht="79.5" customHeight="1" thickBot="1">
      <c r="A2" s="36"/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</row>
    <row r="3" spans="1:14" s="2" customFormat="1" ht="12.75" customHeight="1">
      <c r="A3" s="102" t="s">
        <v>287</v>
      </c>
      <c r="B3" s="114" t="s">
        <v>0</v>
      </c>
      <c r="C3" s="116" t="s">
        <v>288</v>
      </c>
      <c r="D3" s="117" t="s">
        <v>289</v>
      </c>
      <c r="E3" s="124" t="s">
        <v>9</v>
      </c>
      <c r="F3" s="124" t="s">
        <v>7</v>
      </c>
      <c r="G3" s="99" t="s">
        <v>291</v>
      </c>
      <c r="H3" s="114" t="s">
        <v>2</v>
      </c>
      <c r="I3" s="101"/>
      <c r="J3" s="101"/>
      <c r="K3" s="105"/>
      <c r="L3" s="120" t="s">
        <v>292</v>
      </c>
      <c r="M3" s="122" t="s">
        <v>6</v>
      </c>
      <c r="N3" s="105" t="s">
        <v>5</v>
      </c>
    </row>
    <row r="4" spans="1:14" s="2" customFormat="1" ht="21" customHeight="1" thickBot="1">
      <c r="A4" s="103"/>
      <c r="B4" s="115"/>
      <c r="C4" s="104"/>
      <c r="D4" s="118"/>
      <c r="E4" s="118"/>
      <c r="F4" s="118"/>
      <c r="G4" s="100"/>
      <c r="H4" s="35">
        <v>1</v>
      </c>
      <c r="I4" s="6">
        <v>2</v>
      </c>
      <c r="J4" s="6">
        <v>3</v>
      </c>
      <c r="K4" s="7" t="s">
        <v>293</v>
      </c>
      <c r="L4" s="121"/>
      <c r="M4" s="123"/>
      <c r="N4" s="106"/>
    </row>
    <row r="5" spans="2:13" ht="15">
      <c r="B5" s="107" t="s">
        <v>116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1:14" ht="12.75">
      <c r="A6" s="57">
        <v>1</v>
      </c>
      <c r="B6" s="25" t="s">
        <v>117</v>
      </c>
      <c r="C6" s="25" t="s">
        <v>118</v>
      </c>
      <c r="D6" s="87" t="s">
        <v>314</v>
      </c>
      <c r="E6" s="25" t="str">
        <f>"1,1251"</f>
        <v>1,1251</v>
      </c>
      <c r="F6" s="25" t="s">
        <v>13</v>
      </c>
      <c r="G6" s="25" t="s">
        <v>304</v>
      </c>
      <c r="H6" s="81" t="s">
        <v>119</v>
      </c>
      <c r="I6" s="81" t="s">
        <v>119</v>
      </c>
      <c r="J6" s="77" t="s">
        <v>119</v>
      </c>
      <c r="K6" s="70"/>
      <c r="L6" s="69">
        <v>65</v>
      </c>
      <c r="M6" s="69" t="str">
        <f>"73,1315"</f>
        <v>73,1315</v>
      </c>
      <c r="N6" s="25" t="s">
        <v>305</v>
      </c>
    </row>
    <row r="8" spans="2:13" ht="15">
      <c r="B8" s="119" t="s">
        <v>10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</row>
    <row r="9" spans="1:14" ht="12.75">
      <c r="A9" s="57">
        <v>1</v>
      </c>
      <c r="B9" s="25" t="s">
        <v>120</v>
      </c>
      <c r="C9" s="25" t="s">
        <v>121</v>
      </c>
      <c r="D9" s="87" t="s">
        <v>315</v>
      </c>
      <c r="E9" s="25" t="str">
        <f>"1,0467"</f>
        <v>1,0467</v>
      </c>
      <c r="F9" s="25" t="s">
        <v>13</v>
      </c>
      <c r="G9" s="25" t="s">
        <v>33</v>
      </c>
      <c r="H9" s="77" t="s">
        <v>122</v>
      </c>
      <c r="I9" s="77" t="s">
        <v>123</v>
      </c>
      <c r="J9" s="81" t="s">
        <v>124</v>
      </c>
      <c r="K9" s="70"/>
      <c r="L9" s="69">
        <v>72.5</v>
      </c>
      <c r="M9" s="69" t="str">
        <f>"75,8858"</f>
        <v>75,8858</v>
      </c>
      <c r="N9" s="25" t="s">
        <v>125</v>
      </c>
    </row>
    <row r="11" spans="2:13" ht="15">
      <c r="B11" s="119" t="s">
        <v>10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</row>
    <row r="12" spans="1:14" ht="12.75">
      <c r="A12" s="57">
        <v>1</v>
      </c>
      <c r="B12" s="25" t="s">
        <v>126</v>
      </c>
      <c r="C12" s="25" t="s">
        <v>127</v>
      </c>
      <c r="D12" s="87" t="s">
        <v>316</v>
      </c>
      <c r="E12" s="25" t="str">
        <f>"0,7785"</f>
        <v>0,7785</v>
      </c>
      <c r="F12" s="25" t="s">
        <v>13</v>
      </c>
      <c r="G12" s="25" t="s">
        <v>128</v>
      </c>
      <c r="H12" s="77" t="s">
        <v>61</v>
      </c>
      <c r="I12" s="81" t="s">
        <v>56</v>
      </c>
      <c r="J12" s="81" t="s">
        <v>56</v>
      </c>
      <c r="K12" s="70"/>
      <c r="L12" s="69">
        <v>90</v>
      </c>
      <c r="M12" s="69" t="str">
        <f>"70,0650"</f>
        <v>70,0650</v>
      </c>
      <c r="N12" s="25" t="s">
        <v>306</v>
      </c>
    </row>
    <row r="14" spans="2:13" ht="15">
      <c r="B14" s="119" t="s">
        <v>16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</row>
    <row r="15" spans="1:14" ht="12.75">
      <c r="A15" s="57">
        <v>1</v>
      </c>
      <c r="B15" s="26" t="s">
        <v>129</v>
      </c>
      <c r="C15" s="26" t="s">
        <v>130</v>
      </c>
      <c r="D15" s="88" t="s">
        <v>317</v>
      </c>
      <c r="E15" s="26" t="str">
        <f>"0,7186"</f>
        <v>0,7186</v>
      </c>
      <c r="F15" s="26" t="s">
        <v>131</v>
      </c>
      <c r="G15" s="26" t="s">
        <v>26</v>
      </c>
      <c r="H15" s="78" t="s">
        <v>29</v>
      </c>
      <c r="I15" s="78" t="s">
        <v>70</v>
      </c>
      <c r="J15" s="82" t="s">
        <v>20</v>
      </c>
      <c r="K15" s="71"/>
      <c r="L15" s="72">
        <v>125</v>
      </c>
      <c r="M15" s="72" t="str">
        <f>"89,8250"</f>
        <v>89,8250</v>
      </c>
      <c r="N15" s="26" t="s">
        <v>22</v>
      </c>
    </row>
    <row r="16" spans="1:14" ht="12.75">
      <c r="A16" s="57">
        <v>1</v>
      </c>
      <c r="B16" s="27" t="s">
        <v>132</v>
      </c>
      <c r="C16" s="27" t="s">
        <v>133</v>
      </c>
      <c r="D16" s="89" t="s">
        <v>318</v>
      </c>
      <c r="E16" s="27" t="str">
        <f>"0,7193"</f>
        <v>0,7193</v>
      </c>
      <c r="F16" s="27" t="s">
        <v>78</v>
      </c>
      <c r="G16" s="27" t="s">
        <v>79</v>
      </c>
      <c r="H16" s="79" t="s">
        <v>134</v>
      </c>
      <c r="I16" s="83" t="s">
        <v>44</v>
      </c>
      <c r="J16" s="83" t="s">
        <v>44</v>
      </c>
      <c r="K16" s="74"/>
      <c r="L16" s="73">
        <v>155</v>
      </c>
      <c r="M16" s="73" t="str">
        <f>"111,4915"</f>
        <v>111,4915</v>
      </c>
      <c r="N16" s="27" t="s">
        <v>22</v>
      </c>
    </row>
    <row r="17" spans="1:14" ht="12.75">
      <c r="A17" s="57">
        <v>2</v>
      </c>
      <c r="B17" s="27" t="s">
        <v>135</v>
      </c>
      <c r="C17" s="27" t="s">
        <v>136</v>
      </c>
      <c r="D17" s="89" t="s">
        <v>319</v>
      </c>
      <c r="E17" s="27" t="str">
        <f>"0,7179"</f>
        <v>0,7179</v>
      </c>
      <c r="F17" s="27" t="s">
        <v>13</v>
      </c>
      <c r="G17" s="27" t="s">
        <v>26</v>
      </c>
      <c r="H17" s="79" t="s">
        <v>137</v>
      </c>
      <c r="I17" s="79" t="s">
        <v>138</v>
      </c>
      <c r="J17" s="83" t="s">
        <v>134</v>
      </c>
      <c r="K17" s="74"/>
      <c r="L17" s="73">
        <v>150</v>
      </c>
      <c r="M17" s="73" t="str">
        <f>"107,6850"</f>
        <v>107,6850</v>
      </c>
      <c r="N17" s="27" t="s">
        <v>307</v>
      </c>
    </row>
    <row r="18" spans="1:14" ht="12.75">
      <c r="A18" s="57">
        <v>3</v>
      </c>
      <c r="B18" s="28" t="s">
        <v>139</v>
      </c>
      <c r="C18" s="28" t="s">
        <v>140</v>
      </c>
      <c r="D18" s="90" t="s">
        <v>320</v>
      </c>
      <c r="E18" s="28" t="str">
        <f>"0,7132"</f>
        <v>0,7132</v>
      </c>
      <c r="F18" s="28" t="s">
        <v>78</v>
      </c>
      <c r="G18" s="28" t="s">
        <v>79</v>
      </c>
      <c r="H18" s="80" t="s">
        <v>34</v>
      </c>
      <c r="I18" s="84" t="s">
        <v>20</v>
      </c>
      <c r="J18" s="84" t="s">
        <v>20</v>
      </c>
      <c r="K18" s="76"/>
      <c r="L18" s="75">
        <v>130</v>
      </c>
      <c r="M18" s="75" t="str">
        <f>"92,7160"</f>
        <v>92,7160</v>
      </c>
      <c r="N18" s="28" t="s">
        <v>308</v>
      </c>
    </row>
    <row r="20" spans="2:13" ht="15">
      <c r="B20" s="119" t="s">
        <v>23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</row>
    <row r="21" spans="1:14" ht="12.75">
      <c r="A21" s="57">
        <v>1</v>
      </c>
      <c r="B21" s="26" t="s">
        <v>47</v>
      </c>
      <c r="C21" s="26" t="s">
        <v>141</v>
      </c>
      <c r="D21" s="88" t="s">
        <v>321</v>
      </c>
      <c r="E21" s="26" t="str">
        <f>"0,6795"</f>
        <v>0,6795</v>
      </c>
      <c r="F21" s="26" t="s">
        <v>13</v>
      </c>
      <c r="G21" s="26" t="s">
        <v>26</v>
      </c>
      <c r="H21" s="78" t="s">
        <v>34</v>
      </c>
      <c r="I21" s="78" t="s">
        <v>20</v>
      </c>
      <c r="J21" s="78" t="s">
        <v>142</v>
      </c>
      <c r="K21" s="71"/>
      <c r="L21" s="72">
        <v>137.5</v>
      </c>
      <c r="M21" s="72" t="str">
        <f>"93,4312"</f>
        <v>93,4312</v>
      </c>
      <c r="N21" s="26" t="s">
        <v>22</v>
      </c>
    </row>
    <row r="22" spans="1:14" ht="12.75">
      <c r="A22" s="57">
        <v>2</v>
      </c>
      <c r="B22" s="28" t="s">
        <v>143</v>
      </c>
      <c r="C22" s="28" t="s">
        <v>144</v>
      </c>
      <c r="D22" s="90" t="s">
        <v>322</v>
      </c>
      <c r="E22" s="28" t="str">
        <f>"0,6769"</f>
        <v>0,6769</v>
      </c>
      <c r="F22" s="28" t="s">
        <v>13</v>
      </c>
      <c r="G22" s="28" t="s">
        <v>26</v>
      </c>
      <c r="H22" s="80" t="s">
        <v>29</v>
      </c>
      <c r="I22" s="80" t="s">
        <v>145</v>
      </c>
      <c r="J22" s="84" t="s">
        <v>34</v>
      </c>
      <c r="K22" s="76"/>
      <c r="L22" s="75">
        <v>127.5</v>
      </c>
      <c r="M22" s="75" t="str">
        <f>"86,3048"</f>
        <v>86,3048</v>
      </c>
      <c r="N22" s="28" t="s">
        <v>22</v>
      </c>
    </row>
    <row r="24" spans="2:13" ht="15">
      <c r="B24" s="119" t="s">
        <v>40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</row>
    <row r="25" spans="1:14" ht="12.75">
      <c r="A25" s="57">
        <v>1</v>
      </c>
      <c r="B25" s="26" t="s">
        <v>146</v>
      </c>
      <c r="C25" s="26" t="s">
        <v>147</v>
      </c>
      <c r="D25" s="88" t="s">
        <v>323</v>
      </c>
      <c r="E25" s="26" t="str">
        <f>"0,6424"</f>
        <v>0,6424</v>
      </c>
      <c r="F25" s="26" t="s">
        <v>13</v>
      </c>
      <c r="G25" s="26" t="s">
        <v>148</v>
      </c>
      <c r="H25" s="78" t="s">
        <v>145</v>
      </c>
      <c r="I25" s="78" t="s">
        <v>149</v>
      </c>
      <c r="J25" s="78" t="s">
        <v>142</v>
      </c>
      <c r="K25" s="71"/>
      <c r="L25" s="72">
        <v>137.5</v>
      </c>
      <c r="M25" s="72" t="str">
        <f>"88,3300"</f>
        <v>88,3300</v>
      </c>
      <c r="N25" s="26" t="s">
        <v>22</v>
      </c>
    </row>
    <row r="26" spans="1:14" ht="12.75">
      <c r="A26" s="57">
        <v>2</v>
      </c>
      <c r="B26" s="27" t="s">
        <v>150</v>
      </c>
      <c r="C26" s="27" t="s">
        <v>151</v>
      </c>
      <c r="D26" s="89" t="s">
        <v>324</v>
      </c>
      <c r="E26" s="27" t="str">
        <f>"0,6402"</f>
        <v>0,6402</v>
      </c>
      <c r="F26" s="27" t="s">
        <v>13</v>
      </c>
      <c r="G26" s="27" t="s">
        <v>26</v>
      </c>
      <c r="H26" s="79" t="s">
        <v>152</v>
      </c>
      <c r="I26" s="79" t="s">
        <v>149</v>
      </c>
      <c r="J26" s="83" t="s">
        <v>20</v>
      </c>
      <c r="K26" s="74"/>
      <c r="L26" s="73">
        <v>132.5</v>
      </c>
      <c r="M26" s="73" t="str">
        <f>"84,8265"</f>
        <v>84,8265</v>
      </c>
      <c r="N26" s="27" t="s">
        <v>22</v>
      </c>
    </row>
    <row r="27" spans="1:14" ht="12.75">
      <c r="A27" s="57">
        <v>1</v>
      </c>
      <c r="B27" s="28" t="s">
        <v>153</v>
      </c>
      <c r="C27" s="28" t="s">
        <v>154</v>
      </c>
      <c r="D27" s="90" t="s">
        <v>325</v>
      </c>
      <c r="E27" s="28" t="str">
        <f>"0,6395"</f>
        <v>0,6395</v>
      </c>
      <c r="F27" s="28" t="s">
        <v>13</v>
      </c>
      <c r="G27" s="28" t="s">
        <v>155</v>
      </c>
      <c r="H27" s="80" t="s">
        <v>43</v>
      </c>
      <c r="I27" s="84" t="s">
        <v>156</v>
      </c>
      <c r="J27" s="84" t="s">
        <v>156</v>
      </c>
      <c r="K27" s="76"/>
      <c r="L27" s="75">
        <v>152.5</v>
      </c>
      <c r="M27" s="75" t="str">
        <f>"98,8891"</f>
        <v>98,8891</v>
      </c>
      <c r="N27" s="28" t="s">
        <v>22</v>
      </c>
    </row>
    <row r="29" spans="2:13" ht="15">
      <c r="B29" s="119" t="s">
        <v>157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</row>
    <row r="30" spans="1:14" ht="12.75">
      <c r="A30" s="57">
        <v>1</v>
      </c>
      <c r="B30" s="26" t="s">
        <v>158</v>
      </c>
      <c r="C30" s="26" t="s">
        <v>159</v>
      </c>
      <c r="D30" s="88" t="s">
        <v>326</v>
      </c>
      <c r="E30" s="26" t="str">
        <f>"0,6180"</f>
        <v>0,6180</v>
      </c>
      <c r="F30" s="26" t="s">
        <v>13</v>
      </c>
      <c r="G30" s="26" t="s">
        <v>26</v>
      </c>
      <c r="H30" s="78" t="s">
        <v>43</v>
      </c>
      <c r="I30" s="82" t="s">
        <v>160</v>
      </c>
      <c r="J30" s="82" t="s">
        <v>160</v>
      </c>
      <c r="K30" s="71"/>
      <c r="L30" s="72">
        <v>152.5</v>
      </c>
      <c r="M30" s="72" t="str">
        <f>"94,2450"</f>
        <v>94,2450</v>
      </c>
      <c r="N30" s="26" t="s">
        <v>22</v>
      </c>
    </row>
    <row r="31" spans="1:14" ht="12.75">
      <c r="A31" s="57">
        <v>2</v>
      </c>
      <c r="B31" s="27" t="s">
        <v>161</v>
      </c>
      <c r="C31" s="27" t="s">
        <v>162</v>
      </c>
      <c r="D31" s="89" t="s">
        <v>327</v>
      </c>
      <c r="E31" s="27" t="str">
        <f>"0,6116"</f>
        <v>0,6116</v>
      </c>
      <c r="F31" s="27" t="s">
        <v>13</v>
      </c>
      <c r="G31" s="27" t="s">
        <v>163</v>
      </c>
      <c r="H31" s="79" t="s">
        <v>164</v>
      </c>
      <c r="I31" s="83" t="s">
        <v>138</v>
      </c>
      <c r="J31" s="83" t="s">
        <v>138</v>
      </c>
      <c r="K31" s="74"/>
      <c r="L31" s="73">
        <v>140</v>
      </c>
      <c r="M31" s="73" t="str">
        <f>"85,6240"</f>
        <v>85,6240</v>
      </c>
      <c r="N31" s="27" t="s">
        <v>22</v>
      </c>
    </row>
    <row r="32" spans="1:14" ht="12.75">
      <c r="A32" s="57">
        <v>1</v>
      </c>
      <c r="B32" s="27" t="s">
        <v>165</v>
      </c>
      <c r="C32" s="27" t="s">
        <v>166</v>
      </c>
      <c r="D32" s="89" t="s">
        <v>328</v>
      </c>
      <c r="E32" s="27" t="str">
        <f>"0,6266"</f>
        <v>0,6266</v>
      </c>
      <c r="F32" s="27" t="s">
        <v>13</v>
      </c>
      <c r="G32" s="27" t="s">
        <v>167</v>
      </c>
      <c r="H32" s="79" t="s">
        <v>164</v>
      </c>
      <c r="I32" s="79" t="s">
        <v>138</v>
      </c>
      <c r="J32" s="79" t="s">
        <v>160</v>
      </c>
      <c r="K32" s="74"/>
      <c r="L32" s="73">
        <v>162.5</v>
      </c>
      <c r="M32" s="73" t="str">
        <f>"101,8225"</f>
        <v>101,8225</v>
      </c>
      <c r="N32" s="27" t="s">
        <v>22</v>
      </c>
    </row>
    <row r="33" spans="1:14" ht="12.75">
      <c r="A33" s="57">
        <v>2</v>
      </c>
      <c r="B33" s="27" t="s">
        <v>158</v>
      </c>
      <c r="C33" s="27" t="s">
        <v>168</v>
      </c>
      <c r="D33" s="89" t="s">
        <v>326</v>
      </c>
      <c r="E33" s="27" t="str">
        <f>"0,6180"</f>
        <v>0,6180</v>
      </c>
      <c r="F33" s="27" t="s">
        <v>13</v>
      </c>
      <c r="G33" s="27" t="s">
        <v>26</v>
      </c>
      <c r="H33" s="79" t="s">
        <v>43</v>
      </c>
      <c r="I33" s="83" t="s">
        <v>160</v>
      </c>
      <c r="J33" s="83" t="s">
        <v>160</v>
      </c>
      <c r="K33" s="74"/>
      <c r="L33" s="73">
        <v>152.5</v>
      </c>
      <c r="M33" s="73" t="str">
        <f>"94,2450"</f>
        <v>94,2450</v>
      </c>
      <c r="N33" s="27" t="s">
        <v>22</v>
      </c>
    </row>
    <row r="34" spans="1:14" ht="12.75">
      <c r="A34" s="57">
        <v>3</v>
      </c>
      <c r="B34" s="27" t="s">
        <v>169</v>
      </c>
      <c r="C34" s="27" t="s">
        <v>170</v>
      </c>
      <c r="D34" s="89" t="s">
        <v>329</v>
      </c>
      <c r="E34" s="27" t="str">
        <f>"0,6223"</f>
        <v>0,6223</v>
      </c>
      <c r="F34" s="27" t="s">
        <v>13</v>
      </c>
      <c r="G34" s="27" t="s">
        <v>26</v>
      </c>
      <c r="H34" s="79" t="s">
        <v>34</v>
      </c>
      <c r="I34" s="83" t="s">
        <v>164</v>
      </c>
      <c r="J34" s="83" t="s">
        <v>164</v>
      </c>
      <c r="K34" s="74"/>
      <c r="L34" s="73">
        <v>130</v>
      </c>
      <c r="M34" s="73" t="str">
        <f>"80,8990"</f>
        <v>80,8990</v>
      </c>
      <c r="N34" s="27" t="s">
        <v>309</v>
      </c>
    </row>
    <row r="35" spans="1:14" ht="12.75">
      <c r="A35" s="57">
        <v>4</v>
      </c>
      <c r="B35" s="28" t="s">
        <v>171</v>
      </c>
      <c r="C35" s="28" t="s">
        <v>172</v>
      </c>
      <c r="D35" s="90" t="s">
        <v>330</v>
      </c>
      <c r="E35" s="28" t="str">
        <f>"0,6191"</f>
        <v>0,6191</v>
      </c>
      <c r="F35" s="28" t="s">
        <v>13</v>
      </c>
      <c r="G35" s="28" t="s">
        <v>26</v>
      </c>
      <c r="H35" s="80" t="s">
        <v>152</v>
      </c>
      <c r="I35" s="84" t="s">
        <v>173</v>
      </c>
      <c r="J35" s="84" t="s">
        <v>70</v>
      </c>
      <c r="K35" s="76"/>
      <c r="L35" s="75">
        <v>120</v>
      </c>
      <c r="M35" s="75" t="str">
        <f>"74,2920"</f>
        <v>74,2920</v>
      </c>
      <c r="N35" s="28" t="s">
        <v>22</v>
      </c>
    </row>
    <row r="37" spans="2:13" ht="15">
      <c r="B37" s="119" t="s">
        <v>63</v>
      </c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</row>
    <row r="38" spans="1:14" ht="12.75">
      <c r="A38" s="57">
        <v>1</v>
      </c>
      <c r="B38" s="26" t="s">
        <v>174</v>
      </c>
      <c r="C38" s="26" t="s">
        <v>175</v>
      </c>
      <c r="D38" s="88" t="s">
        <v>331</v>
      </c>
      <c r="E38" s="26" t="str">
        <f>"0,5948"</f>
        <v>0,5948</v>
      </c>
      <c r="F38" s="26" t="s">
        <v>13</v>
      </c>
      <c r="G38" s="26" t="s">
        <v>26</v>
      </c>
      <c r="H38" s="82" t="s">
        <v>92</v>
      </c>
      <c r="I38" s="78" t="s">
        <v>176</v>
      </c>
      <c r="J38" s="82" t="s">
        <v>97</v>
      </c>
      <c r="K38" s="71"/>
      <c r="L38" s="72">
        <v>200</v>
      </c>
      <c r="M38" s="72" t="str">
        <f>"118,9600"</f>
        <v>118,9600</v>
      </c>
      <c r="N38" s="26" t="s">
        <v>22</v>
      </c>
    </row>
    <row r="39" spans="1:14" ht="12.75">
      <c r="A39" s="57">
        <v>2</v>
      </c>
      <c r="B39" s="27" t="s">
        <v>177</v>
      </c>
      <c r="C39" s="27" t="s">
        <v>178</v>
      </c>
      <c r="D39" s="89" t="s">
        <v>313</v>
      </c>
      <c r="E39" s="27" t="str">
        <f>"0,5887"</f>
        <v>0,5887</v>
      </c>
      <c r="F39" s="27" t="s">
        <v>13</v>
      </c>
      <c r="G39" s="27" t="s">
        <v>73</v>
      </c>
      <c r="H39" s="79" t="s">
        <v>44</v>
      </c>
      <c r="I39" s="79" t="s">
        <v>50</v>
      </c>
      <c r="J39" s="79" t="s">
        <v>67</v>
      </c>
      <c r="K39" s="74"/>
      <c r="L39" s="73">
        <v>175</v>
      </c>
      <c r="M39" s="73" t="str">
        <f>"103,0225"</f>
        <v>103,0225</v>
      </c>
      <c r="N39" s="27" t="s">
        <v>22</v>
      </c>
    </row>
    <row r="40" spans="1:14" ht="12.75">
      <c r="A40" s="57">
        <v>3</v>
      </c>
      <c r="B40" s="28" t="s">
        <v>179</v>
      </c>
      <c r="C40" s="28" t="s">
        <v>180</v>
      </c>
      <c r="D40" s="90" t="s">
        <v>332</v>
      </c>
      <c r="E40" s="28" t="str">
        <f>"0,6028"</f>
        <v>0,6028</v>
      </c>
      <c r="F40" s="28" t="s">
        <v>13</v>
      </c>
      <c r="G40" s="28" t="s">
        <v>181</v>
      </c>
      <c r="H40" s="80" t="s">
        <v>38</v>
      </c>
      <c r="I40" s="84" t="s">
        <v>43</v>
      </c>
      <c r="J40" s="84" t="s">
        <v>43</v>
      </c>
      <c r="K40" s="76"/>
      <c r="L40" s="75">
        <v>147.5</v>
      </c>
      <c r="M40" s="75" t="str">
        <f>"88,9130"</f>
        <v>88,9130</v>
      </c>
      <c r="N40" s="28" t="s">
        <v>22</v>
      </c>
    </row>
    <row r="42" spans="2:13" ht="15">
      <c r="B42" s="119" t="s">
        <v>82</v>
      </c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</row>
    <row r="43" spans="1:14" ht="12.75">
      <c r="A43" s="57">
        <v>1</v>
      </c>
      <c r="B43" s="25" t="s">
        <v>182</v>
      </c>
      <c r="C43" s="25" t="s">
        <v>183</v>
      </c>
      <c r="D43" s="87" t="s">
        <v>333</v>
      </c>
      <c r="E43" s="25" t="str">
        <f>"0,5770"</f>
        <v>0,5770</v>
      </c>
      <c r="F43" s="25" t="s">
        <v>13</v>
      </c>
      <c r="G43" s="25" t="s">
        <v>26</v>
      </c>
      <c r="H43" s="81" t="s">
        <v>149</v>
      </c>
      <c r="I43" s="77" t="s">
        <v>164</v>
      </c>
      <c r="J43" s="81" t="s">
        <v>43</v>
      </c>
      <c r="K43" s="70"/>
      <c r="L43" s="69">
        <v>140</v>
      </c>
      <c r="M43" s="69" t="str">
        <f>"80,7800"</f>
        <v>80,7800</v>
      </c>
      <c r="N43" s="25" t="s">
        <v>22</v>
      </c>
    </row>
    <row r="45" spans="2:13" ht="15">
      <c r="B45" s="119" t="s">
        <v>94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</row>
    <row r="46" spans="1:14" ht="12.75">
      <c r="A46" s="57">
        <v>1</v>
      </c>
      <c r="B46" s="25" t="s">
        <v>184</v>
      </c>
      <c r="C46" s="25" t="s">
        <v>185</v>
      </c>
      <c r="D46" s="87" t="s">
        <v>20</v>
      </c>
      <c r="E46" s="25" t="str">
        <f>"0,5620"</f>
        <v>0,5620</v>
      </c>
      <c r="F46" s="25" t="s">
        <v>78</v>
      </c>
      <c r="G46" s="25" t="s">
        <v>79</v>
      </c>
      <c r="H46" s="77" t="s">
        <v>176</v>
      </c>
      <c r="I46" s="77" t="s">
        <v>98</v>
      </c>
      <c r="J46" s="81" t="s">
        <v>85</v>
      </c>
      <c r="K46" s="70"/>
      <c r="L46" s="69">
        <v>210</v>
      </c>
      <c r="M46" s="69" t="str">
        <f>"118,0200"</f>
        <v>118,0200</v>
      </c>
      <c r="N46" s="25" t="s">
        <v>22</v>
      </c>
    </row>
    <row r="47" ht="12.75">
      <c r="J47" s="85"/>
    </row>
    <row r="48" spans="2:3" ht="18">
      <c r="B48" s="29" t="s">
        <v>100</v>
      </c>
      <c r="C48" s="29"/>
    </row>
    <row r="49" spans="2:3" ht="15">
      <c r="B49" s="30" t="s">
        <v>101</v>
      </c>
      <c r="C49" s="30"/>
    </row>
    <row r="50" spans="2:3" ht="14.25">
      <c r="B50" s="32"/>
      <c r="C50" s="33" t="s">
        <v>107</v>
      </c>
    </row>
    <row r="51" spans="2:6" ht="15">
      <c r="B51" s="34" t="s">
        <v>102</v>
      </c>
      <c r="C51" s="34" t="s">
        <v>103</v>
      </c>
      <c r="D51" s="34" t="s">
        <v>104</v>
      </c>
      <c r="E51" s="34" t="s">
        <v>105</v>
      </c>
      <c r="F51" s="34" t="s">
        <v>106</v>
      </c>
    </row>
    <row r="52" spans="1:6" ht="12.75">
      <c r="A52" s="57">
        <v>1</v>
      </c>
      <c r="B52" s="31" t="s">
        <v>158</v>
      </c>
      <c r="C52" s="58" t="s">
        <v>108</v>
      </c>
      <c r="D52" s="68">
        <v>100</v>
      </c>
      <c r="E52" s="68" t="s">
        <v>43</v>
      </c>
      <c r="F52" s="68" t="s">
        <v>186</v>
      </c>
    </row>
    <row r="53" spans="1:6" ht="12.75">
      <c r="A53" s="57">
        <v>2</v>
      </c>
      <c r="B53" s="31" t="s">
        <v>129</v>
      </c>
      <c r="C53" s="58" t="s">
        <v>108</v>
      </c>
      <c r="D53" s="68">
        <v>75</v>
      </c>
      <c r="E53" s="68" t="s">
        <v>70</v>
      </c>
      <c r="F53" s="68" t="s">
        <v>187</v>
      </c>
    </row>
    <row r="54" spans="1:6" ht="12.75">
      <c r="A54" s="57">
        <v>3</v>
      </c>
      <c r="B54" s="31" t="s">
        <v>161</v>
      </c>
      <c r="C54" s="58" t="s">
        <v>108</v>
      </c>
      <c r="D54" s="68">
        <v>100</v>
      </c>
      <c r="E54" s="68" t="s">
        <v>164</v>
      </c>
      <c r="F54" s="68" t="s">
        <v>188</v>
      </c>
    </row>
    <row r="56" spans="2:3" ht="14.25">
      <c r="B56" s="32"/>
      <c r="C56" s="33" t="s">
        <v>112</v>
      </c>
    </row>
    <row r="57" spans="2:6" ht="15">
      <c r="B57" s="34" t="s">
        <v>102</v>
      </c>
      <c r="C57" s="34" t="s">
        <v>103</v>
      </c>
      <c r="D57" s="34" t="s">
        <v>104</v>
      </c>
      <c r="E57" s="34" t="s">
        <v>105</v>
      </c>
      <c r="F57" s="34" t="s">
        <v>106</v>
      </c>
    </row>
    <row r="58" spans="1:6" ht="12.75">
      <c r="A58" s="57">
        <v>1</v>
      </c>
      <c r="B58" s="31" t="s">
        <v>174</v>
      </c>
      <c r="C58" s="58" t="s">
        <v>112</v>
      </c>
      <c r="D58" s="68">
        <v>110</v>
      </c>
      <c r="E58" s="68" t="s">
        <v>176</v>
      </c>
      <c r="F58" s="68" t="s">
        <v>189</v>
      </c>
    </row>
    <row r="59" spans="1:6" ht="12.75">
      <c r="A59" s="57">
        <v>2</v>
      </c>
      <c r="B59" s="31" t="s">
        <v>184</v>
      </c>
      <c r="C59" s="58" t="s">
        <v>112</v>
      </c>
      <c r="D59" s="68">
        <v>140</v>
      </c>
      <c r="E59" s="68" t="s">
        <v>98</v>
      </c>
      <c r="F59" s="68" t="s">
        <v>190</v>
      </c>
    </row>
    <row r="60" spans="1:6" ht="12.75">
      <c r="A60" s="57">
        <v>3</v>
      </c>
      <c r="B60" s="31" t="s">
        <v>132</v>
      </c>
      <c r="C60" s="58" t="s">
        <v>112</v>
      </c>
      <c r="D60" s="68">
        <v>75</v>
      </c>
      <c r="E60" s="68" t="s">
        <v>134</v>
      </c>
      <c r="F60" s="68" t="s">
        <v>191</v>
      </c>
    </row>
  </sheetData>
  <sheetProtection/>
  <mergeCells count="22">
    <mergeCell ref="B37:M37"/>
    <mergeCell ref="B42:M42"/>
    <mergeCell ref="M3:M4"/>
    <mergeCell ref="N3:N4"/>
    <mergeCell ref="B5:M5"/>
    <mergeCell ref="B8:M8"/>
    <mergeCell ref="B11:M11"/>
    <mergeCell ref="B45:M45"/>
    <mergeCell ref="B14:M14"/>
    <mergeCell ref="B20:M20"/>
    <mergeCell ref="B24:M24"/>
    <mergeCell ref="B29:M29"/>
    <mergeCell ref="A3:A4"/>
    <mergeCell ref="B1:N2"/>
    <mergeCell ref="B3:B4"/>
    <mergeCell ref="C3:C4"/>
    <mergeCell ref="D3:D4"/>
    <mergeCell ref="E3:E4"/>
    <mergeCell ref="F3:F4"/>
    <mergeCell ref="G3:G4"/>
    <mergeCell ref="H3:K3"/>
    <mergeCell ref="L3:L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1111</cp:lastModifiedBy>
  <cp:lastPrinted>2015-07-16T19:10:53Z</cp:lastPrinted>
  <dcterms:created xsi:type="dcterms:W3CDTF">2002-06-16T13:36:44Z</dcterms:created>
  <dcterms:modified xsi:type="dcterms:W3CDTF">2016-03-01T21:28:11Z</dcterms:modified>
  <cp:category/>
  <cp:version/>
  <cp:contentType/>
  <cp:contentStatus/>
</cp:coreProperties>
</file>