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820" yWindow="440" windowWidth="11340" windowHeight="9700" tabRatio="796" activeTab="0"/>
  </bookViews>
  <sheets>
    <sheet name="Пауэрлифтинг без экипировки" sheetId="1" r:id="rId1"/>
    <sheet name="Пауэрлифтинг без экипировки ДК" sheetId="2" r:id="rId2"/>
    <sheet name="Пауэрлифтинг в бинтах" sheetId="3" r:id="rId3"/>
    <sheet name="Пауэрлифтинг в бинтах ДК" sheetId="4" r:id="rId4"/>
    <sheet name="Присед в бинтах ДК" sheetId="5" r:id="rId5"/>
    <sheet name="Присед в бинтах" sheetId="6" r:id="rId6"/>
    <sheet name="Присед без экипировки ДК" sheetId="7" r:id="rId7"/>
    <sheet name="Силовое двоеборье без экип ДК" sheetId="8" r:id="rId8"/>
    <sheet name="Силовое двоеборье без экип" sheetId="9" r:id="rId9"/>
    <sheet name="Жим лежа без экипировки" sheetId="10" r:id="rId10"/>
    <sheet name="Жим лежа без экип ДК" sheetId="11" r:id="rId11"/>
    <sheet name="Жим лежа в однослойной экип" sheetId="12" r:id="rId12"/>
    <sheet name="Народный жим 1_2 вес" sheetId="13" r:id="rId13"/>
    <sheet name="Народный жим 1 вес" sheetId="14" r:id="rId14"/>
    <sheet name="Народный жим 1 вес ДК" sheetId="15" r:id="rId15"/>
    <sheet name="Становая тяга без экип ДК" sheetId="16" r:id="rId16"/>
    <sheet name="Становая тяга без экип" sheetId="17" r:id="rId17"/>
    <sheet name="Жимовое двоеборье любители ДК" sheetId="18" r:id="rId18"/>
    <sheet name="Rolling Thunder" sheetId="19" r:id="rId19"/>
    <sheet name="Apollon's Axle" sheetId="20" r:id="rId20"/>
    <sheet name="Grip Block" sheetId="21" r:id="rId21"/>
    <sheet name="HUB" sheetId="22" r:id="rId22"/>
  </sheets>
  <definedNames/>
  <calcPr fullCalcOnLoad="1" refMode="R1C1"/>
</workbook>
</file>

<file path=xl/sharedStrings.xml><?xml version="1.0" encoding="utf-8"?>
<sst xmlns="http://schemas.openxmlformats.org/spreadsheetml/2006/main" count="1874" uniqueCount="489">
  <si>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</si>
  <si>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</si>
  <si>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</si>
  <si>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</si>
  <si>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</si>
  <si>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</si>
  <si>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</si>
  <si>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</si>
  <si>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</si>
  <si>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Gloss</t>
  </si>
  <si>
    <t>ВЕСОВАЯ КАТЕГОРИЯ   75</t>
  </si>
  <si>
    <t>Гольцов Виталий</t>
  </si>
  <si>
    <t>Open (09.09.1985)/30</t>
  </si>
  <si>
    <t xml:space="preserve">Титан-Белгород </t>
  </si>
  <si>
    <t xml:space="preserve">Белгород/Белгородская область </t>
  </si>
  <si>
    <t>150,0</t>
  </si>
  <si>
    <t>160,0</t>
  </si>
  <si>
    <t>165,0</t>
  </si>
  <si>
    <t>100,0</t>
  </si>
  <si>
    <t>110,0</t>
  </si>
  <si>
    <t>115,0</t>
  </si>
  <si>
    <t>190,0</t>
  </si>
  <si>
    <t>200,0</t>
  </si>
  <si>
    <t>210,0</t>
  </si>
  <si>
    <t>ВЕСОВАЯ КАТЕГОРИЯ   90</t>
  </si>
  <si>
    <t>Провоторов Григорий</t>
  </si>
  <si>
    <t>Open (26.07.1980)/35</t>
  </si>
  <si>
    <t xml:space="preserve">Богатырь </t>
  </si>
  <si>
    <t xml:space="preserve">Воронеж/Воронежская область </t>
  </si>
  <si>
    <t>220,0</t>
  </si>
  <si>
    <t>145,0</t>
  </si>
  <si>
    <t>155,0</t>
  </si>
  <si>
    <t>245,0</t>
  </si>
  <si>
    <t>262,5</t>
  </si>
  <si>
    <t>ВЕСОВАЯ КАТЕГОРИЯ   100</t>
  </si>
  <si>
    <t>Пустовит Алексей</t>
  </si>
  <si>
    <t>Open (17.06.1991)/24</t>
  </si>
  <si>
    <t xml:space="preserve">Гелиос </t>
  </si>
  <si>
    <t>185,0</t>
  </si>
  <si>
    <t>195,0</t>
  </si>
  <si>
    <t>205,0</t>
  </si>
  <si>
    <t>122,5</t>
  </si>
  <si>
    <t>127,5</t>
  </si>
  <si>
    <t>130,0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</si>
  <si>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</si>
  <si>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</si>
  <si>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</si>
  <si>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</si>
  <si>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</si>
  <si>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</si>
  <si>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Gloss </t>
  </si>
  <si>
    <t xml:space="preserve">90 </t>
  </si>
  <si>
    <t>637,5</t>
  </si>
  <si>
    <t>460,0</t>
  </si>
  <si>
    <t xml:space="preserve">100 </t>
  </si>
  <si>
    <t>532,5</t>
  </si>
  <si>
    <t>ВЕСОВАЯ КАТЕГОРИЯ   67.5</t>
  </si>
  <si>
    <t>Шаповалов Алексей</t>
  </si>
  <si>
    <t>Juniors 20-23 (29.03.1993)/23</t>
  </si>
  <si>
    <t>140,0</t>
  </si>
  <si>
    <t>90,0</t>
  </si>
  <si>
    <t>105,0</t>
  </si>
  <si>
    <t>Меньшаков Александр</t>
  </si>
  <si>
    <t>Open (26.06.1988)/27</t>
  </si>
  <si>
    <t>175,0</t>
  </si>
  <si>
    <t>117,5</t>
  </si>
  <si>
    <t>202,5</t>
  </si>
  <si>
    <t>207,5</t>
  </si>
  <si>
    <t>Покачалов Денис</t>
  </si>
  <si>
    <t>Open (30.10.1989)/26</t>
  </si>
  <si>
    <t xml:space="preserve">Липецк/Липецкая область </t>
  </si>
  <si>
    <t>180,0</t>
  </si>
  <si>
    <t>Огурцов Владимир</t>
  </si>
  <si>
    <t>Open (03.09.1986)/29</t>
  </si>
  <si>
    <t>170,0</t>
  </si>
  <si>
    <t>120,0</t>
  </si>
  <si>
    <t>125,0</t>
  </si>
  <si>
    <t>Прохоров Дмитрий</t>
  </si>
  <si>
    <t>Open (22.01.1976)/40</t>
  </si>
  <si>
    <t>192,5</t>
  </si>
  <si>
    <t>ВЕСОВАЯ КАТЕГОРИЯ   125</t>
  </si>
  <si>
    <t>Беляев Юрий</t>
  </si>
  <si>
    <t>Open (04.02.1987)/29</t>
  </si>
  <si>
    <t>250,0</t>
  </si>
  <si>
    <t>260,0</t>
  </si>
  <si>
    <t>272,5</t>
  </si>
  <si>
    <t>172,5</t>
  </si>
  <si>
    <t>182,5</t>
  </si>
  <si>
    <t>270,0</t>
  </si>
  <si>
    <t>280,0</t>
  </si>
  <si>
    <t>Очкалов Максим</t>
  </si>
  <si>
    <t>Open (03.03.1989)/27</t>
  </si>
  <si>
    <t>240,0</t>
  </si>
  <si>
    <t>405,0</t>
  </si>
  <si>
    <t xml:space="preserve">125 </t>
  </si>
  <si>
    <t>725,0</t>
  </si>
  <si>
    <t>435,0</t>
  </si>
  <si>
    <t>470,0</t>
  </si>
  <si>
    <t>ВЕСОВАЯ КАТЕГОРИЯ   82.5</t>
  </si>
  <si>
    <t>Самсонов Николай</t>
  </si>
  <si>
    <t>Juniors 20-23 (30.05.1996)/20</t>
  </si>
  <si>
    <t>75,0</t>
  </si>
  <si>
    <t>85,0</t>
  </si>
  <si>
    <t>Сирант Иван</t>
  </si>
  <si>
    <t>Teen 16-17 (06.07.1998)/17</t>
  </si>
  <si>
    <t>215,0</t>
  </si>
  <si>
    <t>Нерубенко Андрей</t>
  </si>
  <si>
    <t>Open (28.11.1979)/36</t>
  </si>
  <si>
    <t>255,0</t>
  </si>
  <si>
    <t>Киселев Сергей</t>
  </si>
  <si>
    <t>Open (24.02.1987)/29</t>
  </si>
  <si>
    <t xml:space="preserve">Лиски/Воронежская область </t>
  </si>
  <si>
    <t>230,0</t>
  </si>
  <si>
    <t>247,5</t>
  </si>
  <si>
    <t>167,5</t>
  </si>
  <si>
    <t>277,5</t>
  </si>
  <si>
    <t>282,5</t>
  </si>
  <si>
    <t>Брежнев Павел</t>
  </si>
  <si>
    <t>Open (30.06.1991)/24</t>
  </si>
  <si>
    <t>235,0</t>
  </si>
  <si>
    <t>Грушевский Александр</t>
  </si>
  <si>
    <t>Open (24.01.1973)/43</t>
  </si>
  <si>
    <t>Пруцков Юрий</t>
  </si>
  <si>
    <t>Open (14.02.1978)/38</t>
  </si>
  <si>
    <t xml:space="preserve">Лиски </t>
  </si>
  <si>
    <t>275,0</t>
  </si>
  <si>
    <t xml:space="preserve">82.5 </t>
  </si>
  <si>
    <t>380,0</t>
  </si>
  <si>
    <t>720,0</t>
  </si>
  <si>
    <t>443,8440</t>
  </si>
  <si>
    <t>697,5</t>
  </si>
  <si>
    <t>416,4773</t>
  </si>
  <si>
    <t>755,0</t>
  </si>
  <si>
    <t>416,4202</t>
  </si>
  <si>
    <t>585,0</t>
  </si>
  <si>
    <t>Лазарев Виктор</t>
  </si>
  <si>
    <t>Open (31.08.1980)/35</t>
  </si>
  <si>
    <t>137,5</t>
  </si>
  <si>
    <t>Попов Вадим</t>
  </si>
  <si>
    <t>Juniors 20-23 (20.11.1995)/20</t>
  </si>
  <si>
    <t xml:space="preserve">Светогор </t>
  </si>
  <si>
    <t>510,0</t>
  </si>
  <si>
    <t>600,0</t>
  </si>
  <si>
    <t>ВЕСОВАЯ КАТЕГОРИЯ   60</t>
  </si>
  <si>
    <t>Савина Галина</t>
  </si>
  <si>
    <t>Open (03.06.1975)/41</t>
  </si>
  <si>
    <t xml:space="preserve">Россошь </t>
  </si>
  <si>
    <t>55,0</t>
  </si>
  <si>
    <t>60,0</t>
  </si>
  <si>
    <t>62,5</t>
  </si>
  <si>
    <t>Masters 40-44 (03.06.1975)/41</t>
  </si>
  <si>
    <t>ВЕСОВАЯ КАТЕГОРИЯ   52</t>
  </si>
  <si>
    <t>Минеев Николай</t>
  </si>
  <si>
    <t>Teen 13-15 (08.08.2001)/14</t>
  </si>
  <si>
    <t xml:space="preserve">Россошь/Воронежская область </t>
  </si>
  <si>
    <t>45,0</t>
  </si>
  <si>
    <t>50,0</t>
  </si>
  <si>
    <t>52,5</t>
  </si>
  <si>
    <t>Кащеев Филипп</t>
  </si>
  <si>
    <t>Teen 13-15 (15.08.2008)/7</t>
  </si>
  <si>
    <t>20,0</t>
  </si>
  <si>
    <t>22,5</t>
  </si>
  <si>
    <t>ВЕСОВАЯ КАТЕГОРИЯ   56</t>
  </si>
  <si>
    <t>Чурсанов Максим</t>
  </si>
  <si>
    <t>Teen 18-19 (18.02.1997)/19</t>
  </si>
  <si>
    <t>Белоусов Роман</t>
  </si>
  <si>
    <t>Open (19.10.1991)/24</t>
  </si>
  <si>
    <t>142,5</t>
  </si>
  <si>
    <t>147,5</t>
  </si>
  <si>
    <t>Антипов Никита</t>
  </si>
  <si>
    <t>Teen 16-17 (22.12.1998)/17</t>
  </si>
  <si>
    <t>Редозубов Алексей</t>
  </si>
  <si>
    <t>Open (26.07.1990)/25</t>
  </si>
  <si>
    <t>Коробков Виталий</t>
  </si>
  <si>
    <t>Teen 18-19 (29.05.1997)/19</t>
  </si>
  <si>
    <t>Конаев Олег</t>
  </si>
  <si>
    <t>Juniors 20-23 (15.02.1995)/21</t>
  </si>
  <si>
    <t>135,0</t>
  </si>
  <si>
    <t>Умаров Стас</t>
  </si>
  <si>
    <t>Open (12.09.1986)/29</t>
  </si>
  <si>
    <t>Радовский Юрий</t>
  </si>
  <si>
    <t>Teen 18-19 (11.12.1997)/18</t>
  </si>
  <si>
    <t>Петшауэр Максим</t>
  </si>
  <si>
    <t>Open (10.06.1980)/36</t>
  </si>
  <si>
    <t>Паршин Евгений</t>
  </si>
  <si>
    <t>Open (25.11.1976)/39</t>
  </si>
  <si>
    <t>152,5</t>
  </si>
  <si>
    <t>Ложкин Артем</t>
  </si>
  <si>
    <t>Open (24.08.1991)/24</t>
  </si>
  <si>
    <t>157,5</t>
  </si>
  <si>
    <t>Саввинов Елисей</t>
  </si>
  <si>
    <t>Juniors 20-23 (26.06.1995)/20</t>
  </si>
  <si>
    <t>Котляров Артем</t>
  </si>
  <si>
    <t>Juniors 20-23 (16.11.1994)/21</t>
  </si>
  <si>
    <t>Сасанов Максим</t>
  </si>
  <si>
    <t>Open (19.05.1991)/25</t>
  </si>
  <si>
    <t>Волков Валерий</t>
  </si>
  <si>
    <t>Masters 45-49 (02.04.1968)/48</t>
  </si>
  <si>
    <t>Баширов Роман</t>
  </si>
  <si>
    <t>Open (07.08.1988)/27</t>
  </si>
  <si>
    <t>Кудинов Артем</t>
  </si>
  <si>
    <t>Open (27.09.1990)/25</t>
  </si>
  <si>
    <t>ВЕСОВАЯ КАТЕГОРИЯ   140</t>
  </si>
  <si>
    <t>Петриев Константин</t>
  </si>
  <si>
    <t>Open (09.02.1990)/26</t>
  </si>
  <si>
    <t xml:space="preserve">56 </t>
  </si>
  <si>
    <t>137,7600</t>
  </si>
  <si>
    <t>114,6337</t>
  </si>
  <si>
    <t>112,3090</t>
  </si>
  <si>
    <t>ВЕСОВАЯ КАТЕГОРИЯ   48</t>
  </si>
  <si>
    <t>Алексеева Дарья</t>
  </si>
  <si>
    <t>Juniors 20-23 (22.05.1996)/20</t>
  </si>
  <si>
    <t>40,0</t>
  </si>
  <si>
    <t>Шипилова Анастасия</t>
  </si>
  <si>
    <t>Teen 13-15 (29.06.2000)/15</t>
  </si>
  <si>
    <t>27,5</t>
  </si>
  <si>
    <t>30,0</t>
  </si>
  <si>
    <t>35,0</t>
  </si>
  <si>
    <t>Бессарабова Анна</t>
  </si>
  <si>
    <t>Open (19.11.1985)/30</t>
  </si>
  <si>
    <t>42,5</t>
  </si>
  <si>
    <t>Бурцева Мария</t>
  </si>
  <si>
    <t>Teen 13-15 (13.03.2003)/13</t>
  </si>
  <si>
    <t>47,5</t>
  </si>
  <si>
    <t>Рыбалка Мария</t>
  </si>
  <si>
    <t>Open (27.08.1997)/18</t>
  </si>
  <si>
    <t>Леонова Анна</t>
  </si>
  <si>
    <t>Masters 40-44 (09.02.1976)/40</t>
  </si>
  <si>
    <t>57,5</t>
  </si>
  <si>
    <t>Шаламай Артем</t>
  </si>
  <si>
    <t>Teen 18-19 (03.03.1998)/18</t>
  </si>
  <si>
    <t>82,5</t>
  </si>
  <si>
    <t>95,0</t>
  </si>
  <si>
    <t>Самороковский Алексей</t>
  </si>
  <si>
    <t>Juniors 20-23 (03.09.1995)/20</t>
  </si>
  <si>
    <t>107,5</t>
  </si>
  <si>
    <t>Околелов Алексей</t>
  </si>
  <si>
    <t>Teen 13-15 (24.08.2001)/14</t>
  </si>
  <si>
    <t>80,0</t>
  </si>
  <si>
    <t>Остапенко Денис</t>
  </si>
  <si>
    <t>Teen 16-17 (19.11.1999)/16</t>
  </si>
  <si>
    <t xml:space="preserve">Острогожск/Воронежская область </t>
  </si>
  <si>
    <t>102,5</t>
  </si>
  <si>
    <t>Сухов Сергей</t>
  </si>
  <si>
    <t>Teen 18-19 (17.10.1996)/19</t>
  </si>
  <si>
    <t>Косарев Юрий</t>
  </si>
  <si>
    <t>Juniors 20-23 (06.06.1996)/20</t>
  </si>
  <si>
    <t>Кустрын Алексей</t>
  </si>
  <si>
    <t>Juniors 20-23 (27.04.1995)/21</t>
  </si>
  <si>
    <t>Георгиев Иван</t>
  </si>
  <si>
    <t>Open (26.04.1987)/29</t>
  </si>
  <si>
    <t>Холин Евгений</t>
  </si>
  <si>
    <t>Open (29.06.1991)/24</t>
  </si>
  <si>
    <t>Кривобок Евгений</t>
  </si>
  <si>
    <t>Open (18.06.1987)/28</t>
  </si>
  <si>
    <t>Канчуковский Дмитрий</t>
  </si>
  <si>
    <t>Teen 18-19 (08.07.1996)/19</t>
  </si>
  <si>
    <t xml:space="preserve">Валуйки/Белгородская область </t>
  </si>
  <si>
    <t>Шорохов Сергей</t>
  </si>
  <si>
    <t>Open (26.05.1985)/31</t>
  </si>
  <si>
    <t>Масленников Александр</t>
  </si>
  <si>
    <t>Open (18.07.1988)/27</t>
  </si>
  <si>
    <t>132,5</t>
  </si>
  <si>
    <t>Черечукин Сергей</t>
  </si>
  <si>
    <t>Open (23.02.1990)/26</t>
  </si>
  <si>
    <t>Мусин Хасиятулла</t>
  </si>
  <si>
    <t>Masters 60-64 (10.07.1951)/64</t>
  </si>
  <si>
    <t>Притулюк Сергей</t>
  </si>
  <si>
    <t>Open (29.07.1990)/25</t>
  </si>
  <si>
    <t>Ивченко Александр</t>
  </si>
  <si>
    <t>Open (25.07.1979)/36</t>
  </si>
  <si>
    <t>Хвостов Михаил</t>
  </si>
  <si>
    <t>Open (12.11.1984)/31</t>
  </si>
  <si>
    <t xml:space="preserve">Павловск/Воронежская область </t>
  </si>
  <si>
    <t>Бартенев Игорь</t>
  </si>
  <si>
    <t>Open (05.05.1991)/25</t>
  </si>
  <si>
    <t>Чужинов Илья</t>
  </si>
  <si>
    <t>Open (25.03.1980)/36</t>
  </si>
  <si>
    <t>162,5</t>
  </si>
  <si>
    <t>Лукша Владимир</t>
  </si>
  <si>
    <t>Open (14.08.1977)/38</t>
  </si>
  <si>
    <t>Пономарев Евгений</t>
  </si>
  <si>
    <t>Open (17.09.1984)/31</t>
  </si>
  <si>
    <t>Кузнецов Дмитрий</t>
  </si>
  <si>
    <t>Open (26.08.1986)/29</t>
  </si>
  <si>
    <t>ВЕСОВАЯ КАТЕГОРИЯ   110</t>
  </si>
  <si>
    <t>Таранченко Владислав</t>
  </si>
  <si>
    <t>Teen 18-19 (20.03.1998)/18</t>
  </si>
  <si>
    <t>Ломакин Андрей</t>
  </si>
  <si>
    <t>Open (12.10.1980)/35</t>
  </si>
  <si>
    <t>Грабовой Борис</t>
  </si>
  <si>
    <t>Masters 60-64 (23.01.1956)/60</t>
  </si>
  <si>
    <t>Тюкин Андрей</t>
  </si>
  <si>
    <t>Open (23.03.1983)/33</t>
  </si>
  <si>
    <t>177,5</t>
  </si>
  <si>
    <t>Завьялов Денис</t>
  </si>
  <si>
    <t>Open (27.09.1979)/36</t>
  </si>
  <si>
    <t xml:space="preserve">110 </t>
  </si>
  <si>
    <t>106,6163</t>
  </si>
  <si>
    <t>102,8785</t>
  </si>
  <si>
    <t>95,7775</t>
  </si>
  <si>
    <t>Светашов Сергей</t>
  </si>
  <si>
    <t>Open (04.04.1977)/39</t>
  </si>
  <si>
    <t>Поликарпов Дмитрий</t>
  </si>
  <si>
    <t>Open (01.08.1979)/36</t>
  </si>
  <si>
    <t>Дегтярев Артем</t>
  </si>
  <si>
    <t>Juniors 20-23 (26.01.1996)/20</t>
  </si>
  <si>
    <t>Гуньков Дмитрий</t>
  </si>
  <si>
    <t>Open (06.09.1976)/39</t>
  </si>
  <si>
    <t>212,5</t>
  </si>
  <si>
    <t>70,0</t>
  </si>
  <si>
    <t>Шишкина Алёна</t>
  </si>
  <si>
    <t>Teen 16-17 (14.07.1998)/17</t>
  </si>
  <si>
    <t xml:space="preserve">Елец/Липецкая область </t>
  </si>
  <si>
    <t>Чарикова Ольга</t>
  </si>
  <si>
    <t>Open (22.08.1978)/37</t>
  </si>
  <si>
    <t>Мешкова Елена</t>
  </si>
  <si>
    <t>Open (11.09.1973)/42</t>
  </si>
  <si>
    <t>Masters 40-44 (11.09.1973)/42</t>
  </si>
  <si>
    <t>Ланкина Софья</t>
  </si>
  <si>
    <t>Open (06.03.1985)/31</t>
  </si>
  <si>
    <t>Мкртумян Сурен</t>
  </si>
  <si>
    <t>Open (15.01.1989)/27</t>
  </si>
  <si>
    <t>197,5</t>
  </si>
  <si>
    <t>Денис Архипов</t>
  </si>
  <si>
    <t>Juniors 20-23 (11.06.1995)/21</t>
  </si>
  <si>
    <t>Беглов Юрий</t>
  </si>
  <si>
    <t>Open (06.05.1965)/51</t>
  </si>
  <si>
    <t>Masters 50-54 (06.05.1965)/51</t>
  </si>
  <si>
    <t>Прохоренко Юрий</t>
  </si>
  <si>
    <t>Open (02.11.1991)/24</t>
  </si>
  <si>
    <t>Стрижков Андрей</t>
  </si>
  <si>
    <t>Open (03.01.1984)/32</t>
  </si>
  <si>
    <t>Черников Александр</t>
  </si>
  <si>
    <t>Juniors 20-23 (13.02.1994)/22</t>
  </si>
  <si>
    <t>340,0</t>
  </si>
  <si>
    <t>Барышников Валерий</t>
  </si>
  <si>
    <t>Open (29.11.1986)/29</t>
  </si>
  <si>
    <t>225,0</t>
  </si>
  <si>
    <t>Скрипников Дмитрий</t>
  </si>
  <si>
    <t>Open (12.03.1988)/28</t>
  </si>
  <si>
    <t>Виноходов Сергей</t>
  </si>
  <si>
    <t>Open (17.09.1982)/33</t>
  </si>
  <si>
    <t xml:space="preserve">Курск/Курская область </t>
  </si>
  <si>
    <t>Самостоятельно</t>
  </si>
  <si>
    <t xml:space="preserve">Самостоятельно </t>
  </si>
  <si>
    <t>Ольховский А.</t>
  </si>
  <si>
    <t>Изюменко В.</t>
  </si>
  <si>
    <t>Суровецкий А.</t>
  </si>
  <si>
    <t>Голландцев Д.</t>
  </si>
  <si>
    <t>Кожухов А.</t>
  </si>
  <si>
    <t>Тербуны/Липецкая область</t>
  </si>
  <si>
    <t>Лукьянов А.</t>
  </si>
  <si>
    <t>Кузнецов М.</t>
  </si>
  <si>
    <t xml:space="preserve">Потехин Д. </t>
  </si>
  <si>
    <t>Дуров В.</t>
  </si>
  <si>
    <t>Шевченко С.</t>
  </si>
  <si>
    <t>Белоусов В.</t>
  </si>
  <si>
    <t>пгт Таловая/Воронежская область</t>
  </si>
  <si>
    <t xml:space="preserve">Лукьянов А. </t>
  </si>
  <si>
    <t xml:space="preserve">Ольховский А. </t>
  </si>
  <si>
    <t xml:space="preserve">Трезинский В. </t>
  </si>
  <si>
    <t>Белов В.</t>
  </si>
  <si>
    <t>Россошь</t>
  </si>
  <si>
    <t>Трезинский А.</t>
  </si>
  <si>
    <t>Калач-на-Дону/Волгоградская область</t>
  </si>
  <si>
    <t>Валерий В.</t>
  </si>
  <si>
    <t>Нерубенко А.</t>
  </si>
  <si>
    <t>Место</t>
  </si>
  <si>
    <t>1</t>
  </si>
  <si>
    <t>Мастерский турнир "День России"
Пауэрлифтинг без экипировки
г. Воронеж, 11-12 июня 2016 г.</t>
  </si>
  <si>
    <t>Мастерский турнир "День России"
Пауэрлифтинг без экипировки ДК
г. Воронеж, 11-12 июня 2016 г.</t>
  </si>
  <si>
    <t>Мастерский турнир "День России"
Пауэрлифтинг в бинтах
г. Воронеж, 11-12 июня 2016 г.</t>
  </si>
  <si>
    <t>Мастерский турнир "День России"
Пауэрлифтинг в бинтах ДК
г. Воронеж, 11-12 июня 2016 г.</t>
  </si>
  <si>
    <t>Мастерский турнир "День России"
Жим лежа без экипировки
г. Воронеж, 11-12 июня 2016 г.</t>
  </si>
  <si>
    <t>2</t>
  </si>
  <si>
    <t>3</t>
  </si>
  <si>
    <t>Мастерский турнир "День России"
Жим лежа без экипировки ДК
г. Воронеж, 11-12 июня 2016 г.</t>
  </si>
  <si>
    <t>Результат</t>
  </si>
  <si>
    <t>Мастерский турнир "День России"
Жим лежа в однослойной экипировке
г. Воронеж, 11-12 июня 2016 г.</t>
  </si>
  <si>
    <t>Мастерский турнир "День России"
Становая тяга без экипировки
г. Воронеж, 11-12 июня 2016 г.</t>
  </si>
  <si>
    <t>Мастерский турнир "День России"
Становая тяга без экипировки ДК
г. Воронеж, 11-12 июня 2016 г.</t>
  </si>
  <si>
    <t>Мастерский турнир "День России"
Силовое двоеборье без экипировки
г. Воронеж, 11-12 июня 2016 г.</t>
  </si>
  <si>
    <t>Мастерский турнир "День России"
Силовое двоеборье без экипировки ДК
г. Воронеж, 11-12 июня 2016 г.</t>
  </si>
  <si>
    <t>Мастерский турнир "День России"
Присед без экипировки ДК
г. Воронеж, 11-12 июня 2016 г.</t>
  </si>
  <si>
    <t>Мастерский турнир "День России"
Присед в бинтах
г. Воронеж, 11-12 июня 2016 г.</t>
  </si>
  <si>
    <t>Мастерский турнир "День России" 
Присед в бинтах ДК
г. Воронеж, 11-12 июня 2016 г.</t>
  </si>
  <si>
    <t>Денисова Елена</t>
  </si>
  <si>
    <t xml:space="preserve">Корж А. </t>
  </si>
  <si>
    <t>Masters 40-49 (12.08.1974)/41</t>
  </si>
  <si>
    <t>Повторы</t>
  </si>
  <si>
    <t>Вес</t>
  </si>
  <si>
    <t>Тоннаж</t>
  </si>
  <si>
    <t>Мастерский турнир "День России"
Народный жим (1/2 вес)
г. Воронеж, 11-12 июня 2016 г.</t>
  </si>
  <si>
    <t>Чередниченко Александр</t>
  </si>
  <si>
    <t>Бондарев Анатолий</t>
  </si>
  <si>
    <t>Докучаева Людмила</t>
  </si>
  <si>
    <t>Masters 40-49 (18.09.1975)/40</t>
  </si>
  <si>
    <t>Open (18.09.1975)/40</t>
  </si>
  <si>
    <t xml:space="preserve">Хохольский/Воронежская область </t>
  </si>
  <si>
    <t>87,5</t>
  </si>
  <si>
    <t>Open (01.01.1977)/39</t>
  </si>
  <si>
    <t>Teen 13-19 (18.02.1997)/19</t>
  </si>
  <si>
    <t>Open (20.01.1977)/39</t>
  </si>
  <si>
    <t>Мастерский турнир "День России"
Народный жим (1 вес)
г. Воронеж, 11-12 июня 2016 г.</t>
  </si>
  <si>
    <t>Смольянинов Валерий</t>
  </si>
  <si>
    <t>Masters 60+ (23.01.1956)/60</t>
  </si>
  <si>
    <t>97,5</t>
  </si>
  <si>
    <t>Лукьянов С.</t>
  </si>
  <si>
    <t>72,5</t>
  </si>
  <si>
    <t>Juniors 20-23 (26.10.1995)/20</t>
  </si>
  <si>
    <t>Мастерский турнир "День России"
Народный жим (1 вес) ДК
г. Воронеж, 11-12 июня 2016 г.</t>
  </si>
  <si>
    <t>Белоусов А.</t>
  </si>
  <si>
    <t>10</t>
  </si>
  <si>
    <t>18</t>
  </si>
  <si>
    <t>28</t>
  </si>
  <si>
    <t>Жим лежа многоповтор</t>
  </si>
  <si>
    <t>Жим лежа на максимум</t>
  </si>
  <si>
    <t>Мастерский турнир "День России"
Жимовое двоеборье Любители ДК
г. Воронеж, 11-12 июня 2016 г.</t>
  </si>
  <si>
    <t>68,5</t>
  </si>
  <si>
    <t>Талдыкин Артём</t>
  </si>
  <si>
    <t>101,0</t>
  </si>
  <si>
    <t>Фаустов Александр</t>
  </si>
  <si>
    <t>86,0</t>
  </si>
  <si>
    <t>71,0</t>
  </si>
  <si>
    <t xml:space="preserve">Новомосковск/Тульская область </t>
  </si>
  <si>
    <t>107,0</t>
  </si>
  <si>
    <t>Open (21.02.1976)/40</t>
  </si>
  <si>
    <t>63,5</t>
  </si>
  <si>
    <t>56,0</t>
  </si>
  <si>
    <t>84,7</t>
  </si>
  <si>
    <t>Open (02.12.1991)/24</t>
  </si>
  <si>
    <t>Рек.</t>
  </si>
  <si>
    <t>Мастерский турнир "День России"
Two handed pinch grip block
г. Воронеж 11-12 июня 2016 г.</t>
  </si>
  <si>
    <t>37,5</t>
  </si>
  <si>
    <t>25,0</t>
  </si>
  <si>
    <t>Панин Алексей</t>
  </si>
  <si>
    <t>32,5</t>
  </si>
  <si>
    <t>Master 40+ (21.02.1976)/40</t>
  </si>
  <si>
    <t>ВЕСОВАЯ КАТЕГОРИЯ   90+</t>
  </si>
  <si>
    <t>Open (26.06.1985)/30</t>
  </si>
  <si>
    <t>Мастерский турнир "День России"
HUB
г. Воронеж 11-12 июня 2016 г.</t>
  </si>
  <si>
    <t>Сафонов Иван</t>
  </si>
  <si>
    <t>Шевченко Сергей</t>
  </si>
  <si>
    <t>Open (30.04.1974)/42</t>
  </si>
  <si>
    <t>Open (10.02.1998)/18</t>
  </si>
  <si>
    <t>Junior (13.02.1994)/22</t>
  </si>
  <si>
    <t>Мастерский турнир "День России"
Apollon's Axle
г. Воронеж, 11-12 июня 2016 г.</t>
  </si>
  <si>
    <t>68,0</t>
  </si>
  <si>
    <t>65,5</t>
  </si>
  <si>
    <t>Панин Алесей</t>
  </si>
  <si>
    <t>60,5</t>
  </si>
  <si>
    <t>Сушков Евгений</t>
  </si>
  <si>
    <t>Лысиков Владимир</t>
  </si>
  <si>
    <t>83,0</t>
  </si>
  <si>
    <t>25,5</t>
  </si>
  <si>
    <t>Чарикова Анастасия</t>
  </si>
  <si>
    <t>63,0</t>
  </si>
  <si>
    <t>70,5</t>
  </si>
  <si>
    <t>80,5</t>
  </si>
  <si>
    <t>75,5</t>
  </si>
  <si>
    <t>55,5</t>
  </si>
  <si>
    <t>Open (14.08.1985)/30</t>
  </si>
  <si>
    <t>Open (30.06.1993)/22</t>
  </si>
  <si>
    <t>ВЕСОВАЯ КАТЕГОРИЯ   80</t>
  </si>
  <si>
    <t>28,0</t>
  </si>
  <si>
    <t>20,5</t>
  </si>
  <si>
    <t>Open (21.02.2000)/16</t>
  </si>
  <si>
    <t>Мастерский турнир "День России"
Rolling Thunder
г. Воронеж, 11-12 июня 2016 г.</t>
  </si>
  <si>
    <t>Возрастная группа
Дата рождения/Возраст</t>
  </si>
  <si>
    <t>Собств. вес</t>
  </si>
  <si>
    <t>Город/область</t>
  </si>
  <si>
    <t xml:space="preserve">Лично </t>
  </si>
  <si>
    <t>Москва/Московская область</t>
  </si>
  <si>
    <t xml:space="preserve">Санкт-Петербург/Ленинградская область </t>
  </si>
  <si>
    <t>Хохольский район/Воронежская область</t>
  </si>
  <si>
    <t>0</t>
  </si>
  <si>
    <t>00</t>
  </si>
  <si>
    <t>Баллы</t>
  </si>
  <si>
    <t>20</t>
  </si>
  <si>
    <t>Сумма баллов</t>
  </si>
  <si>
    <t>1742,203</t>
  </si>
  <si>
    <t>2520,0</t>
  </si>
  <si>
    <t>1980,0</t>
  </si>
  <si>
    <t>1100,0</t>
  </si>
  <si>
    <t>40</t>
  </si>
  <si>
    <t>38</t>
  </si>
  <si>
    <t>1280,769</t>
  </si>
  <si>
    <t>741,936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</si>
</sst>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50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5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0" fillId="0" borderId="0" xfId="0" applyNumberFormat="1" applyFont="1" applyAlignment="1">
      <alignment horizontal="left" indent="1"/>
    </xf>
    <xf numFmtId="49" fontId="10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14" xfId="0" applyNumberFormat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0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48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48" fillId="0" borderId="1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/>
    </xf>
    <xf numFmtId="49" fontId="48" fillId="0" borderId="13" xfId="0" applyNumberFormat="1" applyFont="1" applyBorder="1" applyAlignment="1">
      <alignment/>
    </xf>
    <xf numFmtId="49" fontId="48" fillId="0" borderId="12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13" xfId="0" applyNumberFormat="1" applyFont="1" applyBorder="1" applyAlignment="1">
      <alignment/>
    </xf>
    <xf numFmtId="49" fontId="48" fillId="0" borderId="14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48" fillId="0" borderId="11" xfId="0" applyNumberFormat="1" applyFont="1" applyBorder="1" applyAlignment="1">
      <alignment/>
    </xf>
    <xf numFmtId="49" fontId="48" fillId="0" borderId="1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49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9" fillId="0" borderId="14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2" fontId="0" fillId="0" borderId="11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3" fillId="0" borderId="11" xfId="0" applyNumberFormat="1" applyFont="1" applyBorder="1" applyAlignment="1">
      <alignment horizontal="center" vertical="center"/>
    </xf>
    <xf numFmtId="172" fontId="0" fillId="0" borderId="12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172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48" fillId="0" borderId="13" xfId="0" applyNumberFormat="1" applyFont="1" applyFill="1" applyBorder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48" fillId="33" borderId="13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0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workbookViewId="0" topLeftCell="A3">
      <selection activeCell="C31" sqref="C31"/>
    </sheetView>
  </sheetViews>
  <sheetFormatPr defaultColWidth="9.125" defaultRowHeight="12.75"/>
  <cols>
    <col min="1" max="1" width="9.125" style="1" customWidth="1"/>
    <col min="2" max="2" width="28.25390625" style="4" bestFit="1" customWidth="1"/>
    <col min="3" max="3" width="26.625" style="1" customWidth="1"/>
    <col min="4" max="4" width="10.625" style="1" bestFit="1" customWidth="1"/>
    <col min="5" max="5" width="8.375" style="1" bestFit="1" customWidth="1"/>
    <col min="6" max="6" width="22.75390625" style="5" bestFit="1" customWidth="1"/>
    <col min="7" max="7" width="30.25390625" style="5" bestFit="1" customWidth="1"/>
    <col min="8" max="10" width="5.625" style="1" bestFit="1" customWidth="1"/>
    <col min="11" max="11" width="4.625" style="1" bestFit="1" customWidth="1"/>
    <col min="12" max="14" width="5.625" style="1" bestFit="1" customWidth="1"/>
    <col min="15" max="15" width="4.625" style="1" bestFit="1" customWidth="1"/>
    <col min="16" max="18" width="5.625" style="1" bestFit="1" customWidth="1"/>
    <col min="19" max="19" width="4.625" style="1" bestFit="1" customWidth="1"/>
    <col min="20" max="20" width="7.875" style="30" bestFit="1" customWidth="1"/>
    <col min="21" max="21" width="8.625" style="1" bestFit="1" customWidth="1"/>
    <col min="22" max="22" width="15.375" style="5" bestFit="1" customWidth="1"/>
    <col min="23" max="16384" width="9.125" style="1" customWidth="1"/>
  </cols>
  <sheetData>
    <row r="1" spans="2:22" ht="15" customHeight="1">
      <c r="B1" s="154" t="s">
        <v>370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6"/>
    </row>
    <row r="2" spans="2:22" ht="109.5" customHeight="1" thickBot="1"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9"/>
    </row>
    <row r="3" spans="1:22" s="2" customFormat="1" ht="12.75" customHeight="1">
      <c r="A3" s="165" t="s">
        <v>368</v>
      </c>
      <c r="B3" s="160" t="s">
        <v>0</v>
      </c>
      <c r="C3" s="162" t="s">
        <v>469</v>
      </c>
      <c r="D3" s="162" t="s">
        <v>470</v>
      </c>
      <c r="E3" s="149" t="s">
        <v>9</v>
      </c>
      <c r="F3" s="149" t="s">
        <v>7</v>
      </c>
      <c r="G3" s="149" t="s">
        <v>471</v>
      </c>
      <c r="H3" s="149" t="s">
        <v>1</v>
      </c>
      <c r="I3" s="149"/>
      <c r="J3" s="149"/>
      <c r="K3" s="149"/>
      <c r="L3" s="149" t="s">
        <v>2</v>
      </c>
      <c r="M3" s="149"/>
      <c r="N3" s="149"/>
      <c r="O3" s="149"/>
      <c r="P3" s="149" t="s">
        <v>3</v>
      </c>
      <c r="Q3" s="149"/>
      <c r="R3" s="149"/>
      <c r="S3" s="149"/>
      <c r="T3" s="149" t="s">
        <v>4</v>
      </c>
      <c r="U3" s="149" t="s">
        <v>6</v>
      </c>
      <c r="V3" s="151" t="s">
        <v>5</v>
      </c>
    </row>
    <row r="4" spans="1:22" s="2" customFormat="1" ht="21" customHeight="1" thickBot="1">
      <c r="A4" s="148"/>
      <c r="B4" s="161"/>
      <c r="C4" s="150"/>
      <c r="D4" s="163"/>
      <c r="E4" s="150"/>
      <c r="F4" s="150"/>
      <c r="G4" s="150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50"/>
      <c r="U4" s="150"/>
      <c r="V4" s="152"/>
    </row>
    <row r="5" spans="2:21" ht="15.75">
      <c r="B5" s="166" t="s">
        <v>10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</row>
    <row r="6" spans="1:22" ht="12.75">
      <c r="A6" s="30" t="s">
        <v>369</v>
      </c>
      <c r="B6" s="24" t="s">
        <v>11</v>
      </c>
      <c r="C6" s="6" t="s">
        <v>12</v>
      </c>
      <c r="D6" s="29">
        <v>70.6</v>
      </c>
      <c r="E6" s="6" t="str">
        <f>"0,7212"</f>
        <v>0,7212</v>
      </c>
      <c r="F6" s="7" t="s">
        <v>13</v>
      </c>
      <c r="G6" s="7" t="s">
        <v>14</v>
      </c>
      <c r="H6" s="126" t="s">
        <v>15</v>
      </c>
      <c r="I6" s="126" t="s">
        <v>16</v>
      </c>
      <c r="J6" s="33" t="s">
        <v>17</v>
      </c>
      <c r="K6" s="34"/>
      <c r="L6" s="126" t="s">
        <v>18</v>
      </c>
      <c r="M6" s="126" t="s">
        <v>19</v>
      </c>
      <c r="N6" s="33" t="s">
        <v>20</v>
      </c>
      <c r="O6" s="34"/>
      <c r="P6" s="126" t="s">
        <v>21</v>
      </c>
      <c r="Q6" s="33" t="s">
        <v>22</v>
      </c>
      <c r="R6" s="33" t="s">
        <v>23</v>
      </c>
      <c r="S6" s="34"/>
      <c r="T6" s="35" t="s">
        <v>53</v>
      </c>
      <c r="U6" s="35" t="str">
        <f>"331,7750"</f>
        <v>331,7750</v>
      </c>
      <c r="V6" s="7" t="s">
        <v>345</v>
      </c>
    </row>
    <row r="7" ht="12.75">
      <c r="A7" s="30"/>
    </row>
    <row r="8" spans="1:21" ht="15.75">
      <c r="A8" s="30"/>
      <c r="B8" s="167" t="s">
        <v>24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</row>
    <row r="9" spans="1:22" ht="12.75">
      <c r="A9" s="30" t="s">
        <v>369</v>
      </c>
      <c r="B9" s="24" t="s">
        <v>25</v>
      </c>
      <c r="C9" s="6" t="s">
        <v>26</v>
      </c>
      <c r="D9" s="29">
        <v>89.2</v>
      </c>
      <c r="E9" s="6" t="str">
        <f>"0,6149"</f>
        <v>0,6149</v>
      </c>
      <c r="F9" s="7" t="s">
        <v>27</v>
      </c>
      <c r="G9" s="7" t="s">
        <v>28</v>
      </c>
      <c r="H9" s="126" t="s">
        <v>22</v>
      </c>
      <c r="I9" s="126" t="s">
        <v>23</v>
      </c>
      <c r="J9" s="126" t="s">
        <v>29</v>
      </c>
      <c r="K9" s="34"/>
      <c r="L9" s="126" t="s">
        <v>30</v>
      </c>
      <c r="M9" s="126" t="s">
        <v>15</v>
      </c>
      <c r="N9" s="126" t="s">
        <v>31</v>
      </c>
      <c r="O9" s="34"/>
      <c r="P9" s="126" t="s">
        <v>32</v>
      </c>
      <c r="Q9" s="126" t="s">
        <v>33</v>
      </c>
      <c r="R9" s="34"/>
      <c r="S9" s="34"/>
      <c r="T9" s="35" t="s">
        <v>52</v>
      </c>
      <c r="U9" s="35" t="str">
        <f>"391,9987"</f>
        <v>391,9987</v>
      </c>
      <c r="V9" s="7" t="s">
        <v>345</v>
      </c>
    </row>
    <row r="10" ht="12.75">
      <c r="A10" s="30"/>
    </row>
    <row r="11" spans="1:21" ht="15.75">
      <c r="A11" s="30"/>
      <c r="B11" s="167" t="s">
        <v>34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</row>
    <row r="12" spans="1:22" ht="12.75">
      <c r="A12" s="30" t="s">
        <v>369</v>
      </c>
      <c r="B12" s="24" t="s">
        <v>35</v>
      </c>
      <c r="C12" s="6" t="s">
        <v>36</v>
      </c>
      <c r="D12" s="29">
        <v>99.5</v>
      </c>
      <c r="E12" s="6" t="str">
        <f>"0,5825"</f>
        <v>0,5825</v>
      </c>
      <c r="F12" s="7" t="s">
        <v>37</v>
      </c>
      <c r="G12" s="7" t="s">
        <v>28</v>
      </c>
      <c r="H12" s="126" t="s">
        <v>38</v>
      </c>
      <c r="I12" s="126" t="s">
        <v>39</v>
      </c>
      <c r="J12" s="33" t="s">
        <v>40</v>
      </c>
      <c r="K12" s="34"/>
      <c r="L12" s="126" t="s">
        <v>41</v>
      </c>
      <c r="M12" s="126" t="s">
        <v>42</v>
      </c>
      <c r="N12" s="33" t="s">
        <v>43</v>
      </c>
      <c r="O12" s="34"/>
      <c r="P12" s="126" t="s">
        <v>21</v>
      </c>
      <c r="Q12" s="126" t="s">
        <v>22</v>
      </c>
      <c r="R12" s="126" t="s">
        <v>23</v>
      </c>
      <c r="S12" s="34"/>
      <c r="T12" s="35" t="s">
        <v>55</v>
      </c>
      <c r="U12" s="35" t="str">
        <f>"310,2079"</f>
        <v>310,2079</v>
      </c>
      <c r="V12" s="7" t="s">
        <v>345</v>
      </c>
    </row>
    <row r="14" ht="15.75">
      <c r="F14" s="8"/>
    </row>
    <row r="15" ht="15.75">
      <c r="F15" s="8"/>
    </row>
    <row r="16" ht="15.75">
      <c r="F16" s="8"/>
    </row>
    <row r="17" ht="15.75">
      <c r="F17" s="8"/>
    </row>
    <row r="18" ht="15.75">
      <c r="F18" s="8"/>
    </row>
    <row r="19" ht="15.75">
      <c r="F19" s="8"/>
    </row>
    <row r="20" ht="15.75">
      <c r="F20" s="8"/>
    </row>
    <row r="22" spans="2:3" ht="18">
      <c r="B22" s="9"/>
      <c r="C22" s="10"/>
    </row>
  </sheetData>
  <sheetProtection/>
  <mergeCells count="17">
    <mergeCell ref="A3:A4"/>
    <mergeCell ref="B1:V2"/>
    <mergeCell ref="H3:K3"/>
    <mergeCell ref="L3:O3"/>
    <mergeCell ref="P3:S3"/>
    <mergeCell ref="B3:B4"/>
    <mergeCell ref="C3:C4"/>
    <mergeCell ref="D3:D4"/>
    <mergeCell ref="V3:V4"/>
    <mergeCell ref="G3:G4"/>
    <mergeCell ref="F3:F4"/>
    <mergeCell ref="B5:U5"/>
    <mergeCell ref="B8:U8"/>
    <mergeCell ref="B11:U11"/>
    <mergeCell ref="E3:E4"/>
    <mergeCell ref="T3:T4"/>
    <mergeCell ref="U3:U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3" sqref="A3:A4"/>
    </sheetView>
  </sheetViews>
  <sheetFormatPr defaultColWidth="8.75390625" defaultRowHeight="12.75"/>
  <cols>
    <col min="1" max="1" width="9.125" style="37" customWidth="1"/>
    <col min="2" max="2" width="26.00390625" style="11" bestFit="1" customWidth="1"/>
    <col min="3" max="3" width="26.875" style="11" bestFit="1" customWidth="1"/>
    <col min="4" max="4" width="10.625" style="66" bestFit="1" customWidth="1"/>
    <col min="5" max="5" width="8.375" style="11" bestFit="1" customWidth="1"/>
    <col min="6" max="6" width="22.75390625" style="11" bestFit="1" customWidth="1"/>
    <col min="7" max="7" width="29.875" style="11" customWidth="1"/>
    <col min="8" max="10" width="5.625" style="26" bestFit="1" customWidth="1"/>
    <col min="11" max="11" width="4.625" style="26" bestFit="1" customWidth="1"/>
    <col min="12" max="12" width="14.00390625" style="26" customWidth="1"/>
    <col min="13" max="13" width="8.625" style="26" bestFit="1" customWidth="1"/>
    <col min="14" max="14" width="15.375" style="11" bestFit="1" customWidth="1"/>
  </cols>
  <sheetData>
    <row r="1" spans="1:14" s="1" customFormat="1" ht="15" customHeight="1">
      <c r="A1" s="59"/>
      <c r="B1" s="154" t="s">
        <v>374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s="1" customFormat="1" ht="114" customHeight="1" thickBot="1">
      <c r="A2" s="32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</row>
    <row r="3" spans="1:14" s="2" customFormat="1" ht="12.75" customHeight="1">
      <c r="A3" s="165" t="s">
        <v>368</v>
      </c>
      <c r="B3" s="160" t="s">
        <v>0</v>
      </c>
      <c r="C3" s="162" t="s">
        <v>469</v>
      </c>
      <c r="D3" s="162" t="s">
        <v>470</v>
      </c>
      <c r="E3" s="149" t="s">
        <v>9</v>
      </c>
      <c r="F3" s="149" t="s">
        <v>7</v>
      </c>
      <c r="G3" s="149" t="s">
        <v>471</v>
      </c>
      <c r="H3" s="149" t="s">
        <v>2</v>
      </c>
      <c r="I3" s="149"/>
      <c r="J3" s="149"/>
      <c r="K3" s="149"/>
      <c r="L3" s="149" t="s">
        <v>378</v>
      </c>
      <c r="M3" s="149" t="s">
        <v>6</v>
      </c>
      <c r="N3" s="151" t="s">
        <v>5</v>
      </c>
    </row>
    <row r="4" spans="1:14" s="2" customFormat="1" ht="21" customHeight="1" thickBot="1">
      <c r="A4" s="148"/>
      <c r="B4" s="161"/>
      <c r="C4" s="150"/>
      <c r="D4" s="163"/>
      <c r="E4" s="150"/>
      <c r="F4" s="150"/>
      <c r="G4" s="150"/>
      <c r="H4" s="3">
        <v>1</v>
      </c>
      <c r="I4" s="3">
        <v>2</v>
      </c>
      <c r="J4" s="3">
        <v>3</v>
      </c>
      <c r="K4" s="3" t="s">
        <v>8</v>
      </c>
      <c r="L4" s="150"/>
      <c r="M4" s="150"/>
      <c r="N4" s="152"/>
    </row>
    <row r="5" spans="2:13" ht="15.75">
      <c r="B5" s="153" t="s">
        <v>143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4" ht="12.75">
      <c r="A6" s="37">
        <v>1</v>
      </c>
      <c r="B6" s="13" t="s">
        <v>144</v>
      </c>
      <c r="C6" s="13" t="s">
        <v>145</v>
      </c>
      <c r="D6" s="68">
        <v>59.9</v>
      </c>
      <c r="E6" s="13" t="str">
        <f>"0,9889"</f>
        <v>0,9889</v>
      </c>
      <c r="F6" s="13" t="s">
        <v>363</v>
      </c>
      <c r="G6" s="13" t="s">
        <v>28</v>
      </c>
      <c r="H6" s="127" t="s">
        <v>147</v>
      </c>
      <c r="I6" s="127" t="s">
        <v>148</v>
      </c>
      <c r="J6" s="41" t="s">
        <v>149</v>
      </c>
      <c r="K6" s="42"/>
      <c r="L6" s="43" t="s">
        <v>148</v>
      </c>
      <c r="M6" s="43" t="str">
        <f>"59,3340"</f>
        <v>59,3340</v>
      </c>
      <c r="N6" s="13" t="s">
        <v>345</v>
      </c>
    </row>
    <row r="7" spans="1:14" ht="12.75">
      <c r="A7" s="37">
        <v>1</v>
      </c>
      <c r="B7" s="14" t="s">
        <v>144</v>
      </c>
      <c r="C7" s="14" t="s">
        <v>150</v>
      </c>
      <c r="D7" s="70">
        <v>59.9</v>
      </c>
      <c r="E7" s="14" t="str">
        <f>"0,9889"</f>
        <v>0,9889</v>
      </c>
      <c r="F7" s="14" t="s">
        <v>146</v>
      </c>
      <c r="G7" s="14" t="s">
        <v>28</v>
      </c>
      <c r="H7" s="129" t="s">
        <v>147</v>
      </c>
      <c r="I7" s="129" t="s">
        <v>148</v>
      </c>
      <c r="J7" s="44" t="s">
        <v>149</v>
      </c>
      <c r="K7" s="45"/>
      <c r="L7" s="46" t="s">
        <v>148</v>
      </c>
      <c r="M7" s="46" t="str">
        <f>"59,9273"</f>
        <v>59,9273</v>
      </c>
      <c r="N7" s="14" t="s">
        <v>345</v>
      </c>
    </row>
    <row r="9" spans="2:13" ht="15.75">
      <c r="B9" s="164" t="s">
        <v>151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4" ht="12.75">
      <c r="A10" s="37">
        <v>1</v>
      </c>
      <c r="B10" s="13" t="s">
        <v>152</v>
      </c>
      <c r="C10" s="13" t="s">
        <v>153</v>
      </c>
      <c r="D10" s="68">
        <v>49.6</v>
      </c>
      <c r="E10" s="13" t="str">
        <f>"1,0192"</f>
        <v>1,0192</v>
      </c>
      <c r="F10" s="13" t="s">
        <v>146</v>
      </c>
      <c r="G10" s="13" t="s">
        <v>154</v>
      </c>
      <c r="H10" s="127" t="s">
        <v>155</v>
      </c>
      <c r="I10" s="127" t="s">
        <v>156</v>
      </c>
      <c r="J10" s="127" t="s">
        <v>157</v>
      </c>
      <c r="K10" s="42"/>
      <c r="L10" s="43">
        <v>52.5</v>
      </c>
      <c r="M10" s="43" t="str">
        <f>"53,5054"</f>
        <v>53,5054</v>
      </c>
      <c r="N10" s="13" t="s">
        <v>352</v>
      </c>
    </row>
    <row r="11" spans="1:14" ht="12.75">
      <c r="A11" s="37">
        <v>2</v>
      </c>
      <c r="B11" s="14" t="s">
        <v>158</v>
      </c>
      <c r="C11" s="14" t="s">
        <v>159</v>
      </c>
      <c r="D11" s="70">
        <v>42</v>
      </c>
      <c r="E11" s="14" t="str">
        <f>"1,2450"</f>
        <v>1,2450</v>
      </c>
      <c r="F11" s="14" t="s">
        <v>146</v>
      </c>
      <c r="G11" s="14" t="s">
        <v>28</v>
      </c>
      <c r="H11" s="129" t="s">
        <v>160</v>
      </c>
      <c r="I11" s="44" t="s">
        <v>161</v>
      </c>
      <c r="J11" s="129" t="s">
        <v>161</v>
      </c>
      <c r="K11" s="45"/>
      <c r="L11" s="46">
        <v>22.5</v>
      </c>
      <c r="M11" s="46" t="str">
        <f>"28,0125"</f>
        <v>28,0125</v>
      </c>
      <c r="N11" s="14" t="s">
        <v>344</v>
      </c>
    </row>
    <row r="13" spans="2:13" ht="15.75">
      <c r="B13" s="164" t="s">
        <v>162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</row>
    <row r="14" spans="1:14" ht="12.75">
      <c r="A14" s="37">
        <v>1</v>
      </c>
      <c r="B14" s="13" t="s">
        <v>163</v>
      </c>
      <c r="C14" s="13" t="s">
        <v>164</v>
      </c>
      <c r="D14" s="68">
        <v>54.9</v>
      </c>
      <c r="E14" s="13" t="str">
        <f>"0,9113"</f>
        <v>0,9113</v>
      </c>
      <c r="F14" s="13" t="s">
        <v>140</v>
      </c>
      <c r="G14" s="13" t="s">
        <v>28</v>
      </c>
      <c r="H14" s="127" t="s">
        <v>65</v>
      </c>
      <c r="I14" s="41" t="s">
        <v>75</v>
      </c>
      <c r="J14" s="127" t="s">
        <v>75</v>
      </c>
      <c r="K14" s="42"/>
      <c r="L14" s="43" t="s">
        <v>75</v>
      </c>
      <c r="M14" s="43" t="str">
        <f>"109,3560"</f>
        <v>109,3560</v>
      </c>
      <c r="N14" s="13" t="s">
        <v>345</v>
      </c>
    </row>
    <row r="15" spans="1:14" ht="12.75">
      <c r="A15" s="37">
        <v>1</v>
      </c>
      <c r="B15" s="14" t="s">
        <v>165</v>
      </c>
      <c r="C15" s="14" t="s">
        <v>166</v>
      </c>
      <c r="D15" s="70">
        <v>54.5</v>
      </c>
      <c r="E15" s="14" t="str">
        <f>"0,9184"</f>
        <v>0,9184</v>
      </c>
      <c r="F15" s="14" t="s">
        <v>146</v>
      </c>
      <c r="G15" s="14" t="s">
        <v>154</v>
      </c>
      <c r="H15" s="129" t="s">
        <v>167</v>
      </c>
      <c r="I15" s="129" t="s">
        <v>168</v>
      </c>
      <c r="J15" s="129" t="s">
        <v>15</v>
      </c>
      <c r="K15" s="45"/>
      <c r="L15" s="46" t="s">
        <v>15</v>
      </c>
      <c r="M15" s="46" t="str">
        <f>"137,7600"</f>
        <v>137,7600</v>
      </c>
      <c r="N15" s="14" t="s">
        <v>359</v>
      </c>
    </row>
    <row r="17" spans="2:13" ht="15.75">
      <c r="B17" s="164" t="s">
        <v>10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</row>
    <row r="18" spans="1:14" ht="12.75">
      <c r="A18" s="37">
        <v>1</v>
      </c>
      <c r="B18" s="13" t="s">
        <v>169</v>
      </c>
      <c r="C18" s="13" t="s">
        <v>170</v>
      </c>
      <c r="D18" s="68">
        <v>74.2</v>
      </c>
      <c r="E18" s="13" t="str">
        <f>"0,6940"</f>
        <v>0,6940</v>
      </c>
      <c r="F18" s="13" t="s">
        <v>27</v>
      </c>
      <c r="G18" s="13" t="s">
        <v>28</v>
      </c>
      <c r="H18" s="127" t="s">
        <v>18</v>
      </c>
      <c r="I18" s="127" t="s">
        <v>19</v>
      </c>
      <c r="J18" s="127" t="s">
        <v>20</v>
      </c>
      <c r="K18" s="42"/>
      <c r="L18" s="43" t="s">
        <v>20</v>
      </c>
      <c r="M18" s="43" t="str">
        <f>"79,8100"</f>
        <v>79,8100</v>
      </c>
      <c r="N18" s="13" t="s">
        <v>356</v>
      </c>
    </row>
    <row r="19" spans="1:14" ht="12.75">
      <c r="A19" s="37">
        <v>1</v>
      </c>
      <c r="B19" s="14" t="s">
        <v>171</v>
      </c>
      <c r="C19" s="14" t="s">
        <v>172</v>
      </c>
      <c r="D19" s="70">
        <v>73.1</v>
      </c>
      <c r="E19" s="14" t="str">
        <f>"0,7019"</f>
        <v>0,7019</v>
      </c>
      <c r="F19" s="14" t="s">
        <v>140</v>
      </c>
      <c r="G19" s="14" t="s">
        <v>28</v>
      </c>
      <c r="H19" s="129" t="s">
        <v>75</v>
      </c>
      <c r="I19" s="44" t="s">
        <v>76</v>
      </c>
      <c r="J19" s="129" t="s">
        <v>76</v>
      </c>
      <c r="K19" s="121"/>
      <c r="L19" s="46" t="s">
        <v>76</v>
      </c>
      <c r="M19" s="46" t="str">
        <f>"87,7375"</f>
        <v>87,7375</v>
      </c>
      <c r="N19" s="14" t="s">
        <v>345</v>
      </c>
    </row>
    <row r="21" spans="2:13" ht="15.75">
      <c r="B21" s="164" t="s">
        <v>98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</row>
    <row r="22" spans="1:14" ht="12.75">
      <c r="A22" s="37">
        <v>1</v>
      </c>
      <c r="B22" s="13" t="s">
        <v>173</v>
      </c>
      <c r="C22" s="13" t="s">
        <v>174</v>
      </c>
      <c r="D22" s="68">
        <v>81.5</v>
      </c>
      <c r="E22" s="13" t="str">
        <f>"0,6497"</f>
        <v>0,6497</v>
      </c>
      <c r="F22" s="13" t="s">
        <v>472</v>
      </c>
      <c r="G22" s="13" t="s">
        <v>28</v>
      </c>
      <c r="H22" s="127" t="s">
        <v>31</v>
      </c>
      <c r="I22" s="127" t="s">
        <v>17</v>
      </c>
      <c r="J22" s="41" t="s">
        <v>74</v>
      </c>
      <c r="K22" s="42"/>
      <c r="L22" s="43" t="s">
        <v>17</v>
      </c>
      <c r="M22" s="43" t="str">
        <f>"107,2087"</f>
        <v>107,2087</v>
      </c>
      <c r="N22" s="13" t="s">
        <v>345</v>
      </c>
    </row>
    <row r="23" spans="1:14" ht="12.75">
      <c r="A23" s="37">
        <v>1</v>
      </c>
      <c r="B23" s="23" t="s">
        <v>175</v>
      </c>
      <c r="C23" s="23" t="s">
        <v>176</v>
      </c>
      <c r="D23" s="69">
        <v>79</v>
      </c>
      <c r="E23" s="23" t="str">
        <f>"0,6635"</f>
        <v>0,6635</v>
      </c>
      <c r="F23" s="23" t="s">
        <v>472</v>
      </c>
      <c r="G23" s="23" t="s">
        <v>28</v>
      </c>
      <c r="H23" s="128" t="s">
        <v>177</v>
      </c>
      <c r="I23" s="55" t="s">
        <v>59</v>
      </c>
      <c r="J23" s="55" t="s">
        <v>59</v>
      </c>
      <c r="K23" s="54"/>
      <c r="L23" s="56" t="s">
        <v>177</v>
      </c>
      <c r="M23" s="56" t="str">
        <f>"89,5725"</f>
        <v>89,5725</v>
      </c>
      <c r="N23" s="23" t="s">
        <v>345</v>
      </c>
    </row>
    <row r="24" spans="1:14" ht="12.75">
      <c r="A24" s="37">
        <v>1</v>
      </c>
      <c r="B24" s="14" t="s">
        <v>178</v>
      </c>
      <c r="C24" s="14" t="s">
        <v>179</v>
      </c>
      <c r="D24" s="70">
        <v>80.5</v>
      </c>
      <c r="E24" s="14" t="str">
        <f>"0,6550"</f>
        <v>0,6550</v>
      </c>
      <c r="F24" s="14" t="s">
        <v>472</v>
      </c>
      <c r="G24" s="14" t="s">
        <v>111</v>
      </c>
      <c r="H24" s="129" t="s">
        <v>31</v>
      </c>
      <c r="I24" s="44" t="s">
        <v>64</v>
      </c>
      <c r="J24" s="129" t="s">
        <v>64</v>
      </c>
      <c r="K24" s="45"/>
      <c r="L24" s="46" t="s">
        <v>64</v>
      </c>
      <c r="M24" s="46" t="str">
        <f>"114,6337"</f>
        <v>114,6337</v>
      </c>
      <c r="N24" s="14" t="s">
        <v>345</v>
      </c>
    </row>
    <row r="26" spans="2:13" ht="15.75">
      <c r="B26" s="164" t="s">
        <v>24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</row>
    <row r="27" spans="1:14" ht="12.75">
      <c r="A27" s="37">
        <v>1</v>
      </c>
      <c r="B27" s="13" t="s">
        <v>180</v>
      </c>
      <c r="C27" s="13" t="s">
        <v>181</v>
      </c>
      <c r="D27" s="68">
        <v>83.1</v>
      </c>
      <c r="E27" s="13" t="str">
        <f>"0,6416"</f>
        <v>0,6416</v>
      </c>
      <c r="F27" s="13" t="s">
        <v>27</v>
      </c>
      <c r="G27" s="13" t="s">
        <v>28</v>
      </c>
      <c r="H27" s="127" t="s">
        <v>19</v>
      </c>
      <c r="I27" s="58" t="s">
        <v>20</v>
      </c>
      <c r="J27" s="127" t="s">
        <v>20</v>
      </c>
      <c r="K27" s="42"/>
      <c r="L27" s="43" t="s">
        <v>20</v>
      </c>
      <c r="M27" s="43" t="str">
        <f>"73,7840"</f>
        <v>73,7840</v>
      </c>
      <c r="N27" s="13" t="s">
        <v>345</v>
      </c>
    </row>
    <row r="28" spans="1:14" ht="12.75">
      <c r="A28" s="37">
        <v>1</v>
      </c>
      <c r="B28" s="23" t="s">
        <v>182</v>
      </c>
      <c r="C28" s="23" t="s">
        <v>183</v>
      </c>
      <c r="D28" s="69">
        <v>89.95</v>
      </c>
      <c r="E28" s="23" t="str">
        <f>"0,6120"</f>
        <v>0,6120</v>
      </c>
      <c r="F28" s="23" t="s">
        <v>37</v>
      </c>
      <c r="G28" s="23" t="s">
        <v>28</v>
      </c>
      <c r="H28" s="128" t="s">
        <v>17</v>
      </c>
      <c r="I28" s="128" t="s">
        <v>64</v>
      </c>
      <c r="J28" s="54"/>
      <c r="K28" s="54"/>
      <c r="L28" s="56" t="s">
        <v>64</v>
      </c>
      <c r="M28" s="56" t="str">
        <f>"107,1087"</f>
        <v>107,1087</v>
      </c>
      <c r="N28" s="23" t="s">
        <v>360</v>
      </c>
    </row>
    <row r="29" spans="1:14" ht="12.75">
      <c r="A29" s="37">
        <v>2</v>
      </c>
      <c r="B29" s="23" t="s">
        <v>184</v>
      </c>
      <c r="C29" s="23" t="s">
        <v>185</v>
      </c>
      <c r="D29" s="69">
        <v>89.2</v>
      </c>
      <c r="E29" s="23" t="str">
        <f>"0,6149"</f>
        <v>0,6149</v>
      </c>
      <c r="F29" s="23" t="s">
        <v>472</v>
      </c>
      <c r="G29" s="23" t="s">
        <v>28</v>
      </c>
      <c r="H29" s="128" t="s">
        <v>30</v>
      </c>
      <c r="I29" s="128" t="s">
        <v>186</v>
      </c>
      <c r="J29" s="128" t="s">
        <v>31</v>
      </c>
      <c r="K29" s="54"/>
      <c r="L29" s="56" t="s">
        <v>31</v>
      </c>
      <c r="M29" s="56" t="str">
        <f>"95,3095"</f>
        <v>95,3095</v>
      </c>
      <c r="N29" s="23" t="s">
        <v>345</v>
      </c>
    </row>
    <row r="30" spans="1:14" ht="12.75">
      <c r="A30" s="37">
        <v>3</v>
      </c>
      <c r="B30" s="14" t="s">
        <v>187</v>
      </c>
      <c r="C30" s="14" t="s">
        <v>188</v>
      </c>
      <c r="D30" s="70">
        <v>87.7</v>
      </c>
      <c r="E30" s="14" t="str">
        <f>"0,6209"</f>
        <v>0,6209</v>
      </c>
      <c r="F30" s="14" t="s">
        <v>140</v>
      </c>
      <c r="G30" s="14" t="s">
        <v>28</v>
      </c>
      <c r="H30" s="129" t="s">
        <v>30</v>
      </c>
      <c r="I30" s="129" t="s">
        <v>186</v>
      </c>
      <c r="J30" s="44" t="s">
        <v>189</v>
      </c>
      <c r="K30" s="45"/>
      <c r="L30" s="46">
        <v>152.5</v>
      </c>
      <c r="M30" s="46" t="str">
        <f>"94,6872"</f>
        <v>94,6872</v>
      </c>
      <c r="N30" s="14" t="s">
        <v>345</v>
      </c>
    </row>
    <row r="32" spans="2:13" ht="15.75">
      <c r="B32" s="164" t="s">
        <v>34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</row>
    <row r="33" spans="1:14" ht="12.75">
      <c r="A33" s="37">
        <v>1</v>
      </c>
      <c r="B33" s="13" t="s">
        <v>190</v>
      </c>
      <c r="C33" s="13" t="s">
        <v>191</v>
      </c>
      <c r="D33" s="68">
        <v>94.8</v>
      </c>
      <c r="E33" s="13" t="str">
        <f>"0,5955"</f>
        <v>0,5955</v>
      </c>
      <c r="F33" s="13" t="s">
        <v>140</v>
      </c>
      <c r="G33" s="13" t="s">
        <v>475</v>
      </c>
      <c r="H33" s="127" t="s">
        <v>30</v>
      </c>
      <c r="I33" s="127" t="s">
        <v>15</v>
      </c>
      <c r="J33" s="41" t="s">
        <v>16</v>
      </c>
      <c r="K33" s="42"/>
      <c r="L33" s="43" t="s">
        <v>15</v>
      </c>
      <c r="M33" s="43" t="str">
        <f>"89,3250"</f>
        <v>89,3250</v>
      </c>
      <c r="N33" s="13" t="s">
        <v>345</v>
      </c>
    </row>
    <row r="34" spans="2:14" ht="12.75">
      <c r="B34" s="23" t="s">
        <v>192</v>
      </c>
      <c r="C34" s="23" t="s">
        <v>193</v>
      </c>
      <c r="D34" s="69">
        <v>98.4</v>
      </c>
      <c r="E34" s="23" t="str">
        <f>"0,5853"</f>
        <v>0,5853</v>
      </c>
      <c r="F34" s="23" t="s">
        <v>472</v>
      </c>
      <c r="G34" s="23" t="s">
        <v>28</v>
      </c>
      <c r="H34" s="55" t="s">
        <v>64</v>
      </c>
      <c r="I34" s="55" t="s">
        <v>64</v>
      </c>
      <c r="J34" s="55" t="s">
        <v>64</v>
      </c>
      <c r="K34" s="54"/>
      <c r="L34" s="56">
        <v>0</v>
      </c>
      <c r="M34" s="56" t="s">
        <v>476</v>
      </c>
      <c r="N34" s="23" t="s">
        <v>345</v>
      </c>
    </row>
    <row r="35" spans="1:14" ht="12.75">
      <c r="A35" s="37">
        <v>1</v>
      </c>
      <c r="B35" s="23" t="s">
        <v>194</v>
      </c>
      <c r="C35" s="23" t="s">
        <v>195</v>
      </c>
      <c r="D35" s="69">
        <v>96.3</v>
      </c>
      <c r="E35" s="23" t="str">
        <f>"0,5911"</f>
        <v>0,5911</v>
      </c>
      <c r="F35" s="23" t="s">
        <v>140</v>
      </c>
      <c r="G35" s="23" t="s">
        <v>28</v>
      </c>
      <c r="H35" s="128" t="s">
        <v>86</v>
      </c>
      <c r="I35" s="128" t="s">
        <v>38</v>
      </c>
      <c r="J35" s="128" t="s">
        <v>21</v>
      </c>
      <c r="K35" s="54"/>
      <c r="L35" s="56" t="s">
        <v>21</v>
      </c>
      <c r="M35" s="56" t="str">
        <f>"112,3090"</f>
        <v>112,3090</v>
      </c>
      <c r="N35" s="23" t="s">
        <v>361</v>
      </c>
    </row>
    <row r="36" spans="1:14" ht="12.75">
      <c r="A36" s="37">
        <v>1</v>
      </c>
      <c r="B36" s="14" t="s">
        <v>196</v>
      </c>
      <c r="C36" s="14" t="s">
        <v>197</v>
      </c>
      <c r="D36" s="70">
        <v>99.8</v>
      </c>
      <c r="E36" s="14" t="str">
        <f>"0,5818"</f>
        <v>0,5818</v>
      </c>
      <c r="F36" s="14" t="s">
        <v>472</v>
      </c>
      <c r="G36" s="14" t="s">
        <v>28</v>
      </c>
      <c r="H36" s="129" t="s">
        <v>64</v>
      </c>
      <c r="I36" s="129" t="s">
        <v>38</v>
      </c>
      <c r="J36" s="129" t="s">
        <v>21</v>
      </c>
      <c r="K36" s="45"/>
      <c r="L36" s="46" t="s">
        <v>21</v>
      </c>
      <c r="M36" s="46" t="str">
        <f>"121,2646"</f>
        <v>121,2646</v>
      </c>
      <c r="N36" s="14" t="s">
        <v>345</v>
      </c>
    </row>
    <row r="38" spans="2:13" ht="15.75">
      <c r="B38" s="164" t="s">
        <v>80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</row>
    <row r="39" spans="1:14" ht="12.75">
      <c r="A39" s="37">
        <v>1</v>
      </c>
      <c r="B39" s="13" t="s">
        <v>198</v>
      </c>
      <c r="C39" s="13" t="s">
        <v>199</v>
      </c>
      <c r="D39" s="68">
        <v>123.9</v>
      </c>
      <c r="E39" s="13" t="str">
        <f>"0,5468"</f>
        <v>0,5468</v>
      </c>
      <c r="F39" s="13" t="s">
        <v>27</v>
      </c>
      <c r="G39" s="13" t="s">
        <v>28</v>
      </c>
      <c r="H39" s="127" t="s">
        <v>66</v>
      </c>
      <c r="I39" s="42"/>
      <c r="J39" s="42"/>
      <c r="K39" s="42"/>
      <c r="L39" s="43">
        <v>202.5</v>
      </c>
      <c r="M39" s="43" t="str">
        <f>"110,7169"</f>
        <v>110,7169</v>
      </c>
      <c r="N39" s="13" t="s">
        <v>356</v>
      </c>
    </row>
    <row r="40" spans="1:14" ht="12.75">
      <c r="A40" s="37">
        <v>2</v>
      </c>
      <c r="B40" s="14" t="s">
        <v>200</v>
      </c>
      <c r="C40" s="14" t="s">
        <v>201</v>
      </c>
      <c r="D40" s="70">
        <v>114.2</v>
      </c>
      <c r="E40" s="14" t="str">
        <f>"0,5571"</f>
        <v>0,5571</v>
      </c>
      <c r="F40" s="14" t="s">
        <v>140</v>
      </c>
      <c r="G40" s="14" t="s">
        <v>473</v>
      </c>
      <c r="H40" s="129" t="s">
        <v>74</v>
      </c>
      <c r="I40" s="129" t="s">
        <v>64</v>
      </c>
      <c r="J40" s="44" t="s">
        <v>71</v>
      </c>
      <c r="K40" s="45"/>
      <c r="L40" s="46" t="s">
        <v>64</v>
      </c>
      <c r="M40" s="46" t="str">
        <f>"97,4925"</f>
        <v>97,4925</v>
      </c>
      <c r="N40" s="14" t="s">
        <v>362</v>
      </c>
    </row>
    <row r="42" spans="2:13" ht="15.75">
      <c r="B42" s="164" t="s">
        <v>202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</row>
    <row r="43" spans="2:14" ht="12.75">
      <c r="B43" s="12" t="s">
        <v>203</v>
      </c>
      <c r="C43" s="12" t="s">
        <v>204</v>
      </c>
      <c r="D43" s="65">
        <v>137.2</v>
      </c>
      <c r="E43" s="12" t="str">
        <f>"0,5336"</f>
        <v>0,5336</v>
      </c>
      <c r="F43" s="12" t="s">
        <v>472</v>
      </c>
      <c r="G43" s="12" t="s">
        <v>28</v>
      </c>
      <c r="H43" s="39" t="s">
        <v>86</v>
      </c>
      <c r="I43" s="39" t="s">
        <v>86</v>
      </c>
      <c r="J43" s="39" t="s">
        <v>86</v>
      </c>
      <c r="K43" s="38"/>
      <c r="L43" s="40">
        <v>0</v>
      </c>
      <c r="M43" s="40" t="s">
        <v>476</v>
      </c>
      <c r="N43" s="12" t="s">
        <v>345</v>
      </c>
    </row>
    <row r="45" spans="2:3" ht="13.5">
      <c r="B45" s="19"/>
      <c r="C45" s="20" t="s">
        <v>45</v>
      </c>
    </row>
    <row r="46" spans="2:6" ht="13.5">
      <c r="B46" s="21" t="s">
        <v>46</v>
      </c>
      <c r="C46" s="21" t="s">
        <v>47</v>
      </c>
      <c r="D46" s="67" t="s">
        <v>48</v>
      </c>
      <c r="E46" s="21" t="s">
        <v>49</v>
      </c>
      <c r="F46" s="21" t="s">
        <v>50</v>
      </c>
    </row>
    <row r="47" spans="1:6" ht="12.75">
      <c r="A47" s="37">
        <v>1</v>
      </c>
      <c r="B47" s="18" t="s">
        <v>165</v>
      </c>
      <c r="C47" s="11" t="s">
        <v>45</v>
      </c>
      <c r="D47" s="139" t="s">
        <v>205</v>
      </c>
      <c r="E47" s="22" t="s">
        <v>15</v>
      </c>
      <c r="F47" s="138" t="s">
        <v>206</v>
      </c>
    </row>
    <row r="48" spans="1:6" ht="12.75">
      <c r="A48" s="37">
        <v>2</v>
      </c>
      <c r="B48" s="18" t="s">
        <v>178</v>
      </c>
      <c r="C48" s="11" t="s">
        <v>45</v>
      </c>
      <c r="D48" s="139" t="s">
        <v>126</v>
      </c>
      <c r="E48" s="22" t="s">
        <v>64</v>
      </c>
      <c r="F48" s="138" t="s">
        <v>207</v>
      </c>
    </row>
    <row r="49" spans="1:6" ht="12.75">
      <c r="A49" s="37">
        <v>3</v>
      </c>
      <c r="B49" s="18" t="s">
        <v>194</v>
      </c>
      <c r="C49" s="11" t="s">
        <v>45</v>
      </c>
      <c r="D49" s="139" t="s">
        <v>54</v>
      </c>
      <c r="E49" s="22" t="s">
        <v>21</v>
      </c>
      <c r="F49" s="138" t="s">
        <v>208</v>
      </c>
    </row>
  </sheetData>
  <sheetProtection/>
  <mergeCells count="21">
    <mergeCell ref="A3:A4"/>
    <mergeCell ref="B21:M21"/>
    <mergeCell ref="M3:M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N3:N4"/>
    <mergeCell ref="B26:M26"/>
    <mergeCell ref="B32:M32"/>
    <mergeCell ref="B38:M38"/>
    <mergeCell ref="B42:M42"/>
    <mergeCell ref="B5:M5"/>
    <mergeCell ref="B9:M9"/>
    <mergeCell ref="B13:M13"/>
    <mergeCell ref="B17:M17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1">
      <selection activeCell="A3" sqref="A3:A4"/>
    </sheetView>
  </sheetViews>
  <sheetFormatPr defaultColWidth="8.75390625" defaultRowHeight="12.75"/>
  <cols>
    <col min="1" max="1" width="9.125" style="37" customWidth="1"/>
    <col min="2" max="2" width="26.00390625" style="11" bestFit="1" customWidth="1"/>
    <col min="3" max="3" width="26.875" style="11" bestFit="1" customWidth="1"/>
    <col min="4" max="4" width="10.625" style="66" bestFit="1" customWidth="1"/>
    <col min="5" max="5" width="8.375" style="11" bestFit="1" customWidth="1"/>
    <col min="6" max="6" width="22.75390625" style="11" bestFit="1" customWidth="1"/>
    <col min="7" max="7" width="31.625" style="11" bestFit="1" customWidth="1"/>
    <col min="8" max="10" width="5.625" style="26" bestFit="1" customWidth="1"/>
    <col min="11" max="11" width="4.625" style="26" bestFit="1" customWidth="1"/>
    <col min="12" max="12" width="13.125" style="26" customWidth="1"/>
    <col min="13" max="13" width="8.625" style="26" bestFit="1" customWidth="1"/>
    <col min="14" max="14" width="22.125" style="11" bestFit="1" customWidth="1"/>
  </cols>
  <sheetData>
    <row r="1" spans="1:14" s="1" customFormat="1" ht="15" customHeight="1">
      <c r="A1" s="59"/>
      <c r="B1" s="154" t="s">
        <v>377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s="1" customFormat="1" ht="105.75" customHeight="1" thickBot="1">
      <c r="A2" s="32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</row>
    <row r="3" spans="1:14" s="2" customFormat="1" ht="12.75" customHeight="1">
      <c r="A3" s="165" t="s">
        <v>368</v>
      </c>
      <c r="B3" s="160" t="s">
        <v>0</v>
      </c>
      <c r="C3" s="162" t="s">
        <v>469</v>
      </c>
      <c r="D3" s="162" t="s">
        <v>470</v>
      </c>
      <c r="E3" s="149" t="s">
        <v>9</v>
      </c>
      <c r="F3" s="149" t="s">
        <v>7</v>
      </c>
      <c r="G3" s="149" t="s">
        <v>471</v>
      </c>
      <c r="H3" s="149" t="s">
        <v>2</v>
      </c>
      <c r="I3" s="149"/>
      <c r="J3" s="149"/>
      <c r="K3" s="149"/>
      <c r="L3" s="149" t="s">
        <v>378</v>
      </c>
      <c r="M3" s="149" t="s">
        <v>6</v>
      </c>
      <c r="N3" s="151" t="s">
        <v>5</v>
      </c>
    </row>
    <row r="4" spans="1:14" s="2" customFormat="1" ht="21" customHeight="1" thickBot="1">
      <c r="A4" s="148"/>
      <c r="B4" s="161"/>
      <c r="C4" s="150"/>
      <c r="D4" s="163"/>
      <c r="E4" s="150"/>
      <c r="F4" s="150"/>
      <c r="G4" s="150"/>
      <c r="H4" s="3">
        <v>1</v>
      </c>
      <c r="I4" s="3">
        <v>2</v>
      </c>
      <c r="J4" s="3">
        <v>3</v>
      </c>
      <c r="K4" s="3" t="s">
        <v>8</v>
      </c>
      <c r="L4" s="150"/>
      <c r="M4" s="150"/>
      <c r="N4" s="152"/>
    </row>
    <row r="5" spans="2:13" ht="15.75">
      <c r="B5" s="153" t="s">
        <v>209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4" ht="12.75">
      <c r="A6" s="37">
        <v>1</v>
      </c>
      <c r="B6" s="12" t="s">
        <v>210</v>
      </c>
      <c r="C6" s="12" t="s">
        <v>211</v>
      </c>
      <c r="D6" s="65">
        <v>47.9</v>
      </c>
      <c r="E6" s="12" t="str">
        <f>"1,1809"</f>
        <v>1,1809</v>
      </c>
      <c r="F6" s="12" t="s">
        <v>37</v>
      </c>
      <c r="G6" s="12" t="s">
        <v>28</v>
      </c>
      <c r="H6" s="126" t="s">
        <v>212</v>
      </c>
      <c r="I6" s="39" t="s">
        <v>155</v>
      </c>
      <c r="J6" s="39" t="s">
        <v>155</v>
      </c>
      <c r="K6" s="38"/>
      <c r="L6" s="40" t="s">
        <v>212</v>
      </c>
      <c r="M6" s="40" t="str">
        <f>"47,2360"</f>
        <v>47,2360</v>
      </c>
      <c r="N6" s="12" t="s">
        <v>349</v>
      </c>
    </row>
    <row r="8" spans="2:13" ht="15.75">
      <c r="B8" s="164" t="s">
        <v>151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</row>
    <row r="9" spans="1:14" ht="12.75">
      <c r="A9" s="37">
        <v>2</v>
      </c>
      <c r="B9" s="13" t="s">
        <v>213</v>
      </c>
      <c r="C9" s="13" t="s">
        <v>214</v>
      </c>
      <c r="D9" s="68">
        <v>51.9</v>
      </c>
      <c r="E9" s="13" t="str">
        <f>"1,1093"</f>
        <v>1,1093</v>
      </c>
      <c r="F9" s="13" t="s">
        <v>140</v>
      </c>
      <c r="G9" s="13" t="s">
        <v>28</v>
      </c>
      <c r="H9" s="127" t="s">
        <v>215</v>
      </c>
      <c r="I9" s="127" t="s">
        <v>216</v>
      </c>
      <c r="J9" s="127" t="s">
        <v>217</v>
      </c>
      <c r="K9" s="42"/>
      <c r="L9" s="43" t="s">
        <v>217</v>
      </c>
      <c r="M9" s="43" t="str">
        <f>"38,8255"</f>
        <v>38,8255</v>
      </c>
      <c r="N9" s="13" t="s">
        <v>345</v>
      </c>
    </row>
    <row r="10" spans="1:14" ht="12.75">
      <c r="A10" s="37">
        <v>1</v>
      </c>
      <c r="B10" s="14" t="s">
        <v>218</v>
      </c>
      <c r="C10" s="14" t="s">
        <v>219</v>
      </c>
      <c r="D10" s="70">
        <v>51</v>
      </c>
      <c r="E10" s="14" t="str">
        <f>"1,1247"</f>
        <v>1,1247</v>
      </c>
      <c r="F10" s="14" t="s">
        <v>146</v>
      </c>
      <c r="G10" s="14" t="s">
        <v>154</v>
      </c>
      <c r="H10" s="129" t="s">
        <v>212</v>
      </c>
      <c r="I10" s="44" t="s">
        <v>220</v>
      </c>
      <c r="J10" s="44" t="s">
        <v>155</v>
      </c>
      <c r="K10" s="45"/>
      <c r="L10" s="46" t="s">
        <v>212</v>
      </c>
      <c r="M10" s="46" t="str">
        <f>"44,9880"</f>
        <v>44,9880</v>
      </c>
      <c r="N10" s="14" t="s">
        <v>352</v>
      </c>
    </row>
    <row r="12" spans="2:13" ht="15.75">
      <c r="B12" s="164" t="s">
        <v>162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</row>
    <row r="13" spans="1:14" ht="12.75">
      <c r="A13" s="37">
        <v>1</v>
      </c>
      <c r="B13" s="13" t="s">
        <v>221</v>
      </c>
      <c r="C13" s="13" t="s">
        <v>222</v>
      </c>
      <c r="D13" s="68">
        <v>55</v>
      </c>
      <c r="E13" s="13" t="str">
        <f>"1,0591"</f>
        <v>1,0591</v>
      </c>
      <c r="F13" s="13" t="s">
        <v>472</v>
      </c>
      <c r="G13" s="13" t="s">
        <v>351</v>
      </c>
      <c r="H13" s="127" t="s">
        <v>223</v>
      </c>
      <c r="I13" s="41" t="s">
        <v>156</v>
      </c>
      <c r="J13" s="41" t="s">
        <v>156</v>
      </c>
      <c r="K13" s="42"/>
      <c r="L13" s="43">
        <v>47.5</v>
      </c>
      <c r="M13" s="43" t="str">
        <f>"50,3073"</f>
        <v>50,3073</v>
      </c>
      <c r="N13" s="13" t="s">
        <v>345</v>
      </c>
    </row>
    <row r="14" spans="2:14" ht="12.75">
      <c r="B14" s="14" t="s">
        <v>224</v>
      </c>
      <c r="C14" s="14" t="s">
        <v>225</v>
      </c>
      <c r="D14" s="70">
        <v>55.5</v>
      </c>
      <c r="E14" s="14" t="str">
        <f>"1,0514"</f>
        <v>1,0514</v>
      </c>
      <c r="F14" s="14" t="s">
        <v>37</v>
      </c>
      <c r="G14" s="14" t="s">
        <v>28</v>
      </c>
      <c r="H14" s="44" t="s">
        <v>156</v>
      </c>
      <c r="I14" s="44" t="s">
        <v>156</v>
      </c>
      <c r="J14" s="44" t="s">
        <v>156</v>
      </c>
      <c r="K14" s="45"/>
      <c r="L14" s="46">
        <v>0</v>
      </c>
      <c r="M14" s="46" t="s">
        <v>476</v>
      </c>
      <c r="N14" s="14" t="s">
        <v>346</v>
      </c>
    </row>
    <row r="16" spans="2:13" ht="15.75">
      <c r="B16" s="164" t="s">
        <v>143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</row>
    <row r="17" spans="1:14" ht="12.75">
      <c r="A17" s="37">
        <v>1</v>
      </c>
      <c r="B17" s="13" t="s">
        <v>144</v>
      </c>
      <c r="C17" s="13" t="s">
        <v>145</v>
      </c>
      <c r="D17" s="68">
        <v>59.9</v>
      </c>
      <c r="E17" s="13" t="str">
        <f>"0,9889"</f>
        <v>0,9889</v>
      </c>
      <c r="F17" s="13" t="s">
        <v>146</v>
      </c>
      <c r="G17" s="13" t="s">
        <v>28</v>
      </c>
      <c r="H17" s="41" t="s">
        <v>148</v>
      </c>
      <c r="I17" s="127" t="s">
        <v>148</v>
      </c>
      <c r="J17" s="41" t="s">
        <v>149</v>
      </c>
      <c r="K17" s="42"/>
      <c r="L17" s="43" t="s">
        <v>148</v>
      </c>
      <c r="M17" s="43" t="str">
        <f>"59,3340"</f>
        <v>59,3340</v>
      </c>
      <c r="N17" s="13" t="s">
        <v>345</v>
      </c>
    </row>
    <row r="18" spans="1:14" ht="12.75">
      <c r="A18" s="37">
        <v>1</v>
      </c>
      <c r="B18" s="23" t="s">
        <v>144</v>
      </c>
      <c r="C18" s="23" t="s">
        <v>150</v>
      </c>
      <c r="D18" s="69">
        <v>59.9</v>
      </c>
      <c r="E18" s="23" t="str">
        <f>"0,9889"</f>
        <v>0,9889</v>
      </c>
      <c r="F18" s="23" t="s">
        <v>146</v>
      </c>
      <c r="G18" s="23" t="s">
        <v>28</v>
      </c>
      <c r="H18" s="55" t="s">
        <v>148</v>
      </c>
      <c r="I18" s="128" t="s">
        <v>148</v>
      </c>
      <c r="J18" s="55" t="s">
        <v>149</v>
      </c>
      <c r="K18" s="54"/>
      <c r="L18" s="56" t="s">
        <v>148</v>
      </c>
      <c r="M18" s="56" t="str">
        <f>"59,9273"</f>
        <v>59,9273</v>
      </c>
      <c r="N18" s="23" t="s">
        <v>345</v>
      </c>
    </row>
    <row r="19" spans="1:14" ht="12.75">
      <c r="A19" s="37">
        <v>2</v>
      </c>
      <c r="B19" s="14" t="s">
        <v>226</v>
      </c>
      <c r="C19" s="14" t="s">
        <v>227</v>
      </c>
      <c r="D19" s="70">
        <v>59.1</v>
      </c>
      <c r="E19" s="14" t="str">
        <f>"0,9997"</f>
        <v>0,9997</v>
      </c>
      <c r="F19" s="14" t="s">
        <v>37</v>
      </c>
      <c r="G19" s="14" t="s">
        <v>28</v>
      </c>
      <c r="H19" s="129" t="s">
        <v>157</v>
      </c>
      <c r="I19" s="129" t="s">
        <v>147</v>
      </c>
      <c r="J19" s="44" t="s">
        <v>228</v>
      </c>
      <c r="K19" s="45"/>
      <c r="L19" s="46" t="s">
        <v>147</v>
      </c>
      <c r="M19" s="46" t="str">
        <f>"54,9835"</f>
        <v>54,9835</v>
      </c>
      <c r="N19" s="14" t="s">
        <v>346</v>
      </c>
    </row>
    <row r="21" spans="2:13" ht="15.75">
      <c r="B21" s="164" t="s">
        <v>162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</row>
    <row r="22" spans="1:14" ht="12.75">
      <c r="A22" s="37">
        <v>1</v>
      </c>
      <c r="B22" s="12" t="s">
        <v>229</v>
      </c>
      <c r="C22" s="12" t="s">
        <v>230</v>
      </c>
      <c r="D22" s="65">
        <v>54.6</v>
      </c>
      <c r="E22" s="12" t="str">
        <f>"0,9166"</f>
        <v>0,9166</v>
      </c>
      <c r="F22" s="12" t="s">
        <v>472</v>
      </c>
      <c r="G22" s="12" t="s">
        <v>111</v>
      </c>
      <c r="H22" s="126" t="s">
        <v>231</v>
      </c>
      <c r="I22" s="39" t="s">
        <v>60</v>
      </c>
      <c r="J22" s="39" t="s">
        <v>232</v>
      </c>
      <c r="K22" s="38"/>
      <c r="L22" s="40">
        <v>82.5</v>
      </c>
      <c r="M22" s="40" t="str">
        <f>"75,6195"</f>
        <v>75,6195</v>
      </c>
      <c r="N22" s="12" t="s">
        <v>345</v>
      </c>
    </row>
    <row r="24" spans="2:13" ht="15.75">
      <c r="B24" s="164" t="s">
        <v>56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</row>
    <row r="25" spans="1:14" ht="12.75">
      <c r="A25" s="37">
        <v>1</v>
      </c>
      <c r="B25" s="12" t="s">
        <v>233</v>
      </c>
      <c r="C25" s="12" t="s">
        <v>234</v>
      </c>
      <c r="D25" s="65">
        <v>66</v>
      </c>
      <c r="E25" s="12" t="str">
        <f>"0,7630"</f>
        <v>0,7630</v>
      </c>
      <c r="F25" s="12" t="s">
        <v>472</v>
      </c>
      <c r="G25" s="12" t="s">
        <v>358</v>
      </c>
      <c r="H25" s="126" t="s">
        <v>18</v>
      </c>
      <c r="I25" s="39" t="s">
        <v>235</v>
      </c>
      <c r="J25" s="60" t="s">
        <v>235</v>
      </c>
      <c r="K25" s="38"/>
      <c r="L25" s="40">
        <v>107.5</v>
      </c>
      <c r="M25" s="40" t="str">
        <f>"82,0225"</f>
        <v>82,0225</v>
      </c>
      <c r="N25" s="12" t="s">
        <v>345</v>
      </c>
    </row>
    <row r="27" spans="2:13" ht="15.75">
      <c r="B27" s="164" t="s">
        <v>10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1:14" ht="12.75">
      <c r="A28" s="37">
        <v>1</v>
      </c>
      <c r="B28" s="13" t="s">
        <v>236</v>
      </c>
      <c r="C28" s="13" t="s">
        <v>237</v>
      </c>
      <c r="D28" s="68">
        <v>73.5</v>
      </c>
      <c r="E28" s="13" t="str">
        <f>"0,6990"</f>
        <v>0,6990</v>
      </c>
      <c r="F28" s="13" t="s">
        <v>472</v>
      </c>
      <c r="G28" s="13" t="s">
        <v>28</v>
      </c>
      <c r="H28" s="127" t="s">
        <v>101</v>
      </c>
      <c r="I28" s="127" t="s">
        <v>238</v>
      </c>
      <c r="J28" s="127" t="s">
        <v>231</v>
      </c>
      <c r="K28" s="42"/>
      <c r="L28" s="43">
        <v>82.5</v>
      </c>
      <c r="M28" s="43" t="str">
        <f>"57,6675"</f>
        <v>57,6675</v>
      </c>
      <c r="N28" s="13" t="s">
        <v>345</v>
      </c>
    </row>
    <row r="29" spans="1:14" ht="12.75">
      <c r="A29" s="37">
        <v>1</v>
      </c>
      <c r="B29" s="23" t="s">
        <v>239</v>
      </c>
      <c r="C29" s="23" t="s">
        <v>240</v>
      </c>
      <c r="D29" s="69">
        <v>73.7</v>
      </c>
      <c r="E29" s="23" t="str">
        <f>"0,6975"</f>
        <v>0,6975</v>
      </c>
      <c r="F29" s="23" t="s">
        <v>472</v>
      </c>
      <c r="G29" s="23" t="s">
        <v>241</v>
      </c>
      <c r="H29" s="128" t="s">
        <v>242</v>
      </c>
      <c r="I29" s="128" t="s">
        <v>235</v>
      </c>
      <c r="J29" s="55" t="s">
        <v>19</v>
      </c>
      <c r="K29" s="54"/>
      <c r="L29" s="56">
        <v>107.5</v>
      </c>
      <c r="M29" s="56" t="str">
        <f>"74,9866"</f>
        <v>74,9866</v>
      </c>
      <c r="N29" s="23" t="s">
        <v>345</v>
      </c>
    </row>
    <row r="30" spans="1:14" ht="12.75">
      <c r="A30" s="37">
        <v>1</v>
      </c>
      <c r="B30" s="23" t="s">
        <v>243</v>
      </c>
      <c r="C30" s="23" t="s">
        <v>244</v>
      </c>
      <c r="D30" s="69">
        <v>72</v>
      </c>
      <c r="E30" s="23" t="str">
        <f>"0,7102"</f>
        <v>0,7102</v>
      </c>
      <c r="F30" s="23" t="s">
        <v>472</v>
      </c>
      <c r="G30" s="23" t="s">
        <v>28</v>
      </c>
      <c r="H30" s="128" t="s">
        <v>232</v>
      </c>
      <c r="I30" s="128" t="s">
        <v>18</v>
      </c>
      <c r="J30" s="55" t="s">
        <v>61</v>
      </c>
      <c r="K30" s="54"/>
      <c r="L30" s="56" t="s">
        <v>18</v>
      </c>
      <c r="M30" s="56" t="str">
        <f>"71,0200"</f>
        <v>71,0200</v>
      </c>
      <c r="N30" s="23" t="s">
        <v>345</v>
      </c>
    </row>
    <row r="31" spans="1:14" ht="12.75">
      <c r="A31" s="37">
        <v>1</v>
      </c>
      <c r="B31" s="23" t="s">
        <v>245</v>
      </c>
      <c r="C31" s="23" t="s">
        <v>246</v>
      </c>
      <c r="D31" s="69">
        <v>74.1</v>
      </c>
      <c r="E31" s="23" t="str">
        <f>"0,6947"</f>
        <v>0,6947</v>
      </c>
      <c r="F31" s="23" t="s">
        <v>140</v>
      </c>
      <c r="G31" s="23" t="s">
        <v>28</v>
      </c>
      <c r="H31" s="128" t="s">
        <v>19</v>
      </c>
      <c r="I31" s="128" t="s">
        <v>65</v>
      </c>
      <c r="J31" s="128" t="s">
        <v>76</v>
      </c>
      <c r="K31" s="54"/>
      <c r="L31" s="56" t="s">
        <v>76</v>
      </c>
      <c r="M31" s="56" t="str">
        <f>"86,8375"</f>
        <v>86,8375</v>
      </c>
      <c r="N31" s="23" t="s">
        <v>345</v>
      </c>
    </row>
    <row r="32" spans="1:14" ht="12.75">
      <c r="A32" s="37">
        <v>2</v>
      </c>
      <c r="B32" s="23" t="s">
        <v>247</v>
      </c>
      <c r="C32" s="23" t="s">
        <v>248</v>
      </c>
      <c r="D32" s="69">
        <v>74.6</v>
      </c>
      <c r="E32" s="23" t="str">
        <f>"0,6913"</f>
        <v>0,6913</v>
      </c>
      <c r="F32" s="23" t="s">
        <v>140</v>
      </c>
      <c r="G32" s="23" t="s">
        <v>28</v>
      </c>
      <c r="H32" s="128" t="s">
        <v>19</v>
      </c>
      <c r="I32" s="55" t="s">
        <v>65</v>
      </c>
      <c r="J32" s="55" t="s">
        <v>65</v>
      </c>
      <c r="K32" s="54"/>
      <c r="L32" s="56" t="s">
        <v>19</v>
      </c>
      <c r="M32" s="56" t="str">
        <f>"76,0375"</f>
        <v>76,0375</v>
      </c>
      <c r="N32" s="23" t="s">
        <v>345</v>
      </c>
    </row>
    <row r="33" spans="1:14" ht="12.75">
      <c r="A33" s="37">
        <v>1</v>
      </c>
      <c r="B33" s="23" t="s">
        <v>249</v>
      </c>
      <c r="C33" s="23" t="s">
        <v>250</v>
      </c>
      <c r="D33" s="69">
        <v>73.2</v>
      </c>
      <c r="E33" s="23" t="str">
        <f>"0,7012"</f>
        <v>0,7012</v>
      </c>
      <c r="F33" s="23" t="s">
        <v>146</v>
      </c>
      <c r="G33" s="23" t="s">
        <v>154</v>
      </c>
      <c r="H33" s="128" t="s">
        <v>19</v>
      </c>
      <c r="I33" s="128" t="s">
        <v>75</v>
      </c>
      <c r="J33" s="55" t="s">
        <v>76</v>
      </c>
      <c r="K33" s="54"/>
      <c r="L33" s="56" t="s">
        <v>75</v>
      </c>
      <c r="M33" s="56" t="str">
        <f>"84,1380"</f>
        <v>84,1380</v>
      </c>
      <c r="N33" s="23" t="s">
        <v>352</v>
      </c>
    </row>
    <row r="34" spans="1:14" ht="12.75">
      <c r="A34" s="37">
        <v>2</v>
      </c>
      <c r="B34" s="23" t="s">
        <v>251</v>
      </c>
      <c r="C34" s="23" t="s">
        <v>252</v>
      </c>
      <c r="D34" s="69">
        <v>73.6</v>
      </c>
      <c r="E34" s="23" t="str">
        <f>"0,6983"</f>
        <v>0,6983</v>
      </c>
      <c r="F34" s="23" t="s">
        <v>472</v>
      </c>
      <c r="G34" s="23" t="s">
        <v>241</v>
      </c>
      <c r="H34" s="128" t="s">
        <v>75</v>
      </c>
      <c r="I34" s="55" t="s">
        <v>43</v>
      </c>
      <c r="J34" s="55" t="s">
        <v>43</v>
      </c>
      <c r="K34" s="54"/>
      <c r="L34" s="56" t="s">
        <v>75</v>
      </c>
      <c r="M34" s="56" t="str">
        <f>"83,7960"</f>
        <v>83,7960</v>
      </c>
      <c r="N34" s="23" t="s">
        <v>345</v>
      </c>
    </row>
    <row r="35" spans="1:14" ht="12.75">
      <c r="A35" s="37">
        <v>3</v>
      </c>
      <c r="B35" s="14" t="s">
        <v>253</v>
      </c>
      <c r="C35" s="14" t="s">
        <v>254</v>
      </c>
      <c r="D35" s="70">
        <v>74.5</v>
      </c>
      <c r="E35" s="14" t="str">
        <f>"0,6920"</f>
        <v>0,6920</v>
      </c>
      <c r="F35" s="14" t="s">
        <v>472</v>
      </c>
      <c r="G35" s="14" t="s">
        <v>28</v>
      </c>
      <c r="H35" s="44" t="s">
        <v>18</v>
      </c>
      <c r="I35" s="129" t="s">
        <v>18</v>
      </c>
      <c r="J35" s="44" t="s">
        <v>65</v>
      </c>
      <c r="K35" s="45"/>
      <c r="L35" s="46" t="s">
        <v>18</v>
      </c>
      <c r="M35" s="46" t="str">
        <f>"69,1950"</f>
        <v>69,1950</v>
      </c>
      <c r="N35" s="14" t="s">
        <v>345</v>
      </c>
    </row>
    <row r="37" spans="2:13" ht="15.75">
      <c r="B37" s="164" t="s">
        <v>98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</row>
    <row r="38" spans="1:14" ht="12.75">
      <c r="A38" s="37">
        <v>1</v>
      </c>
      <c r="B38" s="13" t="s">
        <v>255</v>
      </c>
      <c r="C38" s="13" t="s">
        <v>256</v>
      </c>
      <c r="D38" s="68">
        <v>81.8</v>
      </c>
      <c r="E38" s="13" t="str">
        <f>"0,6482"</f>
        <v>0,6482</v>
      </c>
      <c r="F38" s="13" t="s">
        <v>472</v>
      </c>
      <c r="G38" s="13" t="s">
        <v>257</v>
      </c>
      <c r="H38" s="127" t="s">
        <v>30</v>
      </c>
      <c r="I38" s="41" t="s">
        <v>31</v>
      </c>
      <c r="J38" s="41" t="s">
        <v>31</v>
      </c>
      <c r="K38" s="42"/>
      <c r="L38" s="43" t="s">
        <v>30</v>
      </c>
      <c r="M38" s="43" t="str">
        <f>"93,9890"</f>
        <v>93,9890</v>
      </c>
      <c r="N38" s="13" t="s">
        <v>345</v>
      </c>
    </row>
    <row r="39" spans="1:14" ht="12.75">
      <c r="A39" s="37">
        <v>1</v>
      </c>
      <c r="B39" s="23" t="s">
        <v>175</v>
      </c>
      <c r="C39" s="23" t="s">
        <v>176</v>
      </c>
      <c r="D39" s="69">
        <v>79.1</v>
      </c>
      <c r="E39" s="23" t="str">
        <f>"0,6629"</f>
        <v>0,6629</v>
      </c>
      <c r="F39" s="23" t="s">
        <v>472</v>
      </c>
      <c r="G39" s="23" t="s">
        <v>28</v>
      </c>
      <c r="H39" s="128" t="s">
        <v>42</v>
      </c>
      <c r="I39" s="55" t="s">
        <v>30</v>
      </c>
      <c r="J39" s="55" t="s">
        <v>30</v>
      </c>
      <c r="K39" s="54"/>
      <c r="L39" s="56">
        <v>127.5</v>
      </c>
      <c r="M39" s="56" t="str">
        <f>"84,5197"</f>
        <v>84,5197</v>
      </c>
      <c r="N39" s="23" t="s">
        <v>345</v>
      </c>
    </row>
    <row r="40" spans="1:14" ht="12.75">
      <c r="A40" s="37">
        <v>1</v>
      </c>
      <c r="B40" s="23" t="s">
        <v>258</v>
      </c>
      <c r="C40" s="23" t="s">
        <v>259</v>
      </c>
      <c r="D40" s="69">
        <v>82</v>
      </c>
      <c r="E40" s="23" t="str">
        <f>"0,6471"</f>
        <v>0,6471</v>
      </c>
      <c r="F40" s="23" t="s">
        <v>472</v>
      </c>
      <c r="G40" s="23" t="s">
        <v>28</v>
      </c>
      <c r="H40" s="128" t="s">
        <v>42</v>
      </c>
      <c r="I40" s="128" t="s">
        <v>137</v>
      </c>
      <c r="J40" s="55" t="s">
        <v>30</v>
      </c>
      <c r="K40" s="54"/>
      <c r="L40" s="56">
        <v>137.5</v>
      </c>
      <c r="M40" s="56" t="str">
        <f>"88,9831"</f>
        <v>88,9831</v>
      </c>
      <c r="N40" s="23" t="s">
        <v>345</v>
      </c>
    </row>
    <row r="41" spans="1:14" ht="12.75">
      <c r="A41" s="37">
        <v>2</v>
      </c>
      <c r="B41" s="23" t="s">
        <v>260</v>
      </c>
      <c r="C41" s="23" t="s">
        <v>261</v>
      </c>
      <c r="D41" s="69">
        <v>82.1</v>
      </c>
      <c r="E41" s="23" t="str">
        <f>"0,6467"</f>
        <v>0,6467</v>
      </c>
      <c r="F41" s="23" t="s">
        <v>472</v>
      </c>
      <c r="G41" s="23" t="s">
        <v>28</v>
      </c>
      <c r="H41" s="128" t="s">
        <v>42</v>
      </c>
      <c r="I41" s="128" t="s">
        <v>262</v>
      </c>
      <c r="J41" s="55" t="s">
        <v>59</v>
      </c>
      <c r="K41" s="54"/>
      <c r="L41" s="56">
        <v>132.5</v>
      </c>
      <c r="M41" s="56" t="str">
        <f>"85,6811"</f>
        <v>85,6811</v>
      </c>
      <c r="N41" s="23" t="s">
        <v>353</v>
      </c>
    </row>
    <row r="42" spans="2:14" ht="12.75">
      <c r="B42" s="23" t="s">
        <v>263</v>
      </c>
      <c r="C42" s="23" t="s">
        <v>264</v>
      </c>
      <c r="D42" s="69">
        <v>80.5</v>
      </c>
      <c r="E42" s="23" t="str">
        <f>"0,6550"</f>
        <v>0,6550</v>
      </c>
      <c r="F42" s="23" t="s">
        <v>472</v>
      </c>
      <c r="G42" s="23" t="s">
        <v>28</v>
      </c>
      <c r="H42" s="55" t="s">
        <v>42</v>
      </c>
      <c r="I42" s="55" t="s">
        <v>42</v>
      </c>
      <c r="J42" s="55" t="s">
        <v>42</v>
      </c>
      <c r="K42" s="54"/>
      <c r="L42" s="56">
        <v>0</v>
      </c>
      <c r="M42" s="56" t="s">
        <v>476</v>
      </c>
      <c r="N42" s="23" t="s">
        <v>345</v>
      </c>
    </row>
    <row r="43" spans="2:14" ht="12.75">
      <c r="B43" s="14" t="s">
        <v>265</v>
      </c>
      <c r="C43" s="14" t="s">
        <v>266</v>
      </c>
      <c r="D43" s="70">
        <v>78.5</v>
      </c>
      <c r="E43" s="14" t="str">
        <f>"0,6664"</f>
        <v>0,6664</v>
      </c>
      <c r="F43" s="14" t="s">
        <v>27</v>
      </c>
      <c r="G43" s="14" t="s">
        <v>28</v>
      </c>
      <c r="H43" s="44" t="s">
        <v>20</v>
      </c>
      <c r="I43" s="45"/>
      <c r="J43" s="45"/>
      <c r="K43" s="45"/>
      <c r="L43" s="46">
        <v>0</v>
      </c>
      <c r="M43" s="46" t="s">
        <v>476</v>
      </c>
      <c r="N43" s="14" t="s">
        <v>345</v>
      </c>
    </row>
    <row r="45" spans="2:13" ht="15.75">
      <c r="B45" s="164" t="s">
        <v>24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</row>
    <row r="46" spans="1:14" ht="12.75">
      <c r="A46" s="37">
        <v>1</v>
      </c>
      <c r="B46" s="13" t="s">
        <v>267</v>
      </c>
      <c r="C46" s="13" t="s">
        <v>268</v>
      </c>
      <c r="D46" s="68">
        <v>88.5</v>
      </c>
      <c r="E46" s="13" t="str">
        <f>"0,6177"</f>
        <v>0,6177</v>
      </c>
      <c r="F46" s="13" t="s">
        <v>140</v>
      </c>
      <c r="G46" s="13" t="s">
        <v>28</v>
      </c>
      <c r="H46" s="127" t="s">
        <v>30</v>
      </c>
      <c r="I46" s="127" t="s">
        <v>186</v>
      </c>
      <c r="J46" s="127" t="s">
        <v>31</v>
      </c>
      <c r="K46" s="42"/>
      <c r="L46" s="43" t="s">
        <v>31</v>
      </c>
      <c r="M46" s="43" t="str">
        <f>"95,7435"</f>
        <v>95,7435</v>
      </c>
      <c r="N46" s="13" t="s">
        <v>345</v>
      </c>
    </row>
    <row r="47" spans="1:14" ht="12.75">
      <c r="A47" s="37">
        <v>2</v>
      </c>
      <c r="B47" s="23" t="s">
        <v>269</v>
      </c>
      <c r="C47" s="23" t="s">
        <v>270</v>
      </c>
      <c r="D47" s="69">
        <v>86.5</v>
      </c>
      <c r="E47" s="23" t="str">
        <f>"0,6259"</f>
        <v>0,6259</v>
      </c>
      <c r="F47" s="23" t="s">
        <v>472</v>
      </c>
      <c r="G47" s="23" t="s">
        <v>28</v>
      </c>
      <c r="H47" s="55" t="s">
        <v>186</v>
      </c>
      <c r="I47" s="55" t="s">
        <v>186</v>
      </c>
      <c r="J47" s="128" t="s">
        <v>186</v>
      </c>
      <c r="K47" s="54"/>
      <c r="L47" s="56">
        <v>152.5</v>
      </c>
      <c r="M47" s="56" t="str">
        <f>"95,4574"</f>
        <v>95,4574</v>
      </c>
      <c r="N47" s="23" t="s">
        <v>345</v>
      </c>
    </row>
    <row r="48" spans="1:14" ht="12.75">
      <c r="A48" s="37">
        <v>3</v>
      </c>
      <c r="B48" s="23" t="s">
        <v>271</v>
      </c>
      <c r="C48" s="23" t="s">
        <v>272</v>
      </c>
      <c r="D48" s="69">
        <v>85.6</v>
      </c>
      <c r="E48" s="23" t="str">
        <f>"0,6299"</f>
        <v>0,6299</v>
      </c>
      <c r="F48" s="23" t="s">
        <v>472</v>
      </c>
      <c r="G48" s="23" t="s">
        <v>273</v>
      </c>
      <c r="H48" s="128" t="s">
        <v>30</v>
      </c>
      <c r="I48" s="55" t="s">
        <v>186</v>
      </c>
      <c r="J48" s="55" t="s">
        <v>186</v>
      </c>
      <c r="K48" s="54"/>
      <c r="L48" s="56" t="s">
        <v>30</v>
      </c>
      <c r="M48" s="56" t="str">
        <f>"91,3355"</f>
        <v>91,3355</v>
      </c>
      <c r="N48" s="23" t="s">
        <v>354</v>
      </c>
    </row>
    <row r="49" spans="1:14" ht="12.75">
      <c r="A49" s="37">
        <v>4</v>
      </c>
      <c r="B49" s="14" t="s">
        <v>274</v>
      </c>
      <c r="C49" s="14" t="s">
        <v>275</v>
      </c>
      <c r="D49" s="70">
        <v>83</v>
      </c>
      <c r="E49" s="14" t="str">
        <f>"0,6421"</f>
        <v>0,6421</v>
      </c>
      <c r="F49" s="14" t="s">
        <v>140</v>
      </c>
      <c r="G49" s="14" t="s">
        <v>28</v>
      </c>
      <c r="H49" s="44" t="s">
        <v>19</v>
      </c>
      <c r="I49" s="129" t="s">
        <v>19</v>
      </c>
      <c r="J49" s="44" t="s">
        <v>75</v>
      </c>
      <c r="K49" s="45"/>
      <c r="L49" s="46" t="s">
        <v>19</v>
      </c>
      <c r="M49" s="46" t="str">
        <f>"70,6310"</f>
        <v>70,6310</v>
      </c>
      <c r="N49" s="14" t="s">
        <v>345</v>
      </c>
    </row>
    <row r="50" spans="8:13" ht="12.75">
      <c r="H50" s="61"/>
      <c r="I50" s="61"/>
      <c r="J50" s="61"/>
      <c r="K50" s="61"/>
      <c r="L50" s="61"/>
      <c r="M50" s="61"/>
    </row>
    <row r="51" spans="2:13" ht="15.75">
      <c r="B51" s="164" t="s">
        <v>34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</row>
    <row r="52" spans="1:14" ht="12.75">
      <c r="A52" s="37">
        <v>1</v>
      </c>
      <c r="B52" s="13" t="s">
        <v>276</v>
      </c>
      <c r="C52" s="13" t="s">
        <v>277</v>
      </c>
      <c r="D52" s="68">
        <v>96.9</v>
      </c>
      <c r="E52" s="13" t="str">
        <f>"0,5894"</f>
        <v>0,5894</v>
      </c>
      <c r="F52" s="13" t="s">
        <v>37</v>
      </c>
      <c r="G52" s="13" t="s">
        <v>28</v>
      </c>
      <c r="H52" s="127" t="s">
        <v>31</v>
      </c>
      <c r="I52" s="127" t="s">
        <v>278</v>
      </c>
      <c r="J52" s="41" t="s">
        <v>17</v>
      </c>
      <c r="K52" s="42"/>
      <c r="L52" s="43">
        <v>162.5</v>
      </c>
      <c r="M52" s="43" t="str">
        <f>"95,7775"</f>
        <v>95,7775</v>
      </c>
      <c r="N52" s="13" t="s">
        <v>346</v>
      </c>
    </row>
    <row r="53" spans="1:14" ht="12.75">
      <c r="A53" s="37">
        <v>2</v>
      </c>
      <c r="B53" s="23" t="s">
        <v>279</v>
      </c>
      <c r="C53" s="23" t="s">
        <v>280</v>
      </c>
      <c r="D53" s="69">
        <v>99.5</v>
      </c>
      <c r="E53" s="23" t="str">
        <f>"0,5825"</f>
        <v>0,5825</v>
      </c>
      <c r="F53" s="23" t="s">
        <v>37</v>
      </c>
      <c r="G53" s="23" t="s">
        <v>28</v>
      </c>
      <c r="H53" s="128" t="s">
        <v>15</v>
      </c>
      <c r="I53" s="128" t="s">
        <v>31</v>
      </c>
      <c r="J53" s="55" t="s">
        <v>278</v>
      </c>
      <c r="K53" s="54"/>
      <c r="L53" s="56" t="s">
        <v>31</v>
      </c>
      <c r="M53" s="56" t="str">
        <f>"90,2952"</f>
        <v>90,2952</v>
      </c>
      <c r="N53" s="23" t="s">
        <v>345</v>
      </c>
    </row>
    <row r="54" spans="1:14" ht="12.75">
      <c r="A54" s="37">
        <v>3</v>
      </c>
      <c r="B54" s="23" t="s">
        <v>281</v>
      </c>
      <c r="C54" s="23" t="s">
        <v>282</v>
      </c>
      <c r="D54" s="69">
        <v>99.2</v>
      </c>
      <c r="E54" s="23" t="str">
        <f>"0,5833"</f>
        <v>0,5833</v>
      </c>
      <c r="F54" s="23" t="s">
        <v>472</v>
      </c>
      <c r="G54" s="23" t="s">
        <v>28</v>
      </c>
      <c r="H54" s="128" t="s">
        <v>59</v>
      </c>
      <c r="I54" s="128" t="s">
        <v>15</v>
      </c>
      <c r="J54" s="128" t="s">
        <v>186</v>
      </c>
      <c r="K54" s="54"/>
      <c r="L54" s="56">
        <v>152.5</v>
      </c>
      <c r="M54" s="56" t="str">
        <f>"88,9532"</f>
        <v>88,9532</v>
      </c>
      <c r="N54" s="23" t="s">
        <v>345</v>
      </c>
    </row>
    <row r="55" spans="1:14" ht="12.75">
      <c r="A55" s="37">
        <v>4</v>
      </c>
      <c r="B55" s="14" t="s">
        <v>283</v>
      </c>
      <c r="C55" s="14" t="s">
        <v>284</v>
      </c>
      <c r="D55" s="70">
        <v>95.3</v>
      </c>
      <c r="E55" s="14" t="str">
        <f>"0,5940"</f>
        <v>0,5940</v>
      </c>
      <c r="F55" s="14" t="s">
        <v>472</v>
      </c>
      <c r="G55" s="14" t="s">
        <v>28</v>
      </c>
      <c r="H55" s="131" t="s">
        <v>59</v>
      </c>
      <c r="I55" s="129" t="s">
        <v>59</v>
      </c>
      <c r="J55" s="129" t="s">
        <v>15</v>
      </c>
      <c r="K55" s="45"/>
      <c r="L55" s="46" t="s">
        <v>15</v>
      </c>
      <c r="M55" s="46" t="str">
        <f>"89,1000"</f>
        <v>89,1000</v>
      </c>
      <c r="N55" s="14" t="s">
        <v>355</v>
      </c>
    </row>
    <row r="57" spans="2:13" ht="15.75">
      <c r="B57" s="164" t="s">
        <v>285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</row>
    <row r="58" spans="1:14" ht="12.75">
      <c r="A58" s="37">
        <v>1</v>
      </c>
      <c r="B58" s="13" t="s">
        <v>286</v>
      </c>
      <c r="C58" s="13" t="s">
        <v>287</v>
      </c>
      <c r="D58" s="68">
        <v>106.1</v>
      </c>
      <c r="E58" s="13" t="str">
        <f>"0,5687"</f>
        <v>0,5687</v>
      </c>
      <c r="F58" s="13" t="s">
        <v>27</v>
      </c>
      <c r="G58" s="13" t="s">
        <v>28</v>
      </c>
      <c r="H58" s="127" t="s">
        <v>177</v>
      </c>
      <c r="I58" s="127" t="s">
        <v>30</v>
      </c>
      <c r="J58" s="127" t="s">
        <v>15</v>
      </c>
      <c r="K58" s="42"/>
      <c r="L58" s="43" t="s">
        <v>15</v>
      </c>
      <c r="M58" s="43" t="str">
        <f>"85,2975"</f>
        <v>85,2975</v>
      </c>
      <c r="N58" s="13" t="s">
        <v>356</v>
      </c>
    </row>
    <row r="59" spans="1:14" ht="12.75">
      <c r="A59" s="37">
        <v>1</v>
      </c>
      <c r="B59" s="23" t="s">
        <v>288</v>
      </c>
      <c r="C59" s="23" t="s">
        <v>289</v>
      </c>
      <c r="D59" s="69">
        <v>103.2</v>
      </c>
      <c r="E59" s="23" t="str">
        <f>"0,5742"</f>
        <v>0,5742</v>
      </c>
      <c r="F59" s="23" t="s">
        <v>37</v>
      </c>
      <c r="G59" s="23" t="s">
        <v>28</v>
      </c>
      <c r="H59" s="128" t="s">
        <v>15</v>
      </c>
      <c r="I59" s="55" t="s">
        <v>31</v>
      </c>
      <c r="J59" s="55" t="s">
        <v>31</v>
      </c>
      <c r="K59" s="54"/>
      <c r="L59" s="56" t="s">
        <v>15</v>
      </c>
      <c r="M59" s="56" t="str">
        <f>"86,1300"</f>
        <v>86,1300</v>
      </c>
      <c r="N59" s="23" t="s">
        <v>346</v>
      </c>
    </row>
    <row r="60" spans="1:14" ht="12.75">
      <c r="A60" s="37">
        <v>1</v>
      </c>
      <c r="B60" s="14" t="s">
        <v>290</v>
      </c>
      <c r="C60" s="14" t="s">
        <v>291</v>
      </c>
      <c r="D60" s="70">
        <v>102.3</v>
      </c>
      <c r="E60" s="14" t="str">
        <f>"0,5760"</f>
        <v>0,5760</v>
      </c>
      <c r="F60" s="14" t="s">
        <v>146</v>
      </c>
      <c r="G60" s="14" t="s">
        <v>154</v>
      </c>
      <c r="H60" s="129" t="s">
        <v>76</v>
      </c>
      <c r="I60" s="44" t="s">
        <v>43</v>
      </c>
      <c r="J60" s="129" t="s">
        <v>43</v>
      </c>
      <c r="K60" s="45"/>
      <c r="L60" s="46" t="s">
        <v>43</v>
      </c>
      <c r="M60" s="46" t="str">
        <f>"100,3479"</f>
        <v>100,3479</v>
      </c>
      <c r="N60" s="14" t="s">
        <v>357</v>
      </c>
    </row>
    <row r="62" spans="2:13" ht="15.75">
      <c r="B62" s="164" t="s">
        <v>80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</row>
    <row r="63" spans="1:14" ht="12.75">
      <c r="A63" s="37">
        <v>1</v>
      </c>
      <c r="B63" s="13" t="s">
        <v>198</v>
      </c>
      <c r="C63" s="13" t="s">
        <v>199</v>
      </c>
      <c r="D63" s="68">
        <v>123.9</v>
      </c>
      <c r="E63" s="13" t="str">
        <f>"0,5468"</f>
        <v>0,5468</v>
      </c>
      <c r="F63" s="13" t="s">
        <v>27</v>
      </c>
      <c r="G63" s="13" t="s">
        <v>28</v>
      </c>
      <c r="H63" s="127" t="s">
        <v>38</v>
      </c>
      <c r="I63" s="127" t="s">
        <v>39</v>
      </c>
      <c r="J63" s="41" t="s">
        <v>66</v>
      </c>
      <c r="K63" s="42"/>
      <c r="L63" s="43" t="s">
        <v>39</v>
      </c>
      <c r="M63" s="43" t="str">
        <f>"106,6163"</f>
        <v>106,6163</v>
      </c>
      <c r="N63" s="13" t="s">
        <v>356</v>
      </c>
    </row>
    <row r="64" spans="1:14" ht="12.75">
      <c r="A64" s="37">
        <v>2</v>
      </c>
      <c r="B64" s="14" t="s">
        <v>292</v>
      </c>
      <c r="C64" s="14" t="s">
        <v>293</v>
      </c>
      <c r="D64" s="70">
        <v>115.1</v>
      </c>
      <c r="E64" s="14" t="str">
        <f>"0,5561"</f>
        <v>0,5561</v>
      </c>
      <c r="F64" s="14" t="s">
        <v>472</v>
      </c>
      <c r="G64" s="14" t="s">
        <v>28</v>
      </c>
      <c r="H64" s="129" t="s">
        <v>294</v>
      </c>
      <c r="I64" s="129" t="s">
        <v>38</v>
      </c>
      <c r="J64" s="44" t="s">
        <v>21</v>
      </c>
      <c r="K64" s="45"/>
      <c r="L64" s="46" t="s">
        <v>38</v>
      </c>
      <c r="M64" s="46" t="str">
        <f>"102,8785"</f>
        <v>102,8785</v>
      </c>
      <c r="N64" s="14" t="s">
        <v>345</v>
      </c>
    </row>
    <row r="66" spans="2:13" ht="15.75">
      <c r="B66" s="164" t="s">
        <v>202</v>
      </c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</row>
    <row r="67" spans="1:14" ht="12.75">
      <c r="A67" s="37">
        <v>1</v>
      </c>
      <c r="B67" s="12" t="s">
        <v>295</v>
      </c>
      <c r="C67" s="12" t="s">
        <v>296</v>
      </c>
      <c r="D67" s="65">
        <v>129.8</v>
      </c>
      <c r="E67" s="12" t="str">
        <f>"0,5405"</f>
        <v>0,5405</v>
      </c>
      <c r="F67" s="12" t="s">
        <v>472</v>
      </c>
      <c r="G67" s="12" t="s">
        <v>111</v>
      </c>
      <c r="H67" s="39" t="s">
        <v>16</v>
      </c>
      <c r="I67" s="39" t="s">
        <v>16</v>
      </c>
      <c r="J67" s="126" t="s">
        <v>16</v>
      </c>
      <c r="K67" s="38"/>
      <c r="L67" s="40" t="s">
        <v>16</v>
      </c>
      <c r="M67" s="40" t="str">
        <f>"86,4864"</f>
        <v>86,4864</v>
      </c>
      <c r="N67" s="12" t="s">
        <v>345</v>
      </c>
    </row>
    <row r="69" spans="2:3" ht="15.75">
      <c r="B69" s="17" t="s">
        <v>44</v>
      </c>
      <c r="C69" s="17"/>
    </row>
    <row r="70" spans="2:3" ht="13.5">
      <c r="B70" s="19"/>
      <c r="C70" s="20" t="s">
        <v>45</v>
      </c>
    </row>
    <row r="71" spans="2:6" ht="13.5">
      <c r="B71" s="21" t="s">
        <v>46</v>
      </c>
      <c r="C71" s="21" t="s">
        <v>47</v>
      </c>
      <c r="D71" s="67" t="s">
        <v>48</v>
      </c>
      <c r="E71" s="21" t="s">
        <v>49</v>
      </c>
      <c r="F71" s="21" t="s">
        <v>50</v>
      </c>
    </row>
    <row r="72" spans="1:6" ht="12.75">
      <c r="A72" s="37">
        <v>1</v>
      </c>
      <c r="B72" s="18" t="s">
        <v>198</v>
      </c>
      <c r="C72" s="11" t="s">
        <v>45</v>
      </c>
      <c r="D72" s="139" t="s">
        <v>94</v>
      </c>
      <c r="E72" s="22" t="s">
        <v>39</v>
      </c>
      <c r="F72" s="22" t="s">
        <v>298</v>
      </c>
    </row>
    <row r="73" spans="1:6" ht="12.75">
      <c r="A73" s="37">
        <v>2</v>
      </c>
      <c r="B73" s="18" t="s">
        <v>292</v>
      </c>
      <c r="C73" s="11" t="s">
        <v>45</v>
      </c>
      <c r="D73" s="139" t="s">
        <v>94</v>
      </c>
      <c r="E73" s="22" t="s">
        <v>38</v>
      </c>
      <c r="F73" s="22" t="s">
        <v>299</v>
      </c>
    </row>
    <row r="74" spans="1:6" ht="12.75">
      <c r="A74" s="37">
        <v>3</v>
      </c>
      <c r="B74" s="18" t="s">
        <v>276</v>
      </c>
      <c r="C74" s="11" t="s">
        <v>45</v>
      </c>
      <c r="D74" s="139" t="s">
        <v>54</v>
      </c>
      <c r="E74" s="22" t="s">
        <v>278</v>
      </c>
      <c r="F74" s="22" t="s">
        <v>300</v>
      </c>
    </row>
  </sheetData>
  <sheetProtection/>
  <mergeCells count="25"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  <mergeCell ref="B8:M8"/>
    <mergeCell ref="B12:M12"/>
    <mergeCell ref="B51:M51"/>
    <mergeCell ref="B57:M57"/>
    <mergeCell ref="B62:M62"/>
    <mergeCell ref="B66:M66"/>
    <mergeCell ref="B16:M16"/>
    <mergeCell ref="B21:M21"/>
    <mergeCell ref="B24:M24"/>
    <mergeCell ref="B27:M27"/>
    <mergeCell ref="B37:M37"/>
    <mergeCell ref="B45:M4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3" sqref="A3:A4"/>
    </sheetView>
  </sheetViews>
  <sheetFormatPr defaultColWidth="8.75390625" defaultRowHeight="12.75"/>
  <cols>
    <col min="1" max="1" width="8.75390625" style="0" customWidth="1"/>
    <col min="2" max="2" width="26.00390625" style="11" bestFit="1" customWidth="1"/>
    <col min="3" max="3" width="27.25390625" style="11" customWidth="1"/>
    <col min="4" max="4" width="14.125" style="26" customWidth="1"/>
    <col min="5" max="5" width="6.875" style="11" bestFit="1" customWidth="1"/>
    <col min="6" max="6" width="22.75390625" style="11" bestFit="1" customWidth="1"/>
    <col min="7" max="7" width="29.00390625" style="11" bestFit="1" customWidth="1"/>
    <col min="8" max="10" width="5.625" style="11" bestFit="1" customWidth="1"/>
    <col min="11" max="11" width="4.625" style="11" bestFit="1" customWidth="1"/>
    <col min="12" max="12" width="15.75390625" style="11" customWidth="1"/>
    <col min="13" max="13" width="6.625" style="11" bestFit="1" customWidth="1"/>
    <col min="14" max="14" width="22.125" style="11" bestFit="1" customWidth="1"/>
  </cols>
  <sheetData>
    <row r="1" spans="1:14" s="1" customFormat="1" ht="15" customHeight="1">
      <c r="A1" s="36"/>
      <c r="B1" s="154" t="s">
        <v>379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s="1" customFormat="1" ht="106.5" customHeight="1" thickBot="1">
      <c r="A2" s="31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</row>
    <row r="3" spans="1:14" s="2" customFormat="1" ht="12.75" customHeight="1">
      <c r="A3" s="165" t="s">
        <v>368</v>
      </c>
      <c r="B3" s="160" t="s">
        <v>0</v>
      </c>
      <c r="C3" s="162" t="s">
        <v>469</v>
      </c>
      <c r="D3" s="162" t="s">
        <v>470</v>
      </c>
      <c r="E3" s="149" t="s">
        <v>9</v>
      </c>
      <c r="F3" s="149" t="s">
        <v>7</v>
      </c>
      <c r="G3" s="149" t="s">
        <v>471</v>
      </c>
      <c r="H3" s="149" t="s">
        <v>2</v>
      </c>
      <c r="I3" s="149"/>
      <c r="J3" s="149"/>
      <c r="K3" s="149"/>
      <c r="L3" s="149" t="s">
        <v>378</v>
      </c>
      <c r="M3" s="149" t="s">
        <v>6</v>
      </c>
      <c r="N3" s="151" t="s">
        <v>5</v>
      </c>
    </row>
    <row r="4" spans="1:14" s="2" customFormat="1" ht="21" customHeight="1" thickBot="1">
      <c r="A4" s="148"/>
      <c r="B4" s="161"/>
      <c r="C4" s="150"/>
      <c r="D4" s="163"/>
      <c r="E4" s="150"/>
      <c r="F4" s="150"/>
      <c r="G4" s="150"/>
      <c r="H4" s="3">
        <v>1</v>
      </c>
      <c r="I4" s="3">
        <v>2</v>
      </c>
      <c r="J4" s="3">
        <v>3</v>
      </c>
      <c r="K4" s="3" t="s">
        <v>8</v>
      </c>
      <c r="L4" s="150"/>
      <c r="M4" s="150"/>
      <c r="N4" s="152"/>
    </row>
    <row r="5" spans="2:13" ht="15.75">
      <c r="B5" s="153" t="s">
        <v>34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2:14" ht="12.75">
      <c r="B6" s="13" t="s">
        <v>301</v>
      </c>
      <c r="C6" s="13" t="s">
        <v>302</v>
      </c>
      <c r="D6" s="27">
        <v>93.1</v>
      </c>
      <c r="E6" s="13" t="str">
        <f>"0,6010"</f>
        <v>0,6010</v>
      </c>
      <c r="F6" s="13" t="s">
        <v>37</v>
      </c>
      <c r="G6" s="13" t="s">
        <v>28</v>
      </c>
      <c r="H6" s="41" t="s">
        <v>29</v>
      </c>
      <c r="I6" s="41" t="s">
        <v>29</v>
      </c>
      <c r="J6" s="41" t="s">
        <v>29</v>
      </c>
      <c r="K6" s="42"/>
      <c r="L6" s="43">
        <v>0</v>
      </c>
      <c r="M6" s="43" t="s">
        <v>477</v>
      </c>
      <c r="N6" s="13" t="s">
        <v>346</v>
      </c>
    </row>
    <row r="7" spans="2:14" ht="12.75">
      <c r="B7" s="14" t="s">
        <v>303</v>
      </c>
      <c r="C7" s="14" t="s">
        <v>304</v>
      </c>
      <c r="D7" s="28">
        <v>99.5</v>
      </c>
      <c r="E7" s="14" t="str">
        <f>"0,5825"</f>
        <v>0,5825</v>
      </c>
      <c r="F7" s="14" t="s">
        <v>37</v>
      </c>
      <c r="G7" s="14" t="s">
        <v>28</v>
      </c>
      <c r="H7" s="44" t="s">
        <v>40</v>
      </c>
      <c r="I7" s="44" t="s">
        <v>40</v>
      </c>
      <c r="J7" s="44" t="s">
        <v>29</v>
      </c>
      <c r="K7" s="45"/>
      <c r="L7" s="46">
        <v>0</v>
      </c>
      <c r="M7" s="46" t="s">
        <v>476</v>
      </c>
      <c r="N7" s="14" t="s">
        <v>346</v>
      </c>
    </row>
    <row r="9" ht="15.75">
      <c r="F9" s="15"/>
    </row>
    <row r="10" ht="15.75">
      <c r="F10" s="15"/>
    </row>
    <row r="11" ht="15.75">
      <c r="F11" s="15"/>
    </row>
    <row r="12" ht="15.75">
      <c r="F12" s="15"/>
    </row>
    <row r="13" ht="15.75">
      <c r="F13" s="15"/>
    </row>
    <row r="14" ht="15.75">
      <c r="F14" s="15"/>
    </row>
    <row r="15" ht="15.75">
      <c r="F15" s="15"/>
    </row>
    <row r="17" spans="2:3" ht="18">
      <c r="B17" s="16"/>
      <c r="C17" s="16"/>
    </row>
  </sheetData>
  <sheetProtection/>
  <mergeCells count="13">
    <mergeCell ref="F3:F4"/>
    <mergeCell ref="G3:G4"/>
    <mergeCell ref="H3:K3"/>
    <mergeCell ref="A3:A4"/>
    <mergeCell ref="L3:L4"/>
    <mergeCell ref="M3:M4"/>
    <mergeCell ref="N3:N4"/>
    <mergeCell ref="B5:M5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G12" sqref="G12"/>
    </sheetView>
  </sheetViews>
  <sheetFormatPr defaultColWidth="8.75390625" defaultRowHeight="12.75"/>
  <cols>
    <col min="1" max="1" width="9.125" style="72" customWidth="1"/>
    <col min="2" max="2" width="26.00390625" style="11" bestFit="1" customWidth="1"/>
    <col min="3" max="3" width="26.875" style="11" bestFit="1" customWidth="1"/>
    <col min="4" max="4" width="10.625" style="71" bestFit="1" customWidth="1"/>
    <col min="5" max="5" width="8.375" style="11" bestFit="1" customWidth="1"/>
    <col min="6" max="6" width="22.75390625" style="11" bestFit="1" customWidth="1"/>
    <col min="7" max="7" width="29.00390625" style="11" bestFit="1" customWidth="1"/>
    <col min="8" max="8" width="4.75390625" style="11" bestFit="1" customWidth="1"/>
    <col min="9" max="9" width="9.625" style="11" bestFit="1" customWidth="1"/>
    <col min="10" max="10" width="9.00390625" style="71" customWidth="1"/>
    <col min="11" max="11" width="8.625" style="11" bestFit="1" customWidth="1"/>
    <col min="12" max="12" width="10.25390625" style="11" bestFit="1" customWidth="1"/>
  </cols>
  <sheetData>
    <row r="1" spans="1:12" s="1" customFormat="1" ht="15" customHeight="1">
      <c r="A1" s="77"/>
      <c r="B1" s="154" t="s">
        <v>393</v>
      </c>
      <c r="C1" s="155"/>
      <c r="D1" s="155"/>
      <c r="E1" s="155"/>
      <c r="F1" s="155"/>
      <c r="G1" s="155"/>
      <c r="H1" s="155"/>
      <c r="I1" s="155"/>
      <c r="J1" s="155"/>
      <c r="K1" s="155"/>
      <c r="L1" s="156"/>
    </row>
    <row r="2" spans="1:12" s="1" customFormat="1" ht="105.75" customHeight="1" thickBot="1">
      <c r="A2" s="76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1:12" s="2" customFormat="1" ht="12.75" customHeight="1">
      <c r="A3" s="165" t="s">
        <v>368</v>
      </c>
      <c r="B3" s="160" t="s">
        <v>0</v>
      </c>
      <c r="C3" s="162" t="s">
        <v>469</v>
      </c>
      <c r="D3" s="162" t="s">
        <v>470</v>
      </c>
      <c r="E3" s="149" t="s">
        <v>9</v>
      </c>
      <c r="F3" s="149" t="s">
        <v>7</v>
      </c>
      <c r="G3" s="149" t="s">
        <v>471</v>
      </c>
      <c r="H3" s="149" t="s">
        <v>2</v>
      </c>
      <c r="I3" s="149"/>
      <c r="J3" s="168" t="s">
        <v>392</v>
      </c>
      <c r="K3" s="149" t="s">
        <v>6</v>
      </c>
      <c r="L3" s="151" t="s">
        <v>5</v>
      </c>
    </row>
    <row r="4" spans="1:12" s="2" customFormat="1" ht="21" customHeight="1" thickBot="1">
      <c r="A4" s="148"/>
      <c r="B4" s="161"/>
      <c r="C4" s="150"/>
      <c r="D4" s="163"/>
      <c r="E4" s="150"/>
      <c r="F4" s="150"/>
      <c r="G4" s="150"/>
      <c r="H4" s="3" t="s">
        <v>391</v>
      </c>
      <c r="I4" s="3" t="s">
        <v>390</v>
      </c>
      <c r="J4" s="169"/>
      <c r="K4" s="150"/>
      <c r="L4" s="152"/>
    </row>
    <row r="5" spans="2:11" ht="15.75">
      <c r="B5" s="153" t="s">
        <v>143</v>
      </c>
      <c r="C5" s="153"/>
      <c r="D5" s="153"/>
      <c r="E5" s="153"/>
      <c r="F5" s="153"/>
      <c r="G5" s="153"/>
      <c r="H5" s="153"/>
      <c r="I5" s="153"/>
      <c r="J5" s="153"/>
      <c r="K5" s="153"/>
    </row>
    <row r="6" spans="1:12" ht="12.75">
      <c r="A6" s="72">
        <v>1</v>
      </c>
      <c r="B6" s="12" t="s">
        <v>387</v>
      </c>
      <c r="C6" s="12" t="s">
        <v>389</v>
      </c>
      <c r="D6" s="65">
        <v>58.7</v>
      </c>
      <c r="E6" s="12" t="str">
        <f>"1,0051"</f>
        <v>1,0051</v>
      </c>
      <c r="F6" s="12" t="s">
        <v>472</v>
      </c>
      <c r="G6" s="12" t="s">
        <v>28</v>
      </c>
      <c r="H6" s="40" t="s">
        <v>216</v>
      </c>
      <c r="I6" s="75">
        <v>19</v>
      </c>
      <c r="J6" s="74">
        <v>570</v>
      </c>
      <c r="K6" s="40" t="str">
        <f>"578,6361"</f>
        <v>578,6361</v>
      </c>
      <c r="L6" s="12" t="s">
        <v>388</v>
      </c>
    </row>
    <row r="8" ht="15.75">
      <c r="F8" s="15"/>
    </row>
    <row r="9" ht="15.75">
      <c r="F9" s="15"/>
    </row>
    <row r="10" ht="15.75">
      <c r="F10" s="15"/>
    </row>
    <row r="11" ht="15.75">
      <c r="F11" s="15"/>
    </row>
    <row r="12" ht="15.75">
      <c r="F12" s="15"/>
    </row>
    <row r="13" ht="15.75">
      <c r="F13" s="15"/>
    </row>
    <row r="14" ht="15.75">
      <c r="F14" s="15"/>
    </row>
    <row r="16" spans="2:3" ht="18">
      <c r="B16" s="16"/>
      <c r="C16" s="16"/>
    </row>
  </sheetData>
  <sheetProtection/>
  <mergeCells count="13">
    <mergeCell ref="F3:F4"/>
    <mergeCell ref="G3:G4"/>
    <mergeCell ref="H3:I3"/>
    <mergeCell ref="J3:J4"/>
    <mergeCell ref="K3:K4"/>
    <mergeCell ref="A3:A4"/>
    <mergeCell ref="L3:L4"/>
    <mergeCell ref="B5:K5"/>
    <mergeCell ref="B1:L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C28" sqref="C28"/>
    </sheetView>
  </sheetViews>
  <sheetFormatPr defaultColWidth="8.75390625" defaultRowHeight="12.75"/>
  <cols>
    <col min="1" max="1" width="9.125" style="37" customWidth="1"/>
    <col min="2" max="2" width="26.00390625" style="11" bestFit="1" customWidth="1"/>
    <col min="3" max="3" width="26.875" style="11" bestFit="1" customWidth="1"/>
    <col min="4" max="4" width="10.625" style="66" bestFit="1" customWidth="1"/>
    <col min="5" max="5" width="8.375" style="11" bestFit="1" customWidth="1"/>
    <col min="6" max="6" width="22.75390625" style="11" bestFit="1" customWidth="1"/>
    <col min="7" max="7" width="30.625" style="11" customWidth="1"/>
    <col min="8" max="8" width="5.625" style="26" bestFit="1" customWidth="1"/>
    <col min="9" max="9" width="9.625" style="26" bestFit="1" customWidth="1"/>
    <col min="10" max="10" width="9.75390625" style="66" customWidth="1"/>
    <col min="11" max="11" width="9.625" style="26" bestFit="1" customWidth="1"/>
    <col min="12" max="12" width="15.375" style="11" bestFit="1" customWidth="1"/>
  </cols>
  <sheetData>
    <row r="1" spans="1:12" s="1" customFormat="1" ht="15" customHeight="1">
      <c r="A1" s="77"/>
      <c r="B1" s="154" t="s">
        <v>404</v>
      </c>
      <c r="C1" s="155"/>
      <c r="D1" s="155"/>
      <c r="E1" s="155"/>
      <c r="F1" s="155"/>
      <c r="G1" s="155"/>
      <c r="H1" s="155"/>
      <c r="I1" s="155"/>
      <c r="J1" s="155"/>
      <c r="K1" s="155"/>
      <c r="L1" s="156"/>
    </row>
    <row r="2" spans="1:12" s="1" customFormat="1" ht="88.5" customHeight="1" thickBot="1">
      <c r="A2" s="76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1:12" s="2" customFormat="1" ht="12.75" customHeight="1">
      <c r="A3" s="165" t="s">
        <v>368</v>
      </c>
      <c r="B3" s="160" t="s">
        <v>0</v>
      </c>
      <c r="C3" s="162" t="s">
        <v>469</v>
      </c>
      <c r="D3" s="162" t="s">
        <v>470</v>
      </c>
      <c r="E3" s="149" t="s">
        <v>9</v>
      </c>
      <c r="F3" s="149" t="s">
        <v>7</v>
      </c>
      <c r="G3" s="149" t="s">
        <v>471</v>
      </c>
      <c r="H3" s="149" t="s">
        <v>2</v>
      </c>
      <c r="I3" s="149"/>
      <c r="J3" s="168" t="s">
        <v>392</v>
      </c>
      <c r="K3" s="149" t="s">
        <v>6</v>
      </c>
      <c r="L3" s="151" t="s">
        <v>5</v>
      </c>
    </row>
    <row r="4" spans="1:12" s="2" customFormat="1" ht="21" customHeight="1" thickBot="1">
      <c r="A4" s="148"/>
      <c r="B4" s="161"/>
      <c r="C4" s="150"/>
      <c r="D4" s="163"/>
      <c r="E4" s="150"/>
      <c r="F4" s="150"/>
      <c r="G4" s="150"/>
      <c r="H4" s="3" t="s">
        <v>391</v>
      </c>
      <c r="I4" s="3" t="s">
        <v>390</v>
      </c>
      <c r="J4" s="169"/>
      <c r="K4" s="150"/>
      <c r="L4" s="152"/>
    </row>
    <row r="5" spans="2:11" ht="15.75">
      <c r="B5" s="153" t="s">
        <v>10</v>
      </c>
      <c r="C5" s="153"/>
      <c r="D5" s="153"/>
      <c r="E5" s="153"/>
      <c r="F5" s="153"/>
      <c r="G5" s="153"/>
      <c r="H5" s="153"/>
      <c r="I5" s="153"/>
      <c r="J5" s="153"/>
      <c r="K5" s="153"/>
    </row>
    <row r="6" spans="1:12" ht="12.75">
      <c r="A6" s="37">
        <v>1</v>
      </c>
      <c r="B6" s="12" t="s">
        <v>396</v>
      </c>
      <c r="C6" s="12" t="s">
        <v>403</v>
      </c>
      <c r="D6" s="65">
        <v>69</v>
      </c>
      <c r="E6" s="12" t="str">
        <f>"0,8853"</f>
        <v>0,8853</v>
      </c>
      <c r="F6" s="12" t="s">
        <v>27</v>
      </c>
      <c r="G6" s="12" t="s">
        <v>28</v>
      </c>
      <c r="H6" s="40" t="s">
        <v>310</v>
      </c>
      <c r="I6" s="75">
        <v>15</v>
      </c>
      <c r="J6" s="74">
        <v>1050</v>
      </c>
      <c r="K6" s="40" t="str">
        <f>"929,5650"</f>
        <v>929,5650</v>
      </c>
      <c r="L6" s="12" t="s">
        <v>345</v>
      </c>
    </row>
    <row r="8" spans="2:11" ht="15.75">
      <c r="B8" s="164" t="s">
        <v>162</v>
      </c>
      <c r="C8" s="164"/>
      <c r="D8" s="164"/>
      <c r="E8" s="164"/>
      <c r="F8" s="164"/>
      <c r="G8" s="164"/>
      <c r="H8" s="164"/>
      <c r="I8" s="164"/>
      <c r="J8" s="164"/>
      <c r="K8" s="164"/>
    </row>
    <row r="9" spans="1:12" ht="12.75">
      <c r="A9" s="37">
        <v>1</v>
      </c>
      <c r="B9" s="12" t="s">
        <v>163</v>
      </c>
      <c r="C9" s="12" t="s">
        <v>402</v>
      </c>
      <c r="D9" s="65">
        <v>54.9</v>
      </c>
      <c r="E9" s="12" t="str">
        <f>"0,9113"</f>
        <v>0,9113</v>
      </c>
      <c r="F9" s="12" t="s">
        <v>472</v>
      </c>
      <c r="G9" s="12" t="s">
        <v>28</v>
      </c>
      <c r="H9" s="40" t="s">
        <v>147</v>
      </c>
      <c r="I9" s="75">
        <v>44</v>
      </c>
      <c r="J9" s="74">
        <v>2420</v>
      </c>
      <c r="K9" s="40" t="str">
        <f>"2205,3460"</f>
        <v>2205,3460</v>
      </c>
      <c r="L9" s="12" t="s">
        <v>345</v>
      </c>
    </row>
    <row r="11" spans="2:11" ht="15.75">
      <c r="B11" s="164" t="s">
        <v>10</v>
      </c>
      <c r="C11" s="164"/>
      <c r="D11" s="164"/>
      <c r="E11" s="164"/>
      <c r="F11" s="164"/>
      <c r="G11" s="164"/>
      <c r="H11" s="164"/>
      <c r="I11" s="164"/>
      <c r="J11" s="164"/>
      <c r="K11" s="164"/>
    </row>
    <row r="12" spans="1:12" ht="12.75">
      <c r="A12" s="37">
        <v>1</v>
      </c>
      <c r="B12" s="12" t="s">
        <v>245</v>
      </c>
      <c r="C12" s="12" t="s">
        <v>246</v>
      </c>
      <c r="D12" s="65">
        <v>73.8</v>
      </c>
      <c r="E12" s="12" t="str">
        <f>"0,6969"</f>
        <v>0,6969</v>
      </c>
      <c r="F12" s="12" t="s">
        <v>472</v>
      </c>
      <c r="G12" s="12" t="s">
        <v>28</v>
      </c>
      <c r="H12" s="40" t="s">
        <v>101</v>
      </c>
      <c r="I12" s="75">
        <v>15</v>
      </c>
      <c r="J12" s="74">
        <v>1125</v>
      </c>
      <c r="K12" s="40" t="str">
        <f>"783,9563"</f>
        <v>783,9563</v>
      </c>
      <c r="L12" s="12" t="s">
        <v>345</v>
      </c>
    </row>
    <row r="14" spans="2:11" ht="15.75">
      <c r="B14" s="164" t="s">
        <v>98</v>
      </c>
      <c r="C14" s="164"/>
      <c r="D14" s="164"/>
      <c r="E14" s="164"/>
      <c r="F14" s="164"/>
      <c r="G14" s="164"/>
      <c r="H14" s="164"/>
      <c r="I14" s="164"/>
      <c r="J14" s="164"/>
      <c r="K14" s="164"/>
    </row>
    <row r="15" spans="1:12" ht="12.75">
      <c r="A15" s="37">
        <v>1</v>
      </c>
      <c r="B15" s="12" t="s">
        <v>178</v>
      </c>
      <c r="C15" s="12" t="s">
        <v>179</v>
      </c>
      <c r="D15" s="65">
        <v>80.5</v>
      </c>
      <c r="E15" s="12" t="str">
        <f>"0,6550"</f>
        <v>0,6550</v>
      </c>
      <c r="F15" s="12" t="s">
        <v>472</v>
      </c>
      <c r="G15" s="12" t="s">
        <v>111</v>
      </c>
      <c r="H15" s="40" t="s">
        <v>231</v>
      </c>
      <c r="I15" s="75">
        <v>29</v>
      </c>
      <c r="J15" s="74">
        <v>2392.5</v>
      </c>
      <c r="K15" s="40" t="str">
        <f>"1567,2071"</f>
        <v>1567,2071</v>
      </c>
      <c r="L15" s="12" t="s">
        <v>345</v>
      </c>
    </row>
    <row r="17" spans="2:11" ht="15.75">
      <c r="B17" s="164" t="s">
        <v>24</v>
      </c>
      <c r="C17" s="164"/>
      <c r="D17" s="164"/>
      <c r="E17" s="164"/>
      <c r="F17" s="164"/>
      <c r="G17" s="164"/>
      <c r="H17" s="164"/>
      <c r="I17" s="164"/>
      <c r="J17" s="164"/>
      <c r="K17" s="164"/>
    </row>
    <row r="18" spans="1:12" ht="12.75">
      <c r="A18" s="37">
        <v>1</v>
      </c>
      <c r="B18" s="13" t="s">
        <v>182</v>
      </c>
      <c r="C18" s="13" t="s">
        <v>183</v>
      </c>
      <c r="D18" s="68">
        <v>89.9</v>
      </c>
      <c r="E18" s="13" t="str">
        <f>"0,6120"</f>
        <v>0,6120</v>
      </c>
      <c r="F18" s="13" t="s">
        <v>37</v>
      </c>
      <c r="G18" s="13" t="s">
        <v>28</v>
      </c>
      <c r="H18" s="43" t="s">
        <v>60</v>
      </c>
      <c r="I18" s="83">
        <v>35</v>
      </c>
      <c r="J18" s="82">
        <v>3150</v>
      </c>
      <c r="K18" s="43" t="str">
        <f>"1927,9575"</f>
        <v>1927,9575</v>
      </c>
      <c r="L18" s="13" t="s">
        <v>346</v>
      </c>
    </row>
    <row r="19" spans="1:12" ht="12.75">
      <c r="A19" s="37">
        <v>2</v>
      </c>
      <c r="B19" s="23" t="s">
        <v>187</v>
      </c>
      <c r="C19" s="23" t="s">
        <v>188</v>
      </c>
      <c r="D19" s="69">
        <v>87.7</v>
      </c>
      <c r="E19" s="23" t="str">
        <f>"0,6209"</f>
        <v>0,6209</v>
      </c>
      <c r="F19" s="23" t="s">
        <v>140</v>
      </c>
      <c r="G19" s="23" t="s">
        <v>28</v>
      </c>
      <c r="H19" s="56" t="s">
        <v>60</v>
      </c>
      <c r="I19" s="81">
        <v>32</v>
      </c>
      <c r="J19" s="80">
        <v>2880</v>
      </c>
      <c r="K19" s="56" t="str">
        <f>"1788,1919"</f>
        <v>1788,1919</v>
      </c>
      <c r="L19" s="23" t="s">
        <v>345</v>
      </c>
    </row>
    <row r="20" spans="1:12" ht="12.75">
      <c r="A20" s="37">
        <v>3</v>
      </c>
      <c r="B20" s="14" t="s">
        <v>395</v>
      </c>
      <c r="C20" s="14" t="s">
        <v>401</v>
      </c>
      <c r="D20" s="70">
        <v>85.1</v>
      </c>
      <c r="E20" s="14" t="str">
        <f>"0,6321"</f>
        <v>0,6321</v>
      </c>
      <c r="F20" s="14" t="s">
        <v>27</v>
      </c>
      <c r="G20" s="14" t="s">
        <v>28</v>
      </c>
      <c r="H20" s="46" t="s">
        <v>400</v>
      </c>
      <c r="I20" s="79">
        <v>22</v>
      </c>
      <c r="J20" s="78">
        <v>1925</v>
      </c>
      <c r="K20" s="46" t="str">
        <f>"1216,8887"</f>
        <v>1216,8887</v>
      </c>
      <c r="L20" s="14" t="s">
        <v>345</v>
      </c>
    </row>
    <row r="22" spans="2:11" ht="15.75">
      <c r="B22" s="164" t="s">
        <v>34</v>
      </c>
      <c r="C22" s="164"/>
      <c r="D22" s="164"/>
      <c r="E22" s="164"/>
      <c r="F22" s="164"/>
      <c r="G22" s="164"/>
      <c r="H22" s="164"/>
      <c r="I22" s="164"/>
      <c r="J22" s="164"/>
      <c r="K22" s="164"/>
    </row>
    <row r="23" spans="1:12" ht="12.75">
      <c r="A23" s="37">
        <v>1</v>
      </c>
      <c r="B23" s="13" t="s">
        <v>190</v>
      </c>
      <c r="C23" s="13" t="s">
        <v>191</v>
      </c>
      <c r="D23" s="68">
        <v>94.8</v>
      </c>
      <c r="E23" s="13" t="str">
        <f>"0,5955"</f>
        <v>0,5955</v>
      </c>
      <c r="F23" s="13" t="s">
        <v>140</v>
      </c>
      <c r="G23" s="13" t="s">
        <v>399</v>
      </c>
      <c r="H23" s="43" t="s">
        <v>232</v>
      </c>
      <c r="I23" s="83">
        <v>26</v>
      </c>
      <c r="J23" s="82">
        <v>2470</v>
      </c>
      <c r="K23" s="43" t="str">
        <f>"1470,8850"</f>
        <v>1470,8850</v>
      </c>
      <c r="L23" s="13" t="s">
        <v>345</v>
      </c>
    </row>
    <row r="24" spans="1:12" ht="12.75">
      <c r="A24" s="37">
        <v>1</v>
      </c>
      <c r="B24" s="23" t="s">
        <v>394</v>
      </c>
      <c r="C24" s="23" t="s">
        <v>398</v>
      </c>
      <c r="D24" s="69">
        <v>98.3</v>
      </c>
      <c r="E24" s="23" t="str">
        <f>"0,5856"</f>
        <v>0,5856</v>
      </c>
      <c r="F24" s="23" t="s">
        <v>37</v>
      </c>
      <c r="G24" s="23" t="s">
        <v>28</v>
      </c>
      <c r="H24" s="56" t="s">
        <v>18</v>
      </c>
      <c r="I24" s="81">
        <v>31</v>
      </c>
      <c r="J24" s="80">
        <v>3100</v>
      </c>
      <c r="K24" s="56" t="str">
        <f>"1815,3601"</f>
        <v>1815,3601</v>
      </c>
      <c r="L24" s="23" t="s">
        <v>345</v>
      </c>
    </row>
    <row r="25" spans="1:12" ht="12.75">
      <c r="A25" s="37">
        <v>1</v>
      </c>
      <c r="B25" s="14" t="s">
        <v>394</v>
      </c>
      <c r="C25" s="14" t="s">
        <v>397</v>
      </c>
      <c r="D25" s="70">
        <v>98.3</v>
      </c>
      <c r="E25" s="14" t="str">
        <f>"0,5856"</f>
        <v>0,5856</v>
      </c>
      <c r="F25" s="14" t="s">
        <v>37</v>
      </c>
      <c r="G25" s="14" t="s">
        <v>28</v>
      </c>
      <c r="H25" s="46" t="s">
        <v>18</v>
      </c>
      <c r="I25" s="79">
        <v>31</v>
      </c>
      <c r="J25" s="78">
        <v>3100</v>
      </c>
      <c r="K25" s="46" t="str">
        <f>"1815,3601"</f>
        <v>1815,3601</v>
      </c>
      <c r="L25" s="14" t="s">
        <v>345</v>
      </c>
    </row>
    <row r="27" ht="15.75">
      <c r="F27" s="15"/>
    </row>
    <row r="28" ht="15.75">
      <c r="F28" s="15"/>
    </row>
    <row r="29" ht="15.75">
      <c r="F29" s="15"/>
    </row>
    <row r="30" ht="15.75">
      <c r="F30" s="15"/>
    </row>
    <row r="31" ht="15.75">
      <c r="F31" s="15"/>
    </row>
    <row r="32" ht="15.75">
      <c r="F32" s="15"/>
    </row>
    <row r="33" ht="15.75">
      <c r="F33" s="15"/>
    </row>
    <row r="35" spans="2:3" ht="18">
      <c r="B35" s="16"/>
      <c r="C35" s="16"/>
    </row>
  </sheetData>
  <sheetProtection/>
  <mergeCells count="18">
    <mergeCell ref="L3:L4"/>
    <mergeCell ref="B5:K5"/>
    <mergeCell ref="B8:K8"/>
    <mergeCell ref="B11:K11"/>
    <mergeCell ref="B1:L2"/>
    <mergeCell ref="B3:B4"/>
    <mergeCell ref="C3:C4"/>
    <mergeCell ref="D3:D4"/>
    <mergeCell ref="E3:E4"/>
    <mergeCell ref="F3:F4"/>
    <mergeCell ref="A3:A4"/>
    <mergeCell ref="B14:K14"/>
    <mergeCell ref="B17:K17"/>
    <mergeCell ref="B22:K22"/>
    <mergeCell ref="J3:J4"/>
    <mergeCell ref="K3:K4"/>
    <mergeCell ref="G3:G4"/>
    <mergeCell ref="H3:I3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G25" sqref="G25"/>
    </sheetView>
  </sheetViews>
  <sheetFormatPr defaultColWidth="9.125" defaultRowHeight="12.75"/>
  <cols>
    <col min="1" max="1" width="9.125" style="85" customWidth="1"/>
    <col min="2" max="2" width="28.25390625" style="4" bestFit="1" customWidth="1"/>
    <col min="3" max="3" width="26.00390625" style="1" bestFit="1" customWidth="1"/>
    <col min="4" max="4" width="10.625" style="1" bestFit="1" customWidth="1"/>
    <col min="5" max="5" width="8.375" style="1" bestFit="1" customWidth="1"/>
    <col min="6" max="6" width="22.75390625" style="5" bestFit="1" customWidth="1"/>
    <col min="7" max="7" width="31.625" style="5" bestFit="1" customWidth="1"/>
    <col min="8" max="8" width="5.625" style="1" bestFit="1" customWidth="1"/>
    <col min="9" max="9" width="10.00390625" style="1" customWidth="1"/>
    <col min="10" max="10" width="8.625" style="84" customWidth="1"/>
    <col min="11" max="11" width="9.625" style="1" bestFit="1" customWidth="1"/>
    <col min="12" max="12" width="28.75390625" style="5" bestFit="1" customWidth="1"/>
    <col min="13" max="16384" width="9.125" style="1" customWidth="1"/>
  </cols>
  <sheetData>
    <row r="1" spans="1:12" ht="15" customHeight="1">
      <c r="A1" s="77"/>
      <c r="B1" s="154" t="s">
        <v>411</v>
      </c>
      <c r="C1" s="155"/>
      <c r="D1" s="155"/>
      <c r="E1" s="155"/>
      <c r="F1" s="155"/>
      <c r="G1" s="155"/>
      <c r="H1" s="155"/>
      <c r="I1" s="155"/>
      <c r="J1" s="155"/>
      <c r="K1" s="155"/>
      <c r="L1" s="156"/>
    </row>
    <row r="2" spans="1:12" ht="78" customHeight="1" thickBot="1">
      <c r="A2" s="76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1:12" s="2" customFormat="1" ht="12.75" customHeight="1">
      <c r="A3" s="165" t="s">
        <v>368</v>
      </c>
      <c r="B3" s="160" t="s">
        <v>0</v>
      </c>
      <c r="C3" s="162" t="s">
        <v>469</v>
      </c>
      <c r="D3" s="162" t="s">
        <v>470</v>
      </c>
      <c r="E3" s="149" t="s">
        <v>9</v>
      </c>
      <c r="F3" s="149" t="s">
        <v>7</v>
      </c>
      <c r="G3" s="149" t="s">
        <v>471</v>
      </c>
      <c r="H3" s="149" t="s">
        <v>2</v>
      </c>
      <c r="I3" s="149"/>
      <c r="J3" s="168" t="s">
        <v>392</v>
      </c>
      <c r="K3" s="149" t="s">
        <v>6</v>
      </c>
      <c r="L3" s="151" t="s">
        <v>5</v>
      </c>
    </row>
    <row r="4" spans="1:12" s="2" customFormat="1" ht="21" customHeight="1" thickBot="1">
      <c r="A4" s="148"/>
      <c r="B4" s="161"/>
      <c r="C4" s="150"/>
      <c r="D4" s="163"/>
      <c r="E4" s="150"/>
      <c r="F4" s="150"/>
      <c r="G4" s="150"/>
      <c r="H4" s="3" t="s">
        <v>391</v>
      </c>
      <c r="I4" s="3" t="s">
        <v>390</v>
      </c>
      <c r="J4" s="169"/>
      <c r="K4" s="150"/>
      <c r="L4" s="152"/>
    </row>
    <row r="5" spans="2:11" ht="15.75">
      <c r="B5" s="166" t="s">
        <v>10</v>
      </c>
      <c r="C5" s="153"/>
      <c r="D5" s="153"/>
      <c r="E5" s="153"/>
      <c r="F5" s="153"/>
      <c r="G5" s="153"/>
      <c r="H5" s="153"/>
      <c r="I5" s="153"/>
      <c r="J5" s="153"/>
      <c r="K5" s="153"/>
    </row>
    <row r="6" spans="1:12" ht="12.75">
      <c r="A6" s="85" t="s">
        <v>369</v>
      </c>
      <c r="B6" s="99" t="s">
        <v>405</v>
      </c>
      <c r="C6" s="97" t="s">
        <v>410</v>
      </c>
      <c r="D6" s="98">
        <v>71.8</v>
      </c>
      <c r="E6" s="97" t="str">
        <f>"0,7117"</f>
        <v>0,7117</v>
      </c>
      <c r="F6" s="93" t="s">
        <v>472</v>
      </c>
      <c r="G6" s="93" t="s">
        <v>70</v>
      </c>
      <c r="H6" s="94" t="s">
        <v>409</v>
      </c>
      <c r="I6" s="96">
        <v>39</v>
      </c>
      <c r="J6" s="95">
        <v>2827.5</v>
      </c>
      <c r="K6" s="94" t="str">
        <f>"2012,3318"</f>
        <v>2012,3318</v>
      </c>
      <c r="L6" s="93" t="s">
        <v>345</v>
      </c>
    </row>
    <row r="7" spans="1:12" ht="12.75">
      <c r="A7" s="85" t="s">
        <v>369</v>
      </c>
      <c r="B7" s="92" t="s">
        <v>249</v>
      </c>
      <c r="C7" s="90" t="s">
        <v>250</v>
      </c>
      <c r="D7" s="91">
        <v>73.2</v>
      </c>
      <c r="E7" s="90" t="str">
        <f>"0,7012"</f>
        <v>0,7012</v>
      </c>
      <c r="F7" s="86" t="s">
        <v>146</v>
      </c>
      <c r="G7" s="86" t="s">
        <v>154</v>
      </c>
      <c r="H7" s="87" t="s">
        <v>101</v>
      </c>
      <c r="I7" s="89">
        <v>28</v>
      </c>
      <c r="J7" s="88">
        <v>2100</v>
      </c>
      <c r="K7" s="87" t="str">
        <f>"1472,4150"</f>
        <v>1472,4150</v>
      </c>
      <c r="L7" s="86" t="s">
        <v>408</v>
      </c>
    </row>
    <row r="9" spans="2:11" ht="15.75">
      <c r="B9" s="167" t="s">
        <v>98</v>
      </c>
      <c r="C9" s="164"/>
      <c r="D9" s="164"/>
      <c r="E9" s="164"/>
      <c r="F9" s="164"/>
      <c r="G9" s="164"/>
      <c r="H9" s="164"/>
      <c r="I9" s="164"/>
      <c r="J9" s="164"/>
      <c r="K9" s="164"/>
    </row>
    <row r="10" spans="1:12" ht="12.75">
      <c r="A10" s="85" t="s">
        <v>369</v>
      </c>
      <c r="B10" s="24" t="s">
        <v>175</v>
      </c>
      <c r="C10" s="6" t="s">
        <v>176</v>
      </c>
      <c r="D10" s="29">
        <v>79.1</v>
      </c>
      <c r="E10" s="6" t="str">
        <f>"0,6629"</f>
        <v>0,6629</v>
      </c>
      <c r="F10" s="7" t="s">
        <v>472</v>
      </c>
      <c r="G10" s="7" t="s">
        <v>28</v>
      </c>
      <c r="H10" s="35" t="s">
        <v>238</v>
      </c>
      <c r="I10" s="108">
        <v>22</v>
      </c>
      <c r="J10" s="107">
        <v>1760</v>
      </c>
      <c r="K10" s="35" t="str">
        <f>"1166,7039"</f>
        <v>1166,7039</v>
      </c>
      <c r="L10" s="7" t="s">
        <v>345</v>
      </c>
    </row>
    <row r="12" spans="2:11" ht="15.75">
      <c r="B12" s="167" t="s">
        <v>24</v>
      </c>
      <c r="C12" s="164"/>
      <c r="D12" s="164"/>
      <c r="E12" s="164"/>
      <c r="F12" s="164"/>
      <c r="G12" s="164"/>
      <c r="H12" s="164"/>
      <c r="I12" s="164"/>
      <c r="J12" s="164"/>
      <c r="K12" s="164"/>
    </row>
    <row r="13" spans="1:12" ht="12.75">
      <c r="A13" s="85" t="s">
        <v>369</v>
      </c>
      <c r="B13" s="24" t="s">
        <v>269</v>
      </c>
      <c r="C13" s="6" t="s">
        <v>270</v>
      </c>
      <c r="D13" s="29">
        <v>86.5</v>
      </c>
      <c r="E13" s="6" t="str">
        <f>"0,6259"</f>
        <v>0,6259</v>
      </c>
      <c r="F13" s="7" t="s">
        <v>472</v>
      </c>
      <c r="G13" s="7" t="s">
        <v>28</v>
      </c>
      <c r="H13" s="35" t="s">
        <v>400</v>
      </c>
      <c r="I13" s="108">
        <v>28</v>
      </c>
      <c r="J13" s="107">
        <v>2450</v>
      </c>
      <c r="K13" s="35" t="str">
        <f>"1533,5774"</f>
        <v>1533,5774</v>
      </c>
      <c r="L13" s="7" t="s">
        <v>345</v>
      </c>
    </row>
    <row r="15" spans="2:11" ht="15.75">
      <c r="B15" s="167" t="s">
        <v>34</v>
      </c>
      <c r="C15" s="164"/>
      <c r="D15" s="164"/>
      <c r="E15" s="164"/>
      <c r="F15" s="164"/>
      <c r="G15" s="164"/>
      <c r="H15" s="164"/>
      <c r="I15" s="164"/>
      <c r="J15" s="164"/>
      <c r="K15" s="164"/>
    </row>
    <row r="16" spans="1:12" ht="12.75">
      <c r="A16" s="85" t="s">
        <v>369</v>
      </c>
      <c r="B16" s="99" t="s">
        <v>276</v>
      </c>
      <c r="C16" s="97" t="s">
        <v>277</v>
      </c>
      <c r="D16" s="98">
        <v>96.9</v>
      </c>
      <c r="E16" s="97" t="str">
        <f>"0,5894"</f>
        <v>0,5894</v>
      </c>
      <c r="F16" s="93" t="s">
        <v>37</v>
      </c>
      <c r="G16" s="93" t="s">
        <v>28</v>
      </c>
      <c r="H16" s="94" t="s">
        <v>407</v>
      </c>
      <c r="I16" s="96">
        <v>23</v>
      </c>
      <c r="J16" s="95">
        <v>2242.5</v>
      </c>
      <c r="K16" s="94" t="str">
        <f>"1321,7295"</f>
        <v>1321,7295</v>
      </c>
      <c r="L16" s="93" t="s">
        <v>346</v>
      </c>
    </row>
    <row r="17" spans="1:12" ht="12.75">
      <c r="A17" s="85" t="s">
        <v>375</v>
      </c>
      <c r="B17" s="106" t="s">
        <v>331</v>
      </c>
      <c r="C17" s="104" t="s">
        <v>332</v>
      </c>
      <c r="D17" s="105">
        <v>95.6</v>
      </c>
      <c r="E17" s="104" t="str">
        <f>"0,5932"</f>
        <v>0,5932</v>
      </c>
      <c r="F17" s="100" t="s">
        <v>472</v>
      </c>
      <c r="G17" s="100" t="s">
        <v>241</v>
      </c>
      <c r="H17" s="101" t="s">
        <v>407</v>
      </c>
      <c r="I17" s="103">
        <v>20</v>
      </c>
      <c r="J17" s="102">
        <v>1950</v>
      </c>
      <c r="K17" s="101" t="str">
        <f>"1156,6425"</f>
        <v>1156,6425</v>
      </c>
      <c r="L17" s="100" t="s">
        <v>347</v>
      </c>
    </row>
    <row r="18" spans="1:12" ht="12.75">
      <c r="A18" s="85" t="s">
        <v>376</v>
      </c>
      <c r="B18" s="92" t="s">
        <v>279</v>
      </c>
      <c r="C18" s="90" t="s">
        <v>280</v>
      </c>
      <c r="D18" s="91">
        <v>99.5</v>
      </c>
      <c r="E18" s="90" t="str">
        <f>"0,5825"</f>
        <v>0,5825</v>
      </c>
      <c r="F18" s="86" t="s">
        <v>37</v>
      </c>
      <c r="G18" s="86" t="s">
        <v>28</v>
      </c>
      <c r="H18" s="87" t="s">
        <v>18</v>
      </c>
      <c r="I18" s="89">
        <v>19</v>
      </c>
      <c r="J18" s="88">
        <v>1900</v>
      </c>
      <c r="K18" s="87" t="str">
        <f>"1106,8450"</f>
        <v>1106,8450</v>
      </c>
      <c r="L18" s="86" t="s">
        <v>345</v>
      </c>
    </row>
    <row r="20" spans="2:11" ht="15.75">
      <c r="B20" s="167" t="s">
        <v>285</v>
      </c>
      <c r="C20" s="164"/>
      <c r="D20" s="164"/>
      <c r="E20" s="164"/>
      <c r="F20" s="164"/>
      <c r="G20" s="164"/>
      <c r="H20" s="164"/>
      <c r="I20" s="164"/>
      <c r="J20" s="164"/>
      <c r="K20" s="164"/>
    </row>
    <row r="21" spans="1:12" ht="12.75">
      <c r="A21" s="85" t="s">
        <v>369</v>
      </c>
      <c r="B21" s="99" t="s">
        <v>288</v>
      </c>
      <c r="C21" s="97" t="s">
        <v>289</v>
      </c>
      <c r="D21" s="98">
        <v>103.2</v>
      </c>
      <c r="E21" s="97" t="str">
        <f>"0,5742"</f>
        <v>0,5742</v>
      </c>
      <c r="F21" s="93" t="s">
        <v>37</v>
      </c>
      <c r="G21" s="93" t="s">
        <v>28</v>
      </c>
      <c r="H21" s="94" t="s">
        <v>61</v>
      </c>
      <c r="I21" s="96">
        <v>18</v>
      </c>
      <c r="J21" s="95">
        <v>1890</v>
      </c>
      <c r="K21" s="94" t="str">
        <f>"1085,2380"</f>
        <v>1085,2380</v>
      </c>
      <c r="L21" s="93" t="s">
        <v>346</v>
      </c>
    </row>
    <row r="22" spans="1:12" ht="12.75">
      <c r="A22" s="85" t="s">
        <v>369</v>
      </c>
      <c r="B22" s="92" t="s">
        <v>290</v>
      </c>
      <c r="C22" s="90" t="s">
        <v>406</v>
      </c>
      <c r="D22" s="91">
        <v>102.3</v>
      </c>
      <c r="E22" s="90" t="str">
        <f>"0,5760"</f>
        <v>0,5760</v>
      </c>
      <c r="F22" s="86" t="s">
        <v>146</v>
      </c>
      <c r="G22" s="86" t="s">
        <v>154</v>
      </c>
      <c r="H22" s="87" t="s">
        <v>242</v>
      </c>
      <c r="I22" s="89">
        <v>10</v>
      </c>
      <c r="J22" s="88">
        <v>1025</v>
      </c>
      <c r="K22" s="87" t="str">
        <f>"791,2047"</f>
        <v>791,2047</v>
      </c>
      <c r="L22" s="86" t="s">
        <v>357</v>
      </c>
    </row>
    <row r="24" ht="15.75">
      <c r="F24" s="8"/>
    </row>
    <row r="25" ht="15.75">
      <c r="F25" s="8"/>
    </row>
    <row r="26" ht="15.75">
      <c r="F26" s="8"/>
    </row>
    <row r="27" ht="15.75">
      <c r="F27" s="8"/>
    </row>
    <row r="28" ht="15.75">
      <c r="F28" s="8"/>
    </row>
    <row r="29" ht="15.75">
      <c r="F29" s="8"/>
    </row>
    <row r="30" ht="15.75">
      <c r="F30" s="8"/>
    </row>
    <row r="32" spans="2:3" ht="18">
      <c r="B32" s="9"/>
      <c r="C32" s="10"/>
    </row>
  </sheetData>
  <sheetProtection/>
  <mergeCells count="17">
    <mergeCell ref="J3:J4"/>
    <mergeCell ref="K3:K4"/>
    <mergeCell ref="B1:L2"/>
    <mergeCell ref="H3:I3"/>
    <mergeCell ref="B3:B4"/>
    <mergeCell ref="C3:C4"/>
    <mergeCell ref="D3:D4"/>
    <mergeCell ref="A3:A4"/>
    <mergeCell ref="B15:K15"/>
    <mergeCell ref="B20:K20"/>
    <mergeCell ref="L3:L4"/>
    <mergeCell ref="G3:G4"/>
    <mergeCell ref="F3:F4"/>
    <mergeCell ref="B5:K5"/>
    <mergeCell ref="B9:K9"/>
    <mergeCell ref="B12:K12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3" sqref="A3:A4"/>
    </sheetView>
  </sheetViews>
  <sheetFormatPr defaultColWidth="8.75390625" defaultRowHeight="12.75"/>
  <cols>
    <col min="1" max="1" width="9.125" style="37" customWidth="1"/>
    <col min="2" max="2" width="26.00390625" style="11" bestFit="1" customWidth="1"/>
    <col min="3" max="3" width="26.875" style="11" bestFit="1" customWidth="1"/>
    <col min="4" max="4" width="8.25390625" style="66" customWidth="1"/>
    <col min="5" max="5" width="8.375" style="11" bestFit="1" customWidth="1"/>
    <col min="6" max="6" width="22.75390625" style="11" bestFit="1" customWidth="1"/>
    <col min="7" max="7" width="31.625" style="11" bestFit="1" customWidth="1"/>
    <col min="8" max="10" width="5.625" style="11" bestFit="1" customWidth="1"/>
    <col min="11" max="11" width="4.625" style="11" bestFit="1" customWidth="1"/>
    <col min="12" max="12" width="16.125" style="11" customWidth="1"/>
    <col min="13" max="13" width="8.625" style="11" bestFit="1" customWidth="1"/>
    <col min="14" max="14" width="28.75390625" style="11" bestFit="1" customWidth="1"/>
  </cols>
  <sheetData>
    <row r="1" spans="1:14" s="1" customFormat="1" ht="15" customHeight="1">
      <c r="A1" s="59"/>
      <c r="B1" s="154" t="s">
        <v>381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s="1" customFormat="1" ht="105" customHeight="1" thickBot="1">
      <c r="A2" s="32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</row>
    <row r="3" spans="1:14" s="2" customFormat="1" ht="12.75" customHeight="1">
      <c r="A3" s="165" t="s">
        <v>368</v>
      </c>
      <c r="B3" s="160" t="s">
        <v>0</v>
      </c>
      <c r="C3" s="162" t="s">
        <v>469</v>
      </c>
      <c r="D3" s="162" t="s">
        <v>470</v>
      </c>
      <c r="E3" s="149" t="s">
        <v>9</v>
      </c>
      <c r="F3" s="149" t="s">
        <v>7</v>
      </c>
      <c r="G3" s="149" t="s">
        <v>471</v>
      </c>
      <c r="H3" s="149" t="s">
        <v>3</v>
      </c>
      <c r="I3" s="149"/>
      <c r="J3" s="149"/>
      <c r="K3" s="149"/>
      <c r="L3" s="149" t="s">
        <v>378</v>
      </c>
      <c r="M3" s="149" t="s">
        <v>6</v>
      </c>
      <c r="N3" s="151" t="s">
        <v>5</v>
      </c>
    </row>
    <row r="4" spans="1:14" s="2" customFormat="1" ht="21" customHeight="1" thickBot="1">
      <c r="A4" s="148"/>
      <c r="B4" s="161"/>
      <c r="C4" s="150"/>
      <c r="D4" s="163"/>
      <c r="E4" s="150"/>
      <c r="F4" s="150"/>
      <c r="G4" s="150"/>
      <c r="H4" s="3">
        <v>1</v>
      </c>
      <c r="I4" s="3">
        <v>2</v>
      </c>
      <c r="J4" s="3">
        <v>3</v>
      </c>
      <c r="K4" s="3" t="s">
        <v>8</v>
      </c>
      <c r="L4" s="150"/>
      <c r="M4" s="150"/>
      <c r="N4" s="152"/>
    </row>
    <row r="5" spans="2:13" ht="15.75">
      <c r="B5" s="153" t="s">
        <v>151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4" ht="12.75">
      <c r="A6" s="37">
        <v>1</v>
      </c>
      <c r="B6" s="12" t="s">
        <v>213</v>
      </c>
      <c r="C6" s="12" t="s">
        <v>214</v>
      </c>
      <c r="D6" s="65">
        <v>51.9</v>
      </c>
      <c r="E6" s="12" t="str">
        <f>"1,1093"</f>
        <v>1,1093</v>
      </c>
      <c r="F6" s="12" t="s">
        <v>140</v>
      </c>
      <c r="G6" s="12" t="s">
        <v>28</v>
      </c>
      <c r="H6" s="126" t="s">
        <v>156</v>
      </c>
      <c r="I6" s="39" t="s">
        <v>310</v>
      </c>
      <c r="J6" s="126" t="s">
        <v>310</v>
      </c>
      <c r="K6" s="38"/>
      <c r="L6" s="40" t="s">
        <v>310</v>
      </c>
      <c r="M6" s="40" t="str">
        <f>"77,6510"</f>
        <v>77,6510</v>
      </c>
      <c r="N6" s="12" t="s">
        <v>345</v>
      </c>
    </row>
    <row r="8" spans="2:13" ht="15.75">
      <c r="B8" s="164" t="s">
        <v>143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</row>
    <row r="9" spans="1:14" ht="12.75">
      <c r="A9" s="37">
        <v>1</v>
      </c>
      <c r="B9" s="13" t="s">
        <v>311</v>
      </c>
      <c r="C9" s="13" t="s">
        <v>312</v>
      </c>
      <c r="D9" s="68">
        <v>59</v>
      </c>
      <c r="E9" s="13" t="str">
        <f>"1,0010"</f>
        <v>1,0010</v>
      </c>
      <c r="F9" s="13" t="s">
        <v>472</v>
      </c>
      <c r="G9" s="13" t="s">
        <v>313</v>
      </c>
      <c r="H9" s="127" t="s">
        <v>60</v>
      </c>
      <c r="I9" s="127" t="s">
        <v>61</v>
      </c>
      <c r="J9" s="41" t="s">
        <v>20</v>
      </c>
      <c r="K9" s="42"/>
      <c r="L9" s="43" t="s">
        <v>61</v>
      </c>
      <c r="M9" s="43" t="str">
        <f>"105,1050"</f>
        <v>105,1050</v>
      </c>
      <c r="N9" s="13" t="s">
        <v>345</v>
      </c>
    </row>
    <row r="10" spans="1:14" ht="12.75">
      <c r="A10" s="37">
        <v>1</v>
      </c>
      <c r="B10" s="23" t="s">
        <v>314</v>
      </c>
      <c r="C10" s="23" t="s">
        <v>315</v>
      </c>
      <c r="D10" s="69">
        <v>59.7</v>
      </c>
      <c r="E10" s="23" t="str">
        <f>"0,9916"</f>
        <v>0,9916</v>
      </c>
      <c r="F10" s="23" t="s">
        <v>37</v>
      </c>
      <c r="G10" s="23" t="s">
        <v>28</v>
      </c>
      <c r="H10" s="128" t="s">
        <v>76</v>
      </c>
      <c r="I10" s="128" t="s">
        <v>262</v>
      </c>
      <c r="J10" s="62" t="s">
        <v>137</v>
      </c>
      <c r="K10" s="54"/>
      <c r="L10" s="56">
        <v>137.5</v>
      </c>
      <c r="M10" s="56" t="str">
        <f>"136,3450"</f>
        <v>136,3450</v>
      </c>
      <c r="N10" s="23" t="s">
        <v>348</v>
      </c>
    </row>
    <row r="11" spans="1:14" ht="12.75">
      <c r="A11" s="37">
        <v>2</v>
      </c>
      <c r="B11" s="23" t="s">
        <v>316</v>
      </c>
      <c r="C11" s="23" t="s">
        <v>317</v>
      </c>
      <c r="D11" s="69">
        <v>59.1</v>
      </c>
      <c r="E11" s="23" t="str">
        <f>"0,9997"</f>
        <v>0,9997</v>
      </c>
      <c r="F11" s="23" t="s">
        <v>37</v>
      </c>
      <c r="G11" s="23" t="s">
        <v>28</v>
      </c>
      <c r="H11" s="128" t="s">
        <v>75</v>
      </c>
      <c r="I11" s="128" t="s">
        <v>262</v>
      </c>
      <c r="J11" s="55" t="s">
        <v>137</v>
      </c>
      <c r="K11" s="54"/>
      <c r="L11" s="56">
        <v>132.5</v>
      </c>
      <c r="M11" s="56" t="str">
        <f>"132,4603"</f>
        <v>132,4603</v>
      </c>
      <c r="N11" s="23" t="s">
        <v>349</v>
      </c>
    </row>
    <row r="12" spans="1:14" ht="12.75">
      <c r="A12" s="37">
        <v>1</v>
      </c>
      <c r="B12" s="14" t="s">
        <v>316</v>
      </c>
      <c r="C12" s="14" t="s">
        <v>318</v>
      </c>
      <c r="D12" s="70">
        <v>59.1</v>
      </c>
      <c r="E12" s="14" t="str">
        <f>"0,9997"</f>
        <v>0,9997</v>
      </c>
      <c r="F12" s="14" t="s">
        <v>37</v>
      </c>
      <c r="G12" s="14" t="s">
        <v>28</v>
      </c>
      <c r="H12" s="129" t="s">
        <v>75</v>
      </c>
      <c r="I12" s="129" t="s">
        <v>262</v>
      </c>
      <c r="J12" s="44" t="s">
        <v>137</v>
      </c>
      <c r="K12" s="45"/>
      <c r="L12" s="46">
        <v>132.5</v>
      </c>
      <c r="M12" s="46" t="str">
        <f>"135,1095"</f>
        <v>135,1095</v>
      </c>
      <c r="N12" s="14" t="s">
        <v>349</v>
      </c>
    </row>
    <row r="14" spans="2:13" ht="15.75">
      <c r="B14" s="164" t="s">
        <v>56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</row>
    <row r="15" spans="1:14" ht="12.75">
      <c r="A15" s="37">
        <v>1</v>
      </c>
      <c r="B15" s="12" t="s">
        <v>319</v>
      </c>
      <c r="C15" s="12" t="s">
        <v>320</v>
      </c>
      <c r="D15" s="65">
        <v>63.8</v>
      </c>
      <c r="E15" s="12" t="str">
        <f>"0,9404"</f>
        <v>0,9404</v>
      </c>
      <c r="F15" s="12" t="s">
        <v>37</v>
      </c>
      <c r="G15" s="12" t="s">
        <v>28</v>
      </c>
      <c r="H15" s="126" t="s">
        <v>60</v>
      </c>
      <c r="I15" s="126" t="s">
        <v>18</v>
      </c>
      <c r="J15" s="126" t="s">
        <v>235</v>
      </c>
      <c r="K15" s="38"/>
      <c r="L15" s="40">
        <v>107.5</v>
      </c>
      <c r="M15" s="40" t="str">
        <f>"101,0930"</f>
        <v>101,0930</v>
      </c>
      <c r="N15" s="12" t="s">
        <v>346</v>
      </c>
    </row>
    <row r="17" spans="2:13" ht="15.75">
      <c r="B17" s="164" t="s">
        <v>56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</row>
    <row r="18" spans="1:14" ht="12.75">
      <c r="A18" s="37">
        <v>1</v>
      </c>
      <c r="B18" s="12" t="s">
        <v>321</v>
      </c>
      <c r="C18" s="12" t="s">
        <v>322</v>
      </c>
      <c r="D18" s="65">
        <v>67</v>
      </c>
      <c r="E18" s="12" t="str">
        <f>"0,7531"</f>
        <v>0,7531</v>
      </c>
      <c r="F18" s="12" t="s">
        <v>472</v>
      </c>
      <c r="G18" s="12" t="s">
        <v>473</v>
      </c>
      <c r="H18" s="126" t="s">
        <v>87</v>
      </c>
      <c r="I18" s="126" t="s">
        <v>323</v>
      </c>
      <c r="J18" s="39" t="s">
        <v>67</v>
      </c>
      <c r="K18" s="38"/>
      <c r="L18" s="40">
        <v>197.5</v>
      </c>
      <c r="M18" s="40" t="str">
        <f>"148,7471"</f>
        <v>148,7471</v>
      </c>
      <c r="N18" s="12" t="s">
        <v>345</v>
      </c>
    </row>
    <row r="20" spans="2:13" ht="15.75">
      <c r="B20" s="164" t="s">
        <v>10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</row>
    <row r="21" spans="1:14" ht="12.75">
      <c r="A21" s="37">
        <v>1</v>
      </c>
      <c r="B21" s="13" t="s">
        <v>324</v>
      </c>
      <c r="C21" s="13" t="s">
        <v>325</v>
      </c>
      <c r="D21" s="68">
        <v>74.6</v>
      </c>
      <c r="E21" s="13" t="str">
        <f>"0,6913"</f>
        <v>0,6913</v>
      </c>
      <c r="F21" s="13" t="s">
        <v>472</v>
      </c>
      <c r="G21" s="13" t="s">
        <v>28</v>
      </c>
      <c r="H21" s="127" t="s">
        <v>16</v>
      </c>
      <c r="I21" s="127" t="s">
        <v>64</v>
      </c>
      <c r="J21" s="127" t="s">
        <v>87</v>
      </c>
      <c r="K21" s="42"/>
      <c r="L21" s="43">
        <v>182.5</v>
      </c>
      <c r="M21" s="43" t="str">
        <f>"126,1531"</f>
        <v>126,1531</v>
      </c>
      <c r="N21" s="13" t="s">
        <v>345</v>
      </c>
    </row>
    <row r="22" spans="1:14" ht="12.75">
      <c r="A22" s="37">
        <v>1</v>
      </c>
      <c r="B22" s="23" t="s">
        <v>326</v>
      </c>
      <c r="C22" s="23" t="s">
        <v>327</v>
      </c>
      <c r="D22" s="69">
        <v>73.6</v>
      </c>
      <c r="E22" s="23" t="str">
        <f>"0,6983"</f>
        <v>0,6983</v>
      </c>
      <c r="F22" s="23" t="s">
        <v>472</v>
      </c>
      <c r="G22" s="23" t="s">
        <v>28</v>
      </c>
      <c r="H22" s="128" t="s">
        <v>17</v>
      </c>
      <c r="I22" s="55" t="s">
        <v>74</v>
      </c>
      <c r="J22" s="55" t="s">
        <v>74</v>
      </c>
      <c r="K22" s="54"/>
      <c r="L22" s="56" t="s">
        <v>17</v>
      </c>
      <c r="M22" s="56" t="str">
        <f>"115,2195"</f>
        <v>115,2195</v>
      </c>
      <c r="N22" s="23" t="s">
        <v>350</v>
      </c>
    </row>
    <row r="23" spans="1:14" ht="12.75">
      <c r="A23" s="37">
        <v>1</v>
      </c>
      <c r="B23" s="14" t="s">
        <v>326</v>
      </c>
      <c r="C23" s="14" t="s">
        <v>328</v>
      </c>
      <c r="D23" s="70">
        <v>73.6</v>
      </c>
      <c r="E23" s="14" t="str">
        <f>"0,6983"</f>
        <v>0,6983</v>
      </c>
      <c r="F23" s="14" t="s">
        <v>472</v>
      </c>
      <c r="G23" s="14" t="s">
        <v>28</v>
      </c>
      <c r="H23" s="129" t="s">
        <v>17</v>
      </c>
      <c r="I23" s="44" t="s">
        <v>74</v>
      </c>
      <c r="J23" s="44" t="s">
        <v>74</v>
      </c>
      <c r="K23" s="45"/>
      <c r="L23" s="46" t="s">
        <v>17</v>
      </c>
      <c r="M23" s="46" t="str">
        <f>"132,1568"</f>
        <v>132,1568</v>
      </c>
      <c r="N23" s="14" t="s">
        <v>350</v>
      </c>
    </row>
    <row r="24" ht="12.75">
      <c r="H24" s="130"/>
    </row>
    <row r="25" spans="2:13" ht="15.75">
      <c r="B25" s="164" t="s">
        <v>98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</row>
    <row r="26" spans="1:14" ht="12.75">
      <c r="A26" s="37">
        <v>1</v>
      </c>
      <c r="B26" s="13" t="s">
        <v>329</v>
      </c>
      <c r="C26" s="13" t="s">
        <v>330</v>
      </c>
      <c r="D26" s="68">
        <v>77.8</v>
      </c>
      <c r="E26" s="13" t="str">
        <f>"0,6706"</f>
        <v>0,6706</v>
      </c>
      <c r="F26" s="13" t="s">
        <v>472</v>
      </c>
      <c r="G26" s="13" t="s">
        <v>28</v>
      </c>
      <c r="H26" s="127" t="s">
        <v>71</v>
      </c>
      <c r="I26" s="127" t="s">
        <v>21</v>
      </c>
      <c r="J26" s="41" t="s">
        <v>22</v>
      </c>
      <c r="K26" s="42"/>
      <c r="L26" s="43" t="s">
        <v>21</v>
      </c>
      <c r="M26" s="43" t="str">
        <f>"127,4140"</f>
        <v>127,4140</v>
      </c>
      <c r="N26" s="13" t="s">
        <v>345</v>
      </c>
    </row>
    <row r="27" spans="1:14" ht="12.75">
      <c r="A27" s="37">
        <v>1</v>
      </c>
      <c r="B27" s="14" t="s">
        <v>265</v>
      </c>
      <c r="C27" s="14" t="s">
        <v>266</v>
      </c>
      <c r="D27" s="70">
        <v>78.5</v>
      </c>
      <c r="E27" s="14" t="str">
        <f>"0,6664"</f>
        <v>0,6664</v>
      </c>
      <c r="F27" s="14" t="s">
        <v>27</v>
      </c>
      <c r="G27" s="14" t="s">
        <v>28</v>
      </c>
      <c r="H27" s="129" t="s">
        <v>16</v>
      </c>
      <c r="I27" s="129" t="s">
        <v>74</v>
      </c>
      <c r="J27" s="129" t="s">
        <v>71</v>
      </c>
      <c r="K27" s="45"/>
      <c r="L27" s="46" t="s">
        <v>71</v>
      </c>
      <c r="M27" s="46" t="str">
        <f>"173,9304"</f>
        <v>173,9304</v>
      </c>
      <c r="N27" s="14" t="s">
        <v>345</v>
      </c>
    </row>
    <row r="29" spans="2:13" ht="15.75">
      <c r="B29" s="164" t="s">
        <v>34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  <row r="30" spans="1:14" ht="12.75">
      <c r="A30" s="37">
        <v>1</v>
      </c>
      <c r="B30" s="12" t="s">
        <v>331</v>
      </c>
      <c r="C30" s="12" t="s">
        <v>332</v>
      </c>
      <c r="D30" s="65">
        <v>95.6</v>
      </c>
      <c r="E30" s="12" t="str">
        <f>"0,5932"</f>
        <v>0,5932</v>
      </c>
      <c r="F30" s="12" t="s">
        <v>472</v>
      </c>
      <c r="G30" s="12" t="s">
        <v>241</v>
      </c>
      <c r="H30" s="126" t="s">
        <v>22</v>
      </c>
      <c r="I30" s="38"/>
      <c r="J30" s="38"/>
      <c r="K30" s="38"/>
      <c r="L30" s="40" t="s">
        <v>22</v>
      </c>
      <c r="M30" s="40" t="str">
        <f>"118,6300"</f>
        <v>118,6300</v>
      </c>
      <c r="N30" s="12" t="s">
        <v>347</v>
      </c>
    </row>
    <row r="32" ht="15.75">
      <c r="F32" s="15"/>
    </row>
    <row r="33" ht="15.75">
      <c r="F33" s="15"/>
    </row>
    <row r="34" ht="15.75">
      <c r="F34" s="15"/>
    </row>
    <row r="35" ht="15.75">
      <c r="F35" s="15"/>
    </row>
    <row r="36" ht="15.75">
      <c r="F36" s="15"/>
    </row>
    <row r="37" ht="15.75">
      <c r="F37" s="15"/>
    </row>
    <row r="38" ht="15.75">
      <c r="F38" s="15"/>
    </row>
    <row r="40" spans="2:3" ht="18">
      <c r="B40" s="16"/>
      <c r="C40" s="16"/>
    </row>
  </sheetData>
  <sheetProtection/>
  <mergeCells count="19">
    <mergeCell ref="A3:A4"/>
    <mergeCell ref="N3:N4"/>
    <mergeCell ref="B5:M5"/>
    <mergeCell ref="B8:M8"/>
    <mergeCell ref="B14:M14"/>
    <mergeCell ref="B1:N2"/>
    <mergeCell ref="B3:B4"/>
    <mergeCell ref="C3:C4"/>
    <mergeCell ref="D3:D4"/>
    <mergeCell ref="E3:E4"/>
    <mergeCell ref="F3:F4"/>
    <mergeCell ref="B17:M17"/>
    <mergeCell ref="B20:M20"/>
    <mergeCell ref="B25:M25"/>
    <mergeCell ref="B29:M29"/>
    <mergeCell ref="L3:L4"/>
    <mergeCell ref="M3:M4"/>
    <mergeCell ref="G3:G4"/>
    <mergeCell ref="H3:K3"/>
  </mergeCells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3" sqref="A3:A4"/>
    </sheetView>
  </sheetViews>
  <sheetFormatPr defaultColWidth="8.75390625" defaultRowHeight="12.75"/>
  <cols>
    <col min="1" max="1" width="9.125" style="37" customWidth="1"/>
    <col min="2" max="3" width="26.00390625" style="11" bestFit="1" customWidth="1"/>
    <col min="4" max="4" width="10.625" style="26" bestFit="1" customWidth="1"/>
    <col min="5" max="5" width="8.375" style="11" bestFit="1" customWidth="1"/>
    <col min="6" max="6" width="22.75390625" style="11" bestFit="1" customWidth="1"/>
    <col min="7" max="7" width="34.125" style="11" customWidth="1"/>
    <col min="8" max="10" width="5.625" style="11" bestFit="1" customWidth="1"/>
    <col min="11" max="11" width="4.625" style="11" bestFit="1" customWidth="1"/>
    <col min="12" max="12" width="12.625" style="11" customWidth="1"/>
    <col min="13" max="13" width="8.625" style="11" bestFit="1" customWidth="1"/>
    <col min="14" max="14" width="15.375" style="11" bestFit="1" customWidth="1"/>
  </cols>
  <sheetData>
    <row r="1" spans="1:14" s="1" customFormat="1" ht="15" customHeight="1">
      <c r="A1" s="59"/>
      <c r="B1" s="154" t="s">
        <v>380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s="1" customFormat="1" ht="111.75" customHeight="1" thickBot="1">
      <c r="A2" s="32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</row>
    <row r="3" spans="1:14" s="2" customFormat="1" ht="12.75" customHeight="1">
      <c r="A3" s="165" t="s">
        <v>368</v>
      </c>
      <c r="B3" s="160" t="s">
        <v>0</v>
      </c>
      <c r="C3" s="162" t="s">
        <v>469</v>
      </c>
      <c r="D3" s="162" t="s">
        <v>470</v>
      </c>
      <c r="E3" s="149" t="s">
        <v>9</v>
      </c>
      <c r="F3" s="149" t="s">
        <v>7</v>
      </c>
      <c r="G3" s="149" t="s">
        <v>471</v>
      </c>
      <c r="H3" s="149" t="s">
        <v>3</v>
      </c>
      <c r="I3" s="149"/>
      <c r="J3" s="149"/>
      <c r="K3" s="149"/>
      <c r="L3" s="149" t="s">
        <v>378</v>
      </c>
      <c r="M3" s="149" t="s">
        <v>6</v>
      </c>
      <c r="N3" s="151" t="s">
        <v>5</v>
      </c>
    </row>
    <row r="4" spans="1:14" s="2" customFormat="1" ht="21" customHeight="1" thickBot="1">
      <c r="A4" s="148"/>
      <c r="B4" s="161"/>
      <c r="C4" s="150"/>
      <c r="D4" s="163"/>
      <c r="E4" s="150"/>
      <c r="F4" s="150"/>
      <c r="G4" s="150"/>
      <c r="H4" s="3">
        <v>1</v>
      </c>
      <c r="I4" s="3">
        <v>2</v>
      </c>
      <c r="J4" s="3">
        <v>3</v>
      </c>
      <c r="K4" s="3" t="s">
        <v>8</v>
      </c>
      <c r="L4" s="150"/>
      <c r="M4" s="150"/>
      <c r="N4" s="152"/>
    </row>
    <row r="5" spans="2:13" ht="15.75">
      <c r="B5" s="153" t="s">
        <v>10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4" ht="12.75">
      <c r="A6" s="37">
        <v>1</v>
      </c>
      <c r="B6" s="12" t="s">
        <v>305</v>
      </c>
      <c r="C6" s="12" t="s">
        <v>306</v>
      </c>
      <c r="D6" s="25">
        <v>72.2</v>
      </c>
      <c r="E6" s="12" t="str">
        <f>"0,7086"</f>
        <v>0,7086</v>
      </c>
      <c r="F6" s="12" t="s">
        <v>472</v>
      </c>
      <c r="G6" s="12" t="s">
        <v>111</v>
      </c>
      <c r="H6" s="126" t="s">
        <v>15</v>
      </c>
      <c r="I6" s="126" t="s">
        <v>17</v>
      </c>
      <c r="J6" s="39" t="s">
        <v>86</v>
      </c>
      <c r="K6" s="38"/>
      <c r="L6" s="40" t="s">
        <v>17</v>
      </c>
      <c r="M6" s="40" t="str">
        <f>"116,9272"</f>
        <v>116,9272</v>
      </c>
      <c r="N6" s="12" t="s">
        <v>344</v>
      </c>
    </row>
    <row r="8" spans="2:13" ht="15.75">
      <c r="B8" s="164" t="s">
        <v>98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</row>
    <row r="9" spans="1:14" ht="12.75">
      <c r="A9" s="37">
        <v>1</v>
      </c>
      <c r="B9" s="13" t="s">
        <v>99</v>
      </c>
      <c r="C9" s="13" t="s">
        <v>100</v>
      </c>
      <c r="D9" s="27">
        <v>78.4</v>
      </c>
      <c r="E9" s="13" t="str">
        <f>"0,6670"</f>
        <v>0,6670</v>
      </c>
      <c r="F9" s="13" t="s">
        <v>472</v>
      </c>
      <c r="G9" s="13" t="s">
        <v>365</v>
      </c>
      <c r="H9" s="127" t="s">
        <v>59</v>
      </c>
      <c r="I9" s="127" t="s">
        <v>15</v>
      </c>
      <c r="J9" s="41" t="s">
        <v>189</v>
      </c>
      <c r="K9" s="42"/>
      <c r="L9" s="43" t="s">
        <v>15</v>
      </c>
      <c r="M9" s="43" t="str">
        <f>"100,0500"</f>
        <v>100,0500</v>
      </c>
      <c r="N9" s="13" t="s">
        <v>345</v>
      </c>
    </row>
    <row r="10" spans="1:14" ht="12.75">
      <c r="A10" s="37">
        <v>1</v>
      </c>
      <c r="B10" s="14" t="s">
        <v>307</v>
      </c>
      <c r="C10" s="14" t="s">
        <v>308</v>
      </c>
      <c r="D10" s="28">
        <v>78.8</v>
      </c>
      <c r="E10" s="14" t="str">
        <f>"0,6646"</f>
        <v>0,6646</v>
      </c>
      <c r="F10" s="14" t="s">
        <v>472</v>
      </c>
      <c r="G10" s="14" t="s">
        <v>111</v>
      </c>
      <c r="H10" s="129" t="s">
        <v>71</v>
      </c>
      <c r="I10" s="129" t="s">
        <v>67</v>
      </c>
      <c r="J10" s="129" t="s">
        <v>309</v>
      </c>
      <c r="K10" s="45"/>
      <c r="L10" s="46">
        <v>212.5</v>
      </c>
      <c r="M10" s="46" t="str">
        <f>"141,2275"</f>
        <v>141,2275</v>
      </c>
      <c r="N10" s="14" t="s">
        <v>345</v>
      </c>
    </row>
    <row r="12" spans="2:13" ht="15.75">
      <c r="B12" s="164" t="s">
        <v>24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</row>
    <row r="13" spans="1:14" ht="12.75">
      <c r="A13" s="37">
        <v>1</v>
      </c>
      <c r="B13" s="12" t="s">
        <v>25</v>
      </c>
      <c r="C13" s="12" t="s">
        <v>26</v>
      </c>
      <c r="D13" s="25">
        <v>89.2</v>
      </c>
      <c r="E13" s="12" t="str">
        <f>"0,6149"</f>
        <v>0,6149</v>
      </c>
      <c r="F13" s="12" t="s">
        <v>27</v>
      </c>
      <c r="G13" s="12" t="s">
        <v>28</v>
      </c>
      <c r="H13" s="126" t="s">
        <v>33</v>
      </c>
      <c r="I13" s="38"/>
      <c r="J13" s="38"/>
      <c r="K13" s="38"/>
      <c r="L13" s="40">
        <v>262.5</v>
      </c>
      <c r="M13" s="40" t="str">
        <f>"161,4112"</f>
        <v>161,4112</v>
      </c>
      <c r="N13" s="12" t="s">
        <v>345</v>
      </c>
    </row>
    <row r="15" spans="2:13" ht="15.75">
      <c r="B15" s="164" t="s">
        <v>34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</row>
    <row r="16" spans="1:14" ht="12.75">
      <c r="A16" s="37">
        <v>1</v>
      </c>
      <c r="B16" s="12" t="s">
        <v>109</v>
      </c>
      <c r="C16" s="12" t="s">
        <v>110</v>
      </c>
      <c r="D16" s="25">
        <v>94.3</v>
      </c>
      <c r="E16" s="12" t="str">
        <f>"0,5971"</f>
        <v>0,5971</v>
      </c>
      <c r="F16" s="12" t="s">
        <v>472</v>
      </c>
      <c r="G16" s="12" t="s">
        <v>111</v>
      </c>
      <c r="H16" s="126" t="s">
        <v>116</v>
      </c>
      <c r="I16" s="38"/>
      <c r="J16" s="38"/>
      <c r="K16" s="38"/>
      <c r="L16" s="40">
        <v>282.5</v>
      </c>
      <c r="M16" s="40" t="str">
        <f>"168,6808"</f>
        <v>168,6808</v>
      </c>
      <c r="N16" s="12" t="s">
        <v>345</v>
      </c>
    </row>
    <row r="18" ht="15.75">
      <c r="F18" s="15"/>
    </row>
    <row r="19" ht="15.75">
      <c r="F19" s="15"/>
    </row>
    <row r="20" ht="15.75">
      <c r="F20" s="15"/>
    </row>
    <row r="21" ht="15.75">
      <c r="F21" s="15"/>
    </row>
    <row r="22" ht="15.75">
      <c r="F22" s="15"/>
    </row>
    <row r="23" ht="15.75">
      <c r="F23" s="15"/>
    </row>
    <row r="24" ht="15.75">
      <c r="F24" s="15"/>
    </row>
    <row r="26" spans="2:3" ht="18">
      <c r="B26" s="16"/>
      <c r="C26" s="16"/>
    </row>
  </sheetData>
  <sheetProtection/>
  <mergeCells count="16"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B15:M15"/>
    <mergeCell ref="L3:L4"/>
    <mergeCell ref="M3:M4"/>
    <mergeCell ref="N3:N4"/>
    <mergeCell ref="B5:M5"/>
    <mergeCell ref="B8:M8"/>
    <mergeCell ref="B12:M12"/>
  </mergeCells>
  <printOptions/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3" sqref="A3:T4"/>
    </sheetView>
  </sheetViews>
  <sheetFormatPr defaultColWidth="8.75390625" defaultRowHeight="12.75"/>
  <cols>
    <col min="1" max="1" width="9.125" style="109" customWidth="1"/>
    <col min="2" max="2" width="21.125" style="11" customWidth="1"/>
    <col min="3" max="3" width="25.625" style="11" customWidth="1"/>
    <col min="4" max="4" width="11.125" style="26" customWidth="1"/>
    <col min="5" max="5" width="8.375" style="11" bestFit="1" customWidth="1"/>
    <col min="6" max="6" width="9.375" style="11" customWidth="1"/>
    <col min="7" max="7" width="27.875" style="11" customWidth="1"/>
    <col min="8" max="8" width="5.625" style="11" bestFit="1" customWidth="1"/>
    <col min="9" max="9" width="6.00390625" style="11" customWidth="1"/>
    <col min="10" max="10" width="3.875" style="11" customWidth="1"/>
    <col min="11" max="13" width="10.625" style="11" customWidth="1"/>
    <col min="14" max="14" width="8.00390625" style="11" customWidth="1"/>
    <col min="15" max="15" width="18.625" style="11" customWidth="1"/>
    <col min="16" max="16" width="11.125" style="11" customWidth="1"/>
    <col min="17" max="17" width="10.25390625" style="11" customWidth="1"/>
    <col min="18" max="18" width="17.75390625" style="11" customWidth="1"/>
    <col min="19" max="19" width="10.625" style="11" customWidth="1"/>
    <col min="20" max="20" width="16.25390625" style="11" bestFit="1" customWidth="1"/>
  </cols>
  <sheetData>
    <row r="1" spans="1:20" s="1" customFormat="1" ht="15" customHeight="1">
      <c r="A1" s="64"/>
      <c r="B1" s="154" t="s">
        <v>418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6"/>
    </row>
    <row r="2" spans="1:20" s="1" customFormat="1" ht="117.75" customHeight="1" thickBot="1">
      <c r="A2" s="63"/>
      <c r="B2" s="176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7"/>
    </row>
    <row r="3" spans="1:20" s="2" customFormat="1" ht="12.75" customHeight="1">
      <c r="A3" s="165" t="s">
        <v>368</v>
      </c>
      <c r="B3" s="160" t="s">
        <v>0</v>
      </c>
      <c r="C3" s="162" t="s">
        <v>469</v>
      </c>
      <c r="D3" s="162" t="s">
        <v>470</v>
      </c>
      <c r="E3" s="149" t="s">
        <v>9</v>
      </c>
      <c r="F3" s="149" t="s">
        <v>7</v>
      </c>
      <c r="G3" s="149" t="s">
        <v>471</v>
      </c>
      <c r="H3" s="149" t="s">
        <v>417</v>
      </c>
      <c r="I3" s="149"/>
      <c r="J3" s="149"/>
      <c r="K3" s="149"/>
      <c r="L3" s="168" t="s">
        <v>378</v>
      </c>
      <c r="M3" s="149" t="s">
        <v>478</v>
      </c>
      <c r="N3" s="178" t="s">
        <v>416</v>
      </c>
      <c r="O3" s="173"/>
      <c r="P3" s="168" t="s">
        <v>392</v>
      </c>
      <c r="Q3" s="149" t="s">
        <v>478</v>
      </c>
      <c r="R3" s="149" t="s">
        <v>480</v>
      </c>
      <c r="S3" s="149" t="s">
        <v>6</v>
      </c>
      <c r="T3" s="151" t="s">
        <v>5</v>
      </c>
    </row>
    <row r="4" spans="1:20" s="2" customFormat="1" ht="21" customHeight="1" thickBot="1">
      <c r="A4" s="148"/>
      <c r="B4" s="161"/>
      <c r="C4" s="150"/>
      <c r="D4" s="163"/>
      <c r="E4" s="150"/>
      <c r="F4" s="150"/>
      <c r="G4" s="150"/>
      <c r="H4" s="3" t="s">
        <v>369</v>
      </c>
      <c r="I4" s="3" t="s">
        <v>375</v>
      </c>
      <c r="J4" s="3" t="s">
        <v>376</v>
      </c>
      <c r="K4" s="3" t="s">
        <v>8</v>
      </c>
      <c r="L4" s="169"/>
      <c r="M4" s="150"/>
      <c r="N4" s="3" t="s">
        <v>391</v>
      </c>
      <c r="O4" s="3" t="s">
        <v>390</v>
      </c>
      <c r="P4" s="169"/>
      <c r="Q4" s="150"/>
      <c r="R4" s="150"/>
      <c r="S4" s="150"/>
      <c r="T4" s="152"/>
    </row>
    <row r="5" spans="2:19" ht="15.75">
      <c r="B5" s="153" t="s">
        <v>24</v>
      </c>
      <c r="C5" s="153"/>
      <c r="D5" s="153"/>
      <c r="E5" s="153"/>
      <c r="F5" s="153"/>
      <c r="G5" s="153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53"/>
      <c r="S5" s="153"/>
    </row>
    <row r="6" spans="1:20" ht="13.5">
      <c r="A6" s="109">
        <v>1</v>
      </c>
      <c r="B6" s="12" t="s">
        <v>269</v>
      </c>
      <c r="C6" s="12" t="s">
        <v>270</v>
      </c>
      <c r="D6" s="25">
        <v>86.5</v>
      </c>
      <c r="E6" s="12" t="str">
        <f>"0,6519"</f>
        <v>0,6519</v>
      </c>
      <c r="F6" s="12" t="s">
        <v>472</v>
      </c>
      <c r="G6" s="12" t="s">
        <v>28</v>
      </c>
      <c r="H6" s="126" t="s">
        <v>186</v>
      </c>
      <c r="I6" s="40"/>
      <c r="J6" s="40"/>
      <c r="K6" s="38"/>
      <c r="L6" s="40" t="s">
        <v>186</v>
      </c>
      <c r="M6" s="40" t="s">
        <v>479</v>
      </c>
      <c r="N6" s="40" t="s">
        <v>60</v>
      </c>
      <c r="O6" s="40" t="s">
        <v>415</v>
      </c>
      <c r="P6" s="40" t="s">
        <v>482</v>
      </c>
      <c r="Q6" s="40" t="s">
        <v>479</v>
      </c>
      <c r="R6" s="40" t="s">
        <v>485</v>
      </c>
      <c r="S6" s="40" t="s">
        <v>481</v>
      </c>
      <c r="T6" s="12" t="s">
        <v>345</v>
      </c>
    </row>
    <row r="8" spans="2:19" ht="15.75">
      <c r="B8" s="164" t="s">
        <v>285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</row>
    <row r="9" spans="1:20" ht="13.5">
      <c r="A9" s="109">
        <v>1</v>
      </c>
      <c r="B9" s="13" t="s">
        <v>288</v>
      </c>
      <c r="C9" s="13" t="s">
        <v>289</v>
      </c>
      <c r="D9" s="27">
        <v>103.2</v>
      </c>
      <c r="E9" s="13" t="str">
        <f>"0,6013"</f>
        <v>0,6013</v>
      </c>
      <c r="F9" s="13" t="s">
        <v>37</v>
      </c>
      <c r="G9" s="13" t="s">
        <v>28</v>
      </c>
      <c r="H9" s="127" t="s">
        <v>15</v>
      </c>
      <c r="I9" s="144"/>
      <c r="J9" s="144"/>
      <c r="K9" s="146"/>
      <c r="L9" s="144" t="s">
        <v>15</v>
      </c>
      <c r="M9" s="144" t="s">
        <v>479</v>
      </c>
      <c r="N9" s="144" t="s">
        <v>19</v>
      </c>
      <c r="O9" s="144" t="s">
        <v>414</v>
      </c>
      <c r="P9" s="144" t="s">
        <v>483</v>
      </c>
      <c r="Q9" s="144" t="s">
        <v>479</v>
      </c>
      <c r="R9" s="144" t="s">
        <v>485</v>
      </c>
      <c r="S9" s="144" t="s">
        <v>487</v>
      </c>
      <c r="T9" s="142" t="s">
        <v>360</v>
      </c>
    </row>
    <row r="10" spans="1:20" ht="13.5">
      <c r="A10" s="109">
        <v>1</v>
      </c>
      <c r="B10" s="14" t="s">
        <v>290</v>
      </c>
      <c r="C10" s="14" t="s">
        <v>291</v>
      </c>
      <c r="D10" s="28">
        <v>102.3</v>
      </c>
      <c r="E10" s="14" t="str">
        <f>"0,6032"</f>
        <v>0,6032</v>
      </c>
      <c r="F10" s="14" t="s">
        <v>146</v>
      </c>
      <c r="G10" s="14" t="s">
        <v>154</v>
      </c>
      <c r="H10" s="129" t="s">
        <v>43</v>
      </c>
      <c r="I10" s="145"/>
      <c r="J10" s="145"/>
      <c r="K10" s="147"/>
      <c r="L10" s="145" t="s">
        <v>43</v>
      </c>
      <c r="M10" s="145" t="s">
        <v>414</v>
      </c>
      <c r="N10" s="145" t="s">
        <v>19</v>
      </c>
      <c r="O10" s="145" t="s">
        <v>413</v>
      </c>
      <c r="P10" s="145" t="s">
        <v>484</v>
      </c>
      <c r="Q10" s="145" t="s">
        <v>414</v>
      </c>
      <c r="R10" s="145" t="s">
        <v>486</v>
      </c>
      <c r="S10" s="145" t="s">
        <v>488</v>
      </c>
      <c r="T10" s="143" t="s">
        <v>412</v>
      </c>
    </row>
    <row r="12" ht="15.75">
      <c r="F12" s="15"/>
    </row>
    <row r="13" ht="15.75">
      <c r="F13" s="15"/>
    </row>
    <row r="14" ht="15.75">
      <c r="F14" s="15"/>
    </row>
    <row r="15" ht="15.75">
      <c r="F15" s="15"/>
    </row>
    <row r="16" ht="15.75">
      <c r="F16" s="15"/>
    </row>
    <row r="17" ht="15.75">
      <c r="F17" s="15"/>
    </row>
    <row r="18" ht="15.75">
      <c r="F18" s="15"/>
    </row>
    <row r="20" spans="2:3" ht="18">
      <c r="B20" s="16"/>
      <c r="C20" s="16"/>
    </row>
  </sheetData>
  <sheetProtection/>
  <mergeCells count="19">
    <mergeCell ref="R3:R4"/>
    <mergeCell ref="S3:S4"/>
    <mergeCell ref="A3:A4"/>
    <mergeCell ref="T3:T4"/>
    <mergeCell ref="B5:S5"/>
    <mergeCell ref="B8:S8"/>
    <mergeCell ref="M3:M4"/>
    <mergeCell ref="P3:P4"/>
    <mergeCell ref="Q3:Q4"/>
    <mergeCell ref="B1:T2"/>
    <mergeCell ref="B3:B4"/>
    <mergeCell ref="C3:C4"/>
    <mergeCell ref="D3:D4"/>
    <mergeCell ref="E3:E4"/>
    <mergeCell ref="F3:F4"/>
    <mergeCell ref="G3:G4"/>
    <mergeCell ref="N3:O3"/>
    <mergeCell ref="H3:K3"/>
    <mergeCell ref="L3:L4"/>
  </mergeCells>
  <printOptions/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J42" sqref="J42"/>
    </sheetView>
  </sheetViews>
  <sheetFormatPr defaultColWidth="9.125" defaultRowHeight="12.75"/>
  <cols>
    <col min="1" max="1" width="9.125" style="85" customWidth="1"/>
    <col min="2" max="2" width="28.25390625" style="4" bestFit="1" customWidth="1"/>
    <col min="3" max="3" width="32.00390625" style="1" customWidth="1"/>
    <col min="4" max="4" width="10.625" style="119" bestFit="1" customWidth="1"/>
    <col min="5" max="5" width="22.75390625" style="5" bestFit="1" customWidth="1"/>
    <col min="6" max="6" width="30.25390625" style="5" bestFit="1" customWidth="1"/>
    <col min="7" max="7" width="4.25390625" style="1" customWidth="1"/>
    <col min="8" max="9" width="4.625" style="1" bestFit="1" customWidth="1"/>
    <col min="10" max="10" width="5.625" style="1" customWidth="1"/>
    <col min="11" max="11" width="12.125" style="30" customWidth="1"/>
    <col min="12" max="12" width="22.125" style="5" bestFit="1" customWidth="1"/>
    <col min="13" max="16384" width="9.125" style="1" customWidth="1"/>
  </cols>
  <sheetData>
    <row r="1" spans="1:12" ht="15" customHeight="1">
      <c r="A1" s="77"/>
      <c r="B1" s="154" t="s">
        <v>468</v>
      </c>
      <c r="C1" s="155"/>
      <c r="D1" s="155"/>
      <c r="E1" s="155"/>
      <c r="F1" s="155"/>
      <c r="G1" s="155"/>
      <c r="H1" s="155"/>
      <c r="I1" s="155"/>
      <c r="J1" s="155"/>
      <c r="K1" s="155"/>
      <c r="L1" s="156"/>
    </row>
    <row r="2" spans="1:12" ht="120.75" customHeight="1" thickBot="1">
      <c r="A2" s="76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1:12" s="2" customFormat="1" ht="12.75" customHeight="1">
      <c r="A3" s="165" t="s">
        <v>368</v>
      </c>
      <c r="B3" s="160" t="s">
        <v>0</v>
      </c>
      <c r="C3" s="162" t="s">
        <v>469</v>
      </c>
      <c r="D3" s="162" t="s">
        <v>470</v>
      </c>
      <c r="E3" s="149" t="s">
        <v>7</v>
      </c>
      <c r="F3" s="149" t="s">
        <v>471</v>
      </c>
      <c r="G3" s="172" t="s">
        <v>3</v>
      </c>
      <c r="H3" s="172"/>
      <c r="I3" s="172"/>
      <c r="J3" s="173"/>
      <c r="K3" s="149" t="s">
        <v>378</v>
      </c>
      <c r="L3" s="151" t="s">
        <v>5</v>
      </c>
    </row>
    <row r="4" spans="1:12" s="2" customFormat="1" ht="21" customHeight="1" thickBot="1">
      <c r="A4" s="148"/>
      <c r="B4" s="161"/>
      <c r="C4" s="150"/>
      <c r="D4" s="163"/>
      <c r="E4" s="150"/>
      <c r="F4" s="150"/>
      <c r="G4" s="3" t="s">
        <v>369</v>
      </c>
      <c r="H4" s="3" t="s">
        <v>375</v>
      </c>
      <c r="I4" s="3" t="s">
        <v>376</v>
      </c>
      <c r="J4" s="3" t="s">
        <v>432</v>
      </c>
      <c r="K4" s="150"/>
      <c r="L4" s="152"/>
    </row>
    <row r="5" spans="2:11" ht="15.75">
      <c r="B5" s="175" t="s">
        <v>143</v>
      </c>
      <c r="C5" s="153"/>
      <c r="D5" s="153"/>
      <c r="E5" s="153"/>
      <c r="F5" s="153"/>
      <c r="G5" s="153"/>
      <c r="H5" s="153"/>
      <c r="I5" s="153"/>
      <c r="J5" s="153"/>
      <c r="K5" s="153"/>
    </row>
    <row r="6" spans="1:12" ht="12.75">
      <c r="A6" s="85" t="s">
        <v>369</v>
      </c>
      <c r="B6" s="24" t="s">
        <v>456</v>
      </c>
      <c r="C6" s="6" t="s">
        <v>467</v>
      </c>
      <c r="D6" s="120">
        <v>50</v>
      </c>
      <c r="E6" s="7" t="s">
        <v>37</v>
      </c>
      <c r="F6" s="7" t="s">
        <v>28</v>
      </c>
      <c r="G6" s="126" t="s">
        <v>466</v>
      </c>
      <c r="H6" s="126" t="s">
        <v>455</v>
      </c>
      <c r="I6" s="33" t="s">
        <v>465</v>
      </c>
      <c r="J6" s="34"/>
      <c r="K6" s="35" t="s">
        <v>455</v>
      </c>
      <c r="L6" s="7" t="s">
        <v>346</v>
      </c>
    </row>
    <row r="8" spans="2:11" ht="15.75">
      <c r="B8" s="174" t="s">
        <v>464</v>
      </c>
      <c r="C8" s="164"/>
      <c r="D8" s="164"/>
      <c r="E8" s="164"/>
      <c r="F8" s="164"/>
      <c r="G8" s="164"/>
      <c r="H8" s="164"/>
      <c r="I8" s="164"/>
      <c r="J8" s="164"/>
      <c r="K8" s="164"/>
    </row>
    <row r="9" spans="1:12" ht="12.75">
      <c r="A9" s="85" t="s">
        <v>369</v>
      </c>
      <c r="B9" s="99" t="s">
        <v>453</v>
      </c>
      <c r="C9" s="97" t="s">
        <v>463</v>
      </c>
      <c r="D9" s="125">
        <v>74.4</v>
      </c>
      <c r="E9" s="93" t="s">
        <v>27</v>
      </c>
      <c r="F9" s="93" t="s">
        <v>28</v>
      </c>
      <c r="G9" s="127" t="s">
        <v>451</v>
      </c>
      <c r="H9" s="127" t="s">
        <v>449</v>
      </c>
      <c r="I9" s="127" t="s">
        <v>448</v>
      </c>
      <c r="J9" s="124"/>
      <c r="K9" s="94" t="s">
        <v>448</v>
      </c>
      <c r="L9" s="93" t="s">
        <v>345</v>
      </c>
    </row>
    <row r="10" spans="1:12" ht="12.75">
      <c r="A10" s="85" t="s">
        <v>375</v>
      </c>
      <c r="B10" s="92" t="s">
        <v>452</v>
      </c>
      <c r="C10" s="90" t="s">
        <v>462</v>
      </c>
      <c r="D10" s="123">
        <v>78.2</v>
      </c>
      <c r="E10" s="86" t="s">
        <v>472</v>
      </c>
      <c r="F10" s="86" t="s">
        <v>111</v>
      </c>
      <c r="G10" s="129" t="s">
        <v>461</v>
      </c>
      <c r="H10" s="129" t="s">
        <v>451</v>
      </c>
      <c r="I10" s="122" t="s">
        <v>449</v>
      </c>
      <c r="J10" s="121"/>
      <c r="K10" s="87" t="s">
        <v>451</v>
      </c>
      <c r="L10" s="86" t="s">
        <v>345</v>
      </c>
    </row>
    <row r="12" spans="2:11" ht="15.75">
      <c r="B12" s="174" t="s">
        <v>34</v>
      </c>
      <c r="C12" s="164"/>
      <c r="D12" s="164"/>
      <c r="E12" s="164"/>
      <c r="F12" s="164"/>
      <c r="G12" s="164"/>
      <c r="H12" s="164"/>
      <c r="I12" s="164"/>
      <c r="J12" s="164"/>
      <c r="K12" s="164"/>
    </row>
    <row r="13" spans="1:12" ht="12.75">
      <c r="A13" s="85" t="s">
        <v>369</v>
      </c>
      <c r="B13" s="99" t="s">
        <v>443</v>
      </c>
      <c r="C13" s="97" t="s">
        <v>444</v>
      </c>
      <c r="D13" s="125">
        <v>92.2</v>
      </c>
      <c r="E13" s="93" t="s">
        <v>27</v>
      </c>
      <c r="F13" s="93" t="s">
        <v>28</v>
      </c>
      <c r="G13" s="127" t="s">
        <v>460</v>
      </c>
      <c r="H13" s="127" t="s">
        <v>459</v>
      </c>
      <c r="I13" s="127" t="s">
        <v>454</v>
      </c>
      <c r="J13" s="124"/>
      <c r="K13" s="94" t="s">
        <v>454</v>
      </c>
      <c r="L13" s="93" t="s">
        <v>345</v>
      </c>
    </row>
    <row r="14" spans="1:12" ht="12.75">
      <c r="A14" s="85" t="s">
        <v>375</v>
      </c>
      <c r="B14" s="92" t="s">
        <v>450</v>
      </c>
      <c r="C14" s="90" t="s">
        <v>440</v>
      </c>
      <c r="D14" s="123">
        <v>99.8</v>
      </c>
      <c r="E14" s="86" t="s">
        <v>27</v>
      </c>
      <c r="F14" s="86" t="s">
        <v>425</v>
      </c>
      <c r="G14" s="129" t="s">
        <v>451</v>
      </c>
      <c r="H14" s="129" t="s">
        <v>449</v>
      </c>
      <c r="I14" s="122" t="s">
        <v>458</v>
      </c>
      <c r="J14" s="121"/>
      <c r="K14" s="87" t="s">
        <v>449</v>
      </c>
      <c r="L14" s="86" t="s">
        <v>345</v>
      </c>
    </row>
    <row r="16" spans="2:11" ht="15.75">
      <c r="B16" s="174" t="s">
        <v>285</v>
      </c>
      <c r="C16" s="164"/>
      <c r="D16" s="164"/>
      <c r="E16" s="164"/>
      <c r="F16" s="164"/>
      <c r="G16" s="164"/>
      <c r="H16" s="164"/>
      <c r="I16" s="164"/>
      <c r="J16" s="164"/>
      <c r="K16" s="164"/>
    </row>
    <row r="17" spans="1:12" ht="12.75">
      <c r="A17" s="85" t="s">
        <v>369</v>
      </c>
      <c r="B17" s="24" t="s">
        <v>422</v>
      </c>
      <c r="C17" s="6" t="s">
        <v>427</v>
      </c>
      <c r="D17" s="120">
        <v>107</v>
      </c>
      <c r="E17" s="7" t="s">
        <v>27</v>
      </c>
      <c r="F17" s="7" t="s">
        <v>425</v>
      </c>
      <c r="G17" s="126" t="s">
        <v>451</v>
      </c>
      <c r="H17" s="126" t="s">
        <v>457</v>
      </c>
      <c r="I17" s="126" t="s">
        <v>448</v>
      </c>
      <c r="J17" s="34"/>
      <c r="K17" s="35" t="s">
        <v>448</v>
      </c>
      <c r="L17" s="7" t="s">
        <v>345</v>
      </c>
    </row>
    <row r="19" spans="2:11" ht="15.75">
      <c r="B19" s="174" t="s">
        <v>439</v>
      </c>
      <c r="C19" s="164"/>
      <c r="D19" s="164"/>
      <c r="E19" s="164"/>
      <c r="F19" s="164"/>
      <c r="G19" s="164"/>
      <c r="H19" s="164"/>
      <c r="I19" s="164"/>
      <c r="J19" s="164"/>
      <c r="K19" s="164"/>
    </row>
    <row r="20" spans="1:12" ht="12.75">
      <c r="A20" s="85" t="s">
        <v>369</v>
      </c>
      <c r="B20" s="24" t="s">
        <v>422</v>
      </c>
      <c r="C20" s="6" t="s">
        <v>438</v>
      </c>
      <c r="D20" s="120">
        <v>107</v>
      </c>
      <c r="E20" s="7" t="s">
        <v>27</v>
      </c>
      <c r="F20" s="7" t="s">
        <v>425</v>
      </c>
      <c r="G20" s="126" t="s">
        <v>451</v>
      </c>
      <c r="H20" s="126" t="s">
        <v>457</v>
      </c>
      <c r="I20" s="126" t="s">
        <v>448</v>
      </c>
      <c r="J20" s="34"/>
      <c r="K20" s="35" t="s">
        <v>448</v>
      </c>
      <c r="L20" s="7" t="s">
        <v>345</v>
      </c>
    </row>
  </sheetData>
  <sheetProtection/>
  <mergeCells count="15">
    <mergeCell ref="F3:F4"/>
    <mergeCell ref="E3:E4"/>
    <mergeCell ref="G3:J3"/>
    <mergeCell ref="K3:K4"/>
    <mergeCell ref="A3:A4"/>
    <mergeCell ref="B12:K12"/>
    <mergeCell ref="B16:K16"/>
    <mergeCell ref="B19:K19"/>
    <mergeCell ref="B1:L2"/>
    <mergeCell ref="B3:B4"/>
    <mergeCell ref="C3:C4"/>
    <mergeCell ref="D3:D4"/>
    <mergeCell ref="B5:K5"/>
    <mergeCell ref="B8:K8"/>
    <mergeCell ref="L3:L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P23" sqref="P23"/>
    </sheetView>
  </sheetViews>
  <sheetFormatPr defaultColWidth="8.75390625" defaultRowHeight="12.75"/>
  <cols>
    <col min="1" max="1" width="9.125" style="37" customWidth="1"/>
    <col min="2" max="3" width="26.00390625" style="11" bestFit="1" customWidth="1"/>
    <col min="4" max="4" width="10.625" style="66" bestFit="1" customWidth="1"/>
    <col min="5" max="5" width="8.375" style="11" bestFit="1" customWidth="1"/>
    <col min="6" max="6" width="22.75390625" style="11" bestFit="1" customWidth="1"/>
    <col min="7" max="7" width="30.25390625" style="11" bestFit="1" customWidth="1"/>
    <col min="8" max="10" width="5.625" style="26" bestFit="1" customWidth="1"/>
    <col min="11" max="11" width="4.625" style="26" bestFit="1" customWidth="1"/>
    <col min="12" max="14" width="5.625" style="26" bestFit="1" customWidth="1"/>
    <col min="15" max="15" width="4.625" style="26" bestFit="1" customWidth="1"/>
    <col min="16" max="18" width="5.625" style="26" bestFit="1" customWidth="1"/>
    <col min="19" max="19" width="4.625" style="26" bestFit="1" customWidth="1"/>
    <col min="20" max="20" width="7.875" style="26" bestFit="1" customWidth="1"/>
    <col min="21" max="21" width="8.625" style="26" bestFit="1" customWidth="1"/>
    <col min="22" max="22" width="26.125" style="11" bestFit="1" customWidth="1"/>
  </cols>
  <sheetData>
    <row r="1" spans="1:22" s="1" customFormat="1" ht="15" customHeight="1">
      <c r="A1" s="59"/>
      <c r="B1" s="154" t="s">
        <v>371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6"/>
    </row>
    <row r="2" spans="1:22" s="1" customFormat="1" ht="106.5" customHeight="1" thickBot="1">
      <c r="A2" s="32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9"/>
    </row>
    <row r="3" spans="1:22" s="2" customFormat="1" ht="12.75" customHeight="1">
      <c r="A3" s="165" t="s">
        <v>368</v>
      </c>
      <c r="B3" s="160" t="s">
        <v>0</v>
      </c>
      <c r="C3" s="162" t="s">
        <v>469</v>
      </c>
      <c r="D3" s="162" t="s">
        <v>470</v>
      </c>
      <c r="E3" s="149" t="s">
        <v>9</v>
      </c>
      <c r="F3" s="149" t="s">
        <v>7</v>
      </c>
      <c r="G3" s="149" t="s">
        <v>471</v>
      </c>
      <c r="H3" s="149" t="s">
        <v>1</v>
      </c>
      <c r="I3" s="149"/>
      <c r="J3" s="149"/>
      <c r="K3" s="149"/>
      <c r="L3" s="149" t="s">
        <v>2</v>
      </c>
      <c r="M3" s="149"/>
      <c r="N3" s="149"/>
      <c r="O3" s="149"/>
      <c r="P3" s="149" t="s">
        <v>3</v>
      </c>
      <c r="Q3" s="149"/>
      <c r="R3" s="149"/>
      <c r="S3" s="149"/>
      <c r="T3" s="149" t="s">
        <v>4</v>
      </c>
      <c r="U3" s="149" t="s">
        <v>6</v>
      </c>
      <c r="V3" s="151" t="s">
        <v>5</v>
      </c>
    </row>
    <row r="4" spans="1:22" s="2" customFormat="1" ht="21" customHeight="1" thickBot="1">
      <c r="A4" s="148"/>
      <c r="B4" s="161"/>
      <c r="C4" s="150"/>
      <c r="D4" s="163"/>
      <c r="E4" s="150"/>
      <c r="F4" s="150"/>
      <c r="G4" s="150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50"/>
      <c r="U4" s="150"/>
      <c r="V4" s="152"/>
    </row>
    <row r="5" spans="2:21" ht="15.75">
      <c r="B5" s="153" t="s">
        <v>56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</row>
    <row r="6" spans="1:22" ht="12.75">
      <c r="A6" s="37">
        <v>1</v>
      </c>
      <c r="B6" s="12" t="s">
        <v>57</v>
      </c>
      <c r="C6" s="12" t="s">
        <v>58</v>
      </c>
      <c r="D6" s="65">
        <v>63.5</v>
      </c>
      <c r="E6" s="12" t="str">
        <f>"0,7897"</f>
        <v>0,7897</v>
      </c>
      <c r="F6" s="12" t="s">
        <v>13</v>
      </c>
      <c r="G6" s="12" t="s">
        <v>14</v>
      </c>
      <c r="H6" s="126" t="s">
        <v>43</v>
      </c>
      <c r="I6" s="126" t="s">
        <v>59</v>
      </c>
      <c r="J6" s="126" t="s">
        <v>30</v>
      </c>
      <c r="K6" s="38"/>
      <c r="L6" s="126" t="s">
        <v>60</v>
      </c>
      <c r="M6" s="126" t="s">
        <v>18</v>
      </c>
      <c r="N6" s="126" t="s">
        <v>61</v>
      </c>
      <c r="O6" s="38"/>
      <c r="P6" s="126" t="s">
        <v>59</v>
      </c>
      <c r="Q6" s="39" t="s">
        <v>15</v>
      </c>
      <c r="R6" s="126" t="s">
        <v>31</v>
      </c>
      <c r="S6" s="38"/>
      <c r="T6" s="40" t="s">
        <v>93</v>
      </c>
      <c r="U6" s="40" t="str">
        <f>"319,8083"</f>
        <v>319,8083</v>
      </c>
      <c r="V6" s="12" t="s">
        <v>367</v>
      </c>
    </row>
    <row r="8" spans="2:21" ht="15.75">
      <c r="B8" s="164" t="s">
        <v>10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</row>
    <row r="9" spans="1:22" ht="12.75">
      <c r="A9" s="37">
        <v>1</v>
      </c>
      <c r="B9" s="13" t="s">
        <v>62</v>
      </c>
      <c r="C9" s="13" t="s">
        <v>63</v>
      </c>
      <c r="D9" s="68">
        <v>74.3</v>
      </c>
      <c r="E9" s="13" t="str">
        <f>"0,6934"</f>
        <v>0,6934</v>
      </c>
      <c r="F9" s="13" t="s">
        <v>472</v>
      </c>
      <c r="G9" s="13" t="s">
        <v>28</v>
      </c>
      <c r="H9" s="127" t="s">
        <v>64</v>
      </c>
      <c r="I9" s="41" t="s">
        <v>38</v>
      </c>
      <c r="J9" s="41" t="s">
        <v>38</v>
      </c>
      <c r="K9" s="42"/>
      <c r="L9" s="127" t="s">
        <v>19</v>
      </c>
      <c r="M9" s="41" t="s">
        <v>65</v>
      </c>
      <c r="N9" s="41" t="s">
        <v>65</v>
      </c>
      <c r="O9" s="42"/>
      <c r="P9" s="127" t="s">
        <v>21</v>
      </c>
      <c r="Q9" s="127" t="s">
        <v>66</v>
      </c>
      <c r="R9" s="41" t="s">
        <v>67</v>
      </c>
      <c r="S9" s="42"/>
      <c r="T9" s="43">
        <v>487.5</v>
      </c>
      <c r="U9" s="43" t="str">
        <f>"338,0081"</f>
        <v>338,0081</v>
      </c>
      <c r="V9" s="13" t="s">
        <v>345</v>
      </c>
    </row>
    <row r="10" spans="1:22" ht="12.75">
      <c r="A10" s="37">
        <v>2</v>
      </c>
      <c r="B10" s="14" t="s">
        <v>68</v>
      </c>
      <c r="C10" s="14" t="s">
        <v>69</v>
      </c>
      <c r="D10" s="70">
        <v>74.6</v>
      </c>
      <c r="E10" s="14" t="str">
        <f>"0,6913"</f>
        <v>0,6913</v>
      </c>
      <c r="F10" s="14" t="s">
        <v>472</v>
      </c>
      <c r="G10" s="14" t="s">
        <v>70</v>
      </c>
      <c r="H10" s="44" t="s">
        <v>15</v>
      </c>
      <c r="I10" s="129" t="s">
        <v>15</v>
      </c>
      <c r="J10" s="129" t="s">
        <v>16</v>
      </c>
      <c r="K10" s="45"/>
      <c r="L10" s="44" t="s">
        <v>61</v>
      </c>
      <c r="M10" s="129" t="s">
        <v>61</v>
      </c>
      <c r="N10" s="129" t="s">
        <v>19</v>
      </c>
      <c r="O10" s="45"/>
      <c r="P10" s="129" t="s">
        <v>31</v>
      </c>
      <c r="Q10" s="129" t="s">
        <v>17</v>
      </c>
      <c r="R10" s="44" t="s">
        <v>71</v>
      </c>
      <c r="S10" s="45"/>
      <c r="T10" s="46" t="s">
        <v>96</v>
      </c>
      <c r="U10" s="46" t="str">
        <f>"300,6938"</f>
        <v>300,6938</v>
      </c>
      <c r="V10" s="14" t="s">
        <v>345</v>
      </c>
    </row>
    <row r="12" spans="2:21" ht="15.75">
      <c r="B12" s="164" t="s">
        <v>24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</row>
    <row r="13" spans="1:22" ht="12.75">
      <c r="A13" s="37">
        <v>1</v>
      </c>
      <c r="B13" s="12" t="s">
        <v>72</v>
      </c>
      <c r="C13" s="12" t="s">
        <v>73</v>
      </c>
      <c r="D13" s="65">
        <v>89.5</v>
      </c>
      <c r="E13" s="12" t="str">
        <f>"0,6137"</f>
        <v>0,6137</v>
      </c>
      <c r="F13" s="12" t="s">
        <v>472</v>
      </c>
      <c r="G13" s="12" t="s">
        <v>28</v>
      </c>
      <c r="H13" s="126" t="s">
        <v>15</v>
      </c>
      <c r="I13" s="39" t="s">
        <v>16</v>
      </c>
      <c r="J13" s="39" t="s">
        <v>74</v>
      </c>
      <c r="K13" s="38"/>
      <c r="L13" s="126" t="s">
        <v>75</v>
      </c>
      <c r="M13" s="126" t="s">
        <v>76</v>
      </c>
      <c r="N13" s="126" t="s">
        <v>43</v>
      </c>
      <c r="O13" s="38"/>
      <c r="P13" s="126" t="s">
        <v>74</v>
      </c>
      <c r="Q13" s="126" t="s">
        <v>21</v>
      </c>
      <c r="R13" s="39" t="s">
        <v>22</v>
      </c>
      <c r="S13" s="38"/>
      <c r="T13" s="40" t="s">
        <v>97</v>
      </c>
      <c r="U13" s="40" t="str">
        <f>"288,4625"</f>
        <v>288,4625</v>
      </c>
      <c r="V13" s="12" t="s">
        <v>366</v>
      </c>
    </row>
    <row r="15" spans="2:21" ht="15.75">
      <c r="B15" s="164" t="s">
        <v>34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</row>
    <row r="16" spans="1:22" ht="12.75">
      <c r="A16" s="37">
        <v>1</v>
      </c>
      <c r="B16" s="12" t="s">
        <v>77</v>
      </c>
      <c r="C16" s="12" t="s">
        <v>78</v>
      </c>
      <c r="D16" s="65">
        <v>99</v>
      </c>
      <c r="E16" s="12" t="str">
        <f>"0,5838"</f>
        <v>0,5838</v>
      </c>
      <c r="F16" s="12" t="s">
        <v>472</v>
      </c>
      <c r="G16" s="12" t="s">
        <v>28</v>
      </c>
      <c r="H16" s="126" t="s">
        <v>64</v>
      </c>
      <c r="I16" s="126" t="s">
        <v>38</v>
      </c>
      <c r="J16" s="126" t="s">
        <v>79</v>
      </c>
      <c r="K16" s="38"/>
      <c r="L16" s="126" t="s">
        <v>59</v>
      </c>
      <c r="M16" s="39" t="s">
        <v>15</v>
      </c>
      <c r="N16" s="39" t="s">
        <v>15</v>
      </c>
      <c r="O16" s="38"/>
      <c r="P16" s="126" t="s">
        <v>22</v>
      </c>
      <c r="Q16" s="126" t="s">
        <v>23</v>
      </c>
      <c r="R16" s="126" t="s">
        <v>29</v>
      </c>
      <c r="S16" s="38"/>
      <c r="T16" s="40">
        <v>552.5</v>
      </c>
      <c r="U16" s="40" t="str">
        <f>"322,5495"</f>
        <v>322,5495</v>
      </c>
      <c r="V16" s="12" t="s">
        <v>345</v>
      </c>
    </row>
    <row r="18" spans="2:21" ht="15.75">
      <c r="B18" s="164" t="s">
        <v>80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</row>
    <row r="19" spans="1:22" ht="12.75">
      <c r="A19" s="37">
        <v>1</v>
      </c>
      <c r="B19" s="13" t="s">
        <v>81</v>
      </c>
      <c r="C19" s="13" t="s">
        <v>82</v>
      </c>
      <c r="D19" s="68">
        <v>121</v>
      </c>
      <c r="E19" s="13" t="str">
        <f>"0,5499"</f>
        <v>0,5499</v>
      </c>
      <c r="F19" s="13" t="s">
        <v>27</v>
      </c>
      <c r="G19" s="13" t="s">
        <v>28</v>
      </c>
      <c r="H19" s="127" t="s">
        <v>83</v>
      </c>
      <c r="I19" s="127" t="s">
        <v>84</v>
      </c>
      <c r="J19" s="127" t="s">
        <v>85</v>
      </c>
      <c r="K19" s="42"/>
      <c r="L19" s="127" t="s">
        <v>16</v>
      </c>
      <c r="M19" s="127" t="s">
        <v>86</v>
      </c>
      <c r="N19" s="41" t="s">
        <v>87</v>
      </c>
      <c r="O19" s="42"/>
      <c r="P19" s="127" t="s">
        <v>84</v>
      </c>
      <c r="Q19" s="127" t="s">
        <v>88</v>
      </c>
      <c r="R19" s="127" t="s">
        <v>89</v>
      </c>
      <c r="S19" s="42"/>
      <c r="T19" s="43" t="s">
        <v>95</v>
      </c>
      <c r="U19" s="43" t="str">
        <f>"398,6775"</f>
        <v>398,6775</v>
      </c>
      <c r="V19" s="13" t="s">
        <v>345</v>
      </c>
    </row>
    <row r="20" spans="2:22" ht="12.75">
      <c r="B20" s="14" t="s">
        <v>90</v>
      </c>
      <c r="C20" s="14" t="s">
        <v>91</v>
      </c>
      <c r="D20" s="70">
        <v>123.5</v>
      </c>
      <c r="E20" s="14" t="str">
        <f>"0,5472"</f>
        <v>0,5472</v>
      </c>
      <c r="F20" s="14" t="s">
        <v>13</v>
      </c>
      <c r="G20" s="14" t="s">
        <v>14</v>
      </c>
      <c r="H20" s="44" t="s">
        <v>22</v>
      </c>
      <c r="I20" s="44" t="s">
        <v>22</v>
      </c>
      <c r="J20" s="44" t="s">
        <v>22</v>
      </c>
      <c r="K20" s="45"/>
      <c r="L20" s="45"/>
      <c r="M20" s="45"/>
      <c r="N20" s="45"/>
      <c r="O20" s="45"/>
      <c r="P20" s="44"/>
      <c r="Q20" s="45"/>
      <c r="R20" s="45"/>
      <c r="S20" s="45"/>
      <c r="T20" s="46">
        <v>0</v>
      </c>
      <c r="U20" s="46" t="s">
        <v>476</v>
      </c>
      <c r="V20" s="14" t="s">
        <v>345</v>
      </c>
    </row>
    <row r="22" ht="15.75">
      <c r="F22" s="15"/>
    </row>
    <row r="23" ht="15.75">
      <c r="F23" s="15"/>
    </row>
    <row r="24" ht="15.75">
      <c r="F24" s="15"/>
    </row>
    <row r="25" ht="15.75">
      <c r="F25" s="15"/>
    </row>
    <row r="26" ht="15.75">
      <c r="F26" s="15"/>
    </row>
    <row r="27" ht="15.75">
      <c r="F27" s="15"/>
    </row>
    <row r="28" ht="15.75">
      <c r="F28" s="15"/>
    </row>
    <row r="30" spans="2:3" ht="18">
      <c r="B30" s="16"/>
      <c r="C30" s="16"/>
    </row>
  </sheetData>
  <sheetProtection/>
  <mergeCells count="19"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B15:U15"/>
    <mergeCell ref="B18:U18"/>
    <mergeCell ref="T3:T4"/>
    <mergeCell ref="U3:U4"/>
    <mergeCell ref="V3:V4"/>
    <mergeCell ref="B5:U5"/>
    <mergeCell ref="B8:U8"/>
    <mergeCell ref="B12:U12"/>
  </mergeCells>
  <printOptions/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F31" sqref="F31"/>
    </sheetView>
  </sheetViews>
  <sheetFormatPr defaultColWidth="8.75390625" defaultRowHeight="12.75"/>
  <cols>
    <col min="1" max="1" width="9.125" style="72" customWidth="1"/>
    <col min="2" max="2" width="26.00390625" style="11" bestFit="1" customWidth="1"/>
    <col min="3" max="3" width="32.125" style="11" customWidth="1"/>
    <col min="4" max="4" width="10.625" style="26" bestFit="1" customWidth="1"/>
    <col min="5" max="5" width="22.75390625" style="11" bestFit="1" customWidth="1"/>
    <col min="6" max="6" width="30.25390625" style="11" bestFit="1" customWidth="1"/>
    <col min="7" max="9" width="5.625" style="11" bestFit="1" customWidth="1"/>
    <col min="10" max="10" width="5.00390625" style="11" customWidth="1"/>
    <col min="11" max="11" width="13.125" style="71" customWidth="1"/>
    <col min="12" max="12" width="27.625" style="11" bestFit="1" customWidth="1"/>
  </cols>
  <sheetData>
    <row r="1" spans="1:12" s="1" customFormat="1" ht="15" customHeight="1">
      <c r="A1" s="77"/>
      <c r="B1" s="154" t="s">
        <v>447</v>
      </c>
      <c r="C1" s="155"/>
      <c r="D1" s="155"/>
      <c r="E1" s="155"/>
      <c r="F1" s="155"/>
      <c r="G1" s="155"/>
      <c r="H1" s="155"/>
      <c r="I1" s="155"/>
      <c r="J1" s="155"/>
      <c r="K1" s="155"/>
      <c r="L1" s="156"/>
    </row>
    <row r="2" spans="1:12" s="1" customFormat="1" ht="90" customHeight="1" thickBot="1">
      <c r="A2" s="76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1:12" s="2" customFormat="1" ht="12.75" customHeight="1">
      <c r="A3" s="165" t="s">
        <v>368</v>
      </c>
      <c r="B3" s="160" t="s">
        <v>0</v>
      </c>
      <c r="C3" s="162" t="s">
        <v>469</v>
      </c>
      <c r="D3" s="162" t="s">
        <v>470</v>
      </c>
      <c r="E3" s="149" t="s">
        <v>7</v>
      </c>
      <c r="F3" s="149" t="s">
        <v>471</v>
      </c>
      <c r="G3" s="172" t="s">
        <v>3</v>
      </c>
      <c r="H3" s="172"/>
      <c r="I3" s="172"/>
      <c r="J3" s="173"/>
      <c r="K3" s="168" t="s">
        <v>378</v>
      </c>
      <c r="L3" s="151" t="s">
        <v>5</v>
      </c>
    </row>
    <row r="4" spans="1:12" s="2" customFormat="1" ht="21" customHeight="1" thickBot="1">
      <c r="A4" s="148"/>
      <c r="B4" s="161"/>
      <c r="C4" s="150"/>
      <c r="D4" s="163"/>
      <c r="E4" s="150"/>
      <c r="F4" s="150"/>
      <c r="G4" s="3" t="s">
        <v>369</v>
      </c>
      <c r="H4" s="3" t="s">
        <v>375</v>
      </c>
      <c r="I4" s="3" t="s">
        <v>376</v>
      </c>
      <c r="J4" s="3" t="s">
        <v>432</v>
      </c>
      <c r="K4" s="169"/>
      <c r="L4" s="152"/>
    </row>
    <row r="5" spans="2:11" ht="15.75">
      <c r="B5" s="153" t="s">
        <v>24</v>
      </c>
      <c r="C5" s="153"/>
      <c r="D5" s="153"/>
      <c r="E5" s="153"/>
      <c r="F5" s="153"/>
      <c r="G5" s="153"/>
      <c r="H5" s="153"/>
      <c r="I5" s="153"/>
      <c r="J5" s="153"/>
      <c r="K5" s="153"/>
    </row>
    <row r="6" spans="1:12" ht="12.75">
      <c r="A6" s="72">
        <v>1</v>
      </c>
      <c r="B6" s="13" t="s">
        <v>333</v>
      </c>
      <c r="C6" s="13" t="s">
        <v>446</v>
      </c>
      <c r="D6" s="118">
        <v>84.5</v>
      </c>
      <c r="E6" s="13" t="s">
        <v>472</v>
      </c>
      <c r="F6" s="13" t="s">
        <v>111</v>
      </c>
      <c r="G6" s="127" t="s">
        <v>19</v>
      </c>
      <c r="H6" s="41" t="s">
        <v>76</v>
      </c>
      <c r="I6" s="41" t="s">
        <v>76</v>
      </c>
      <c r="J6" s="42"/>
      <c r="K6" s="82">
        <v>110</v>
      </c>
      <c r="L6" s="13" t="s">
        <v>345</v>
      </c>
    </row>
    <row r="7" spans="1:12" ht="12.75">
      <c r="A7" s="72">
        <v>1</v>
      </c>
      <c r="B7" s="23" t="s">
        <v>420</v>
      </c>
      <c r="C7" s="23" t="s">
        <v>431</v>
      </c>
      <c r="D7" s="117">
        <v>84.7</v>
      </c>
      <c r="E7" s="23" t="s">
        <v>27</v>
      </c>
      <c r="F7" s="23" t="s">
        <v>28</v>
      </c>
      <c r="G7" s="128" t="s">
        <v>30</v>
      </c>
      <c r="H7" s="128" t="s">
        <v>15</v>
      </c>
      <c r="I7" s="128" t="s">
        <v>186</v>
      </c>
      <c r="J7" s="54"/>
      <c r="K7" s="80">
        <v>152.5</v>
      </c>
      <c r="L7" s="23" t="s">
        <v>356</v>
      </c>
    </row>
    <row r="8" spans="1:12" ht="12.75">
      <c r="A8" s="72">
        <v>2</v>
      </c>
      <c r="B8" s="14" t="s">
        <v>442</v>
      </c>
      <c r="C8" s="14" t="s">
        <v>445</v>
      </c>
      <c r="D8" s="116">
        <v>88.8</v>
      </c>
      <c r="E8" s="14" t="s">
        <v>37</v>
      </c>
      <c r="F8" s="14" t="s">
        <v>28</v>
      </c>
      <c r="G8" s="129" t="s">
        <v>18</v>
      </c>
      <c r="H8" s="44" t="s">
        <v>235</v>
      </c>
      <c r="I8" s="44" t="s">
        <v>235</v>
      </c>
      <c r="J8" s="45"/>
      <c r="K8" s="78">
        <v>100</v>
      </c>
      <c r="L8" s="14" t="s">
        <v>346</v>
      </c>
    </row>
    <row r="10" spans="2:11" ht="15.75">
      <c r="B10" s="164" t="s">
        <v>34</v>
      </c>
      <c r="C10" s="164"/>
      <c r="D10" s="164"/>
      <c r="E10" s="164"/>
      <c r="F10" s="164"/>
      <c r="G10" s="164"/>
      <c r="H10" s="164"/>
      <c r="I10" s="164"/>
      <c r="J10" s="164"/>
      <c r="K10" s="164"/>
    </row>
    <row r="11" spans="1:12" ht="12.75">
      <c r="A11" s="72">
        <v>1</v>
      </c>
      <c r="B11" s="13" t="s">
        <v>443</v>
      </c>
      <c r="C11" s="13" t="s">
        <v>444</v>
      </c>
      <c r="D11" s="27">
        <v>92.2</v>
      </c>
      <c r="E11" s="13" t="s">
        <v>27</v>
      </c>
      <c r="F11" s="13" t="s">
        <v>28</v>
      </c>
      <c r="G11" s="127" t="s">
        <v>16</v>
      </c>
      <c r="H11" s="127" t="s">
        <v>114</v>
      </c>
      <c r="I11" s="127" t="s">
        <v>86</v>
      </c>
      <c r="J11" s="42"/>
      <c r="K11" s="82">
        <v>172.5</v>
      </c>
      <c r="L11" s="13" t="s">
        <v>345</v>
      </c>
    </row>
    <row r="12" spans="1:12" ht="12.75">
      <c r="A12" s="72">
        <v>2</v>
      </c>
      <c r="B12" s="14" t="s">
        <v>436</v>
      </c>
      <c r="C12" s="14" t="s">
        <v>440</v>
      </c>
      <c r="D12" s="28">
        <v>99.8</v>
      </c>
      <c r="E12" s="14" t="s">
        <v>27</v>
      </c>
      <c r="F12" s="14" t="s">
        <v>425</v>
      </c>
      <c r="G12" s="129" t="s">
        <v>30</v>
      </c>
      <c r="H12" s="44" t="s">
        <v>186</v>
      </c>
      <c r="I12" s="44" t="s">
        <v>186</v>
      </c>
      <c r="J12" s="45"/>
      <c r="K12" s="78">
        <v>145</v>
      </c>
      <c r="L12" s="14" t="s">
        <v>345</v>
      </c>
    </row>
    <row r="14" spans="2:11" ht="15.75">
      <c r="B14" s="164" t="s">
        <v>285</v>
      </c>
      <c r="C14" s="164"/>
      <c r="D14" s="164"/>
      <c r="E14" s="164"/>
      <c r="F14" s="164"/>
      <c r="G14" s="164"/>
      <c r="H14" s="164"/>
      <c r="I14" s="164"/>
      <c r="J14" s="164"/>
      <c r="K14" s="164"/>
    </row>
    <row r="15" spans="1:12" ht="12.75">
      <c r="A15" s="72">
        <v>1</v>
      </c>
      <c r="B15" s="12" t="s">
        <v>422</v>
      </c>
      <c r="C15" s="12" t="s">
        <v>427</v>
      </c>
      <c r="D15" s="65">
        <v>107</v>
      </c>
      <c r="E15" s="12" t="s">
        <v>27</v>
      </c>
      <c r="F15" s="12" t="s">
        <v>425</v>
      </c>
      <c r="G15" s="126" t="s">
        <v>30</v>
      </c>
      <c r="H15" s="39" t="s">
        <v>15</v>
      </c>
      <c r="I15" s="126" t="s">
        <v>15</v>
      </c>
      <c r="J15" s="38"/>
      <c r="K15" s="74">
        <v>150</v>
      </c>
      <c r="L15" s="12" t="s">
        <v>345</v>
      </c>
    </row>
    <row r="17" spans="2:11" ht="15.75">
      <c r="B17" s="164" t="s">
        <v>439</v>
      </c>
      <c r="C17" s="164"/>
      <c r="D17" s="164"/>
      <c r="E17" s="164"/>
      <c r="F17" s="164"/>
      <c r="G17" s="164"/>
      <c r="H17" s="164"/>
      <c r="I17" s="164"/>
      <c r="J17" s="164"/>
      <c r="K17" s="164"/>
    </row>
    <row r="18" spans="1:12" ht="12.75">
      <c r="A18" s="72">
        <v>1</v>
      </c>
      <c r="B18" s="12" t="s">
        <v>422</v>
      </c>
      <c r="C18" s="12" t="s">
        <v>438</v>
      </c>
      <c r="D18" s="73" t="s">
        <v>426</v>
      </c>
      <c r="E18" s="12" t="s">
        <v>27</v>
      </c>
      <c r="F18" s="12" t="s">
        <v>425</v>
      </c>
      <c r="G18" s="126" t="s">
        <v>30</v>
      </c>
      <c r="H18" s="39" t="s">
        <v>15</v>
      </c>
      <c r="I18" s="126" t="s">
        <v>15</v>
      </c>
      <c r="J18" s="38"/>
      <c r="K18" s="74">
        <v>150</v>
      </c>
      <c r="L18" s="12" t="s">
        <v>345</v>
      </c>
    </row>
    <row r="20" spans="2:3" ht="13.5">
      <c r="B20" s="19"/>
      <c r="C20" s="20" t="s">
        <v>45</v>
      </c>
    </row>
    <row r="21" spans="2:5" ht="13.5">
      <c r="B21" s="21" t="s">
        <v>46</v>
      </c>
      <c r="C21" s="21" t="s">
        <v>47</v>
      </c>
      <c r="D21" s="21" t="s">
        <v>48</v>
      </c>
      <c r="E21" s="21" t="s">
        <v>378</v>
      </c>
    </row>
    <row r="22" spans="1:5" ht="12.75">
      <c r="A22" s="72">
        <v>1</v>
      </c>
      <c r="B22" s="18" t="s">
        <v>443</v>
      </c>
      <c r="C22" s="11" t="s">
        <v>45</v>
      </c>
      <c r="D22" s="61" t="s">
        <v>54</v>
      </c>
      <c r="E22" s="138" t="s">
        <v>86</v>
      </c>
    </row>
    <row r="23" spans="1:5" ht="12.75">
      <c r="A23" s="72">
        <v>2</v>
      </c>
      <c r="B23" s="18" t="s">
        <v>420</v>
      </c>
      <c r="C23" s="11" t="s">
        <v>45</v>
      </c>
      <c r="D23" s="61" t="s">
        <v>51</v>
      </c>
      <c r="E23" s="138" t="s">
        <v>186</v>
      </c>
    </row>
    <row r="24" spans="1:5" ht="12.75">
      <c r="A24" s="72">
        <v>3</v>
      </c>
      <c r="B24" s="18" t="s">
        <v>422</v>
      </c>
      <c r="C24" s="11" t="s">
        <v>45</v>
      </c>
      <c r="D24" s="61" t="s">
        <v>297</v>
      </c>
      <c r="E24" s="138" t="s">
        <v>15</v>
      </c>
    </row>
  </sheetData>
  <sheetProtection/>
  <mergeCells count="14">
    <mergeCell ref="G3:J3"/>
    <mergeCell ref="K3:K4"/>
    <mergeCell ref="L3:L4"/>
    <mergeCell ref="A3:A4"/>
    <mergeCell ref="B5:K5"/>
    <mergeCell ref="B10:K10"/>
    <mergeCell ref="B14:K14"/>
    <mergeCell ref="B17:K17"/>
    <mergeCell ref="B1:L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19" sqref="D19"/>
    </sheetView>
  </sheetViews>
  <sheetFormatPr defaultColWidth="8.75390625" defaultRowHeight="12.75"/>
  <cols>
    <col min="1" max="1" width="9.125" style="37" customWidth="1"/>
    <col min="2" max="2" width="26.00390625" style="11" bestFit="1" customWidth="1"/>
    <col min="3" max="3" width="32.625" style="11" customWidth="1"/>
    <col min="4" max="4" width="10.625" style="110" bestFit="1" customWidth="1"/>
    <col min="5" max="5" width="22.75390625" style="11" bestFit="1" customWidth="1"/>
    <col min="6" max="6" width="30.25390625" style="11" bestFit="1" customWidth="1"/>
    <col min="7" max="8" width="4.625" style="11" bestFit="1" customWidth="1"/>
    <col min="9" max="9" width="5.625" style="11" bestFit="1" customWidth="1"/>
    <col min="10" max="10" width="5.125" style="11" customWidth="1"/>
    <col min="11" max="11" width="14.375" style="11" customWidth="1"/>
    <col min="12" max="12" width="27.625" style="11" bestFit="1" customWidth="1"/>
  </cols>
  <sheetData>
    <row r="1" spans="1:12" s="1" customFormat="1" ht="15" customHeight="1">
      <c r="A1" s="64"/>
      <c r="B1" s="154" t="s">
        <v>433</v>
      </c>
      <c r="C1" s="155"/>
      <c r="D1" s="155"/>
      <c r="E1" s="155"/>
      <c r="F1" s="155"/>
      <c r="G1" s="155"/>
      <c r="H1" s="155"/>
      <c r="I1" s="155"/>
      <c r="J1" s="155"/>
      <c r="K1" s="155"/>
      <c r="L1" s="156"/>
    </row>
    <row r="2" spans="1:12" s="1" customFormat="1" ht="102.75" customHeight="1" thickBot="1">
      <c r="A2" s="63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1:12" s="2" customFormat="1" ht="12.75" customHeight="1">
      <c r="A3" s="165" t="s">
        <v>368</v>
      </c>
      <c r="B3" s="160" t="s">
        <v>0</v>
      </c>
      <c r="C3" s="162" t="s">
        <v>469</v>
      </c>
      <c r="D3" s="162" t="s">
        <v>470</v>
      </c>
      <c r="E3" s="149" t="s">
        <v>7</v>
      </c>
      <c r="F3" s="149" t="s">
        <v>471</v>
      </c>
      <c r="G3" s="172" t="s">
        <v>3</v>
      </c>
      <c r="H3" s="172"/>
      <c r="I3" s="172"/>
      <c r="J3" s="173"/>
      <c r="K3" s="149" t="s">
        <v>378</v>
      </c>
      <c r="L3" s="151" t="s">
        <v>5</v>
      </c>
    </row>
    <row r="4" spans="1:12" s="2" customFormat="1" ht="21" customHeight="1" thickBot="1">
      <c r="A4" s="148"/>
      <c r="B4" s="161"/>
      <c r="C4" s="150"/>
      <c r="D4" s="163"/>
      <c r="E4" s="150"/>
      <c r="F4" s="150"/>
      <c r="G4" s="3" t="s">
        <v>369</v>
      </c>
      <c r="H4" s="3" t="s">
        <v>375</v>
      </c>
      <c r="I4" s="3" t="s">
        <v>376</v>
      </c>
      <c r="J4" s="3" t="s">
        <v>432</v>
      </c>
      <c r="K4" s="150"/>
      <c r="L4" s="152"/>
    </row>
    <row r="5" spans="2:11" ht="15.75">
      <c r="B5" s="153" t="s">
        <v>24</v>
      </c>
      <c r="C5" s="153"/>
      <c r="D5" s="153"/>
      <c r="E5" s="153"/>
      <c r="F5" s="153"/>
      <c r="G5" s="153"/>
      <c r="H5" s="153"/>
      <c r="I5" s="153"/>
      <c r="J5" s="153"/>
      <c r="K5" s="153"/>
    </row>
    <row r="6" spans="1:12" ht="12.75">
      <c r="A6" s="37">
        <v>1</v>
      </c>
      <c r="B6" s="12" t="s">
        <v>420</v>
      </c>
      <c r="C6" s="12" t="s">
        <v>431</v>
      </c>
      <c r="D6" s="113" t="s">
        <v>430</v>
      </c>
      <c r="E6" s="12" t="s">
        <v>27</v>
      </c>
      <c r="F6" s="12" t="s">
        <v>28</v>
      </c>
      <c r="G6" s="137" t="s">
        <v>429</v>
      </c>
      <c r="H6" s="137" t="s">
        <v>428</v>
      </c>
      <c r="I6" s="137" t="s">
        <v>419</v>
      </c>
      <c r="J6" s="112"/>
      <c r="K6" s="111">
        <v>68.5</v>
      </c>
      <c r="L6" s="12" t="s">
        <v>356</v>
      </c>
    </row>
    <row r="8" spans="2:11" ht="15.75">
      <c r="B8" s="164" t="s">
        <v>285</v>
      </c>
      <c r="C8" s="164"/>
      <c r="D8" s="164"/>
      <c r="E8" s="164"/>
      <c r="F8" s="164"/>
      <c r="G8" s="164"/>
      <c r="H8" s="164"/>
      <c r="I8" s="164"/>
      <c r="J8" s="164"/>
      <c r="K8" s="164"/>
    </row>
    <row r="9" spans="1:12" ht="12.75">
      <c r="A9" s="37">
        <v>1</v>
      </c>
      <c r="B9" s="12" t="s">
        <v>422</v>
      </c>
      <c r="C9" s="12" t="s">
        <v>427</v>
      </c>
      <c r="D9" s="113" t="s">
        <v>426</v>
      </c>
      <c r="E9" s="12" t="s">
        <v>27</v>
      </c>
      <c r="F9" s="12" t="s">
        <v>425</v>
      </c>
      <c r="G9" s="137" t="s">
        <v>424</v>
      </c>
      <c r="H9" s="137" t="s">
        <v>423</v>
      </c>
      <c r="I9" s="137" t="s">
        <v>421</v>
      </c>
      <c r="J9" s="112"/>
      <c r="K9" s="111" t="s">
        <v>421</v>
      </c>
      <c r="L9" s="12" t="s">
        <v>345</v>
      </c>
    </row>
  </sheetData>
  <sheetProtection/>
  <mergeCells count="12">
    <mergeCell ref="F3:F4"/>
    <mergeCell ref="G3:J3"/>
    <mergeCell ref="K3:K4"/>
    <mergeCell ref="L3:L4"/>
    <mergeCell ref="B5:K5"/>
    <mergeCell ref="B8:K8"/>
    <mergeCell ref="A3:A4"/>
    <mergeCell ref="B1:L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C18" sqref="C18"/>
    </sheetView>
  </sheetViews>
  <sheetFormatPr defaultColWidth="8.75390625" defaultRowHeight="12.75"/>
  <cols>
    <col min="1" max="1" width="9.125" style="109" customWidth="1"/>
    <col min="2" max="2" width="26.00390625" style="11" bestFit="1" customWidth="1"/>
    <col min="3" max="3" width="33.375" style="11" customWidth="1"/>
    <col min="4" max="4" width="10.625" style="114" bestFit="1" customWidth="1"/>
    <col min="5" max="5" width="22.75390625" style="11" bestFit="1" customWidth="1"/>
    <col min="6" max="6" width="30.25390625" style="11" bestFit="1" customWidth="1"/>
    <col min="7" max="9" width="4.625" style="26" bestFit="1" customWidth="1"/>
    <col min="10" max="10" width="4.625" style="26" customWidth="1"/>
    <col min="11" max="11" width="11.75390625" style="26" customWidth="1"/>
    <col min="12" max="12" width="15.375" style="11" bestFit="1" customWidth="1"/>
  </cols>
  <sheetData>
    <row r="1" spans="1:12" s="1" customFormat="1" ht="15" customHeight="1">
      <c r="A1" s="64"/>
      <c r="B1" s="154" t="s">
        <v>441</v>
      </c>
      <c r="C1" s="155"/>
      <c r="D1" s="155"/>
      <c r="E1" s="155"/>
      <c r="F1" s="155"/>
      <c r="G1" s="155"/>
      <c r="H1" s="155"/>
      <c r="I1" s="155"/>
      <c r="J1" s="155"/>
      <c r="K1" s="155"/>
      <c r="L1" s="156"/>
    </row>
    <row r="2" spans="1:12" s="1" customFormat="1" ht="106.5" customHeight="1" thickBot="1">
      <c r="A2" s="63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1:12" s="2" customFormat="1" ht="12.75" customHeight="1">
      <c r="A3" s="165" t="s">
        <v>368</v>
      </c>
      <c r="B3" s="160" t="s">
        <v>0</v>
      </c>
      <c r="C3" s="162" t="s">
        <v>469</v>
      </c>
      <c r="D3" s="162" t="s">
        <v>470</v>
      </c>
      <c r="E3" s="149" t="s">
        <v>7</v>
      </c>
      <c r="F3" s="149" t="s">
        <v>471</v>
      </c>
      <c r="G3" s="172"/>
      <c r="H3" s="172"/>
      <c r="I3" s="172"/>
      <c r="J3" s="173"/>
      <c r="K3" s="149" t="s">
        <v>378</v>
      </c>
      <c r="L3" s="151" t="s">
        <v>5</v>
      </c>
    </row>
    <row r="4" spans="1:12" s="2" customFormat="1" ht="21" customHeight="1" thickBot="1">
      <c r="A4" s="148"/>
      <c r="B4" s="161"/>
      <c r="C4" s="150"/>
      <c r="D4" s="163"/>
      <c r="E4" s="150"/>
      <c r="F4" s="150"/>
      <c r="G4" s="3" t="s">
        <v>369</v>
      </c>
      <c r="H4" s="3" t="s">
        <v>375</v>
      </c>
      <c r="I4" s="3" t="s">
        <v>376</v>
      </c>
      <c r="J4" s="3" t="s">
        <v>432</v>
      </c>
      <c r="K4" s="150"/>
      <c r="L4" s="152"/>
    </row>
    <row r="5" spans="2:11" ht="15.75">
      <c r="B5" s="153" t="s">
        <v>34</v>
      </c>
      <c r="C5" s="153"/>
      <c r="D5" s="153"/>
      <c r="E5" s="153"/>
      <c r="F5" s="153"/>
      <c r="G5" s="153"/>
      <c r="H5" s="153"/>
      <c r="I5" s="153"/>
      <c r="J5" s="153"/>
      <c r="K5" s="153"/>
    </row>
    <row r="6" spans="1:12" ht="13.5">
      <c r="A6" s="109">
        <v>1</v>
      </c>
      <c r="B6" s="12" t="s">
        <v>436</v>
      </c>
      <c r="C6" s="12" t="s">
        <v>440</v>
      </c>
      <c r="D6" s="115">
        <v>99.8</v>
      </c>
      <c r="E6" s="12" t="s">
        <v>27</v>
      </c>
      <c r="F6" s="12" t="s">
        <v>425</v>
      </c>
      <c r="G6" s="126" t="s">
        <v>161</v>
      </c>
      <c r="H6" s="126" t="s">
        <v>435</v>
      </c>
      <c r="I6" s="39" t="s">
        <v>216</v>
      </c>
      <c r="J6" s="38"/>
      <c r="K6" s="40" t="s">
        <v>435</v>
      </c>
      <c r="L6" s="12" t="s">
        <v>345</v>
      </c>
    </row>
    <row r="8" spans="2:11" ht="15.75">
      <c r="B8" s="164" t="s">
        <v>285</v>
      </c>
      <c r="C8" s="164"/>
      <c r="D8" s="164"/>
      <c r="E8" s="164"/>
      <c r="F8" s="164"/>
      <c r="G8" s="164"/>
      <c r="H8" s="164"/>
      <c r="I8" s="164"/>
      <c r="J8" s="164"/>
      <c r="K8" s="164"/>
    </row>
    <row r="9" spans="1:12" ht="13.5">
      <c r="A9" s="109">
        <v>1</v>
      </c>
      <c r="B9" s="12" t="s">
        <v>422</v>
      </c>
      <c r="C9" s="12" t="s">
        <v>427</v>
      </c>
      <c r="D9" s="115">
        <v>107</v>
      </c>
      <c r="E9" s="12" t="s">
        <v>27</v>
      </c>
      <c r="F9" s="12" t="s">
        <v>425</v>
      </c>
      <c r="G9" s="126" t="s">
        <v>435</v>
      </c>
      <c r="H9" s="126" t="s">
        <v>437</v>
      </c>
      <c r="I9" s="126" t="s">
        <v>434</v>
      </c>
      <c r="J9" s="38"/>
      <c r="K9" s="40">
        <v>37.5</v>
      </c>
      <c r="L9" s="12" t="s">
        <v>345</v>
      </c>
    </row>
    <row r="11" spans="2:11" ht="15.75">
      <c r="B11" s="164" t="s">
        <v>439</v>
      </c>
      <c r="C11" s="164"/>
      <c r="D11" s="164"/>
      <c r="E11" s="164"/>
      <c r="F11" s="164"/>
      <c r="G11" s="164"/>
      <c r="H11" s="164"/>
      <c r="I11" s="164"/>
      <c r="J11" s="164"/>
      <c r="K11" s="164"/>
    </row>
    <row r="12" spans="1:12" ht="13.5">
      <c r="A12" s="109">
        <v>1</v>
      </c>
      <c r="B12" s="12" t="s">
        <v>422</v>
      </c>
      <c r="C12" s="12" t="s">
        <v>438</v>
      </c>
      <c r="D12" s="115">
        <v>107</v>
      </c>
      <c r="E12" s="12" t="s">
        <v>27</v>
      </c>
      <c r="F12" s="12" t="s">
        <v>425</v>
      </c>
      <c r="G12" s="126" t="s">
        <v>435</v>
      </c>
      <c r="H12" s="126" t="s">
        <v>437</v>
      </c>
      <c r="I12" s="126" t="s">
        <v>434</v>
      </c>
      <c r="J12" s="38"/>
      <c r="K12" s="40">
        <v>37.5</v>
      </c>
      <c r="L12" s="12" t="s">
        <v>345</v>
      </c>
    </row>
  </sheetData>
  <sheetProtection/>
  <mergeCells count="13">
    <mergeCell ref="B5:K5"/>
    <mergeCell ref="A3:A4"/>
    <mergeCell ref="B8:K8"/>
    <mergeCell ref="B11:K11"/>
    <mergeCell ref="B1:L2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C26" sqref="C26"/>
    </sheetView>
  </sheetViews>
  <sheetFormatPr defaultColWidth="8.75390625" defaultRowHeight="12.75"/>
  <cols>
    <col min="1" max="1" width="9.125" style="37" customWidth="1"/>
    <col min="2" max="3" width="26.00390625" style="11" bestFit="1" customWidth="1"/>
    <col min="4" max="4" width="10.625" style="66" bestFit="1" customWidth="1"/>
    <col min="5" max="5" width="8.375" style="11" bestFit="1" customWidth="1"/>
    <col min="6" max="6" width="22.75390625" style="11" bestFit="1" customWidth="1"/>
    <col min="7" max="7" width="35.875" style="11" customWidth="1"/>
    <col min="8" max="10" width="5.625" style="11" bestFit="1" customWidth="1"/>
    <col min="11" max="11" width="4.625" style="11" bestFit="1" customWidth="1"/>
    <col min="12" max="14" width="5.625" style="26" bestFit="1" customWidth="1"/>
    <col min="15" max="15" width="4.625" style="26" bestFit="1" customWidth="1"/>
    <col min="16" max="18" width="5.625" style="26" bestFit="1" customWidth="1"/>
    <col min="19" max="19" width="4.625" style="26" bestFit="1" customWidth="1"/>
    <col min="20" max="20" width="7.875" style="26" bestFit="1" customWidth="1"/>
    <col min="21" max="21" width="8.625" style="26" bestFit="1" customWidth="1"/>
    <col min="22" max="22" width="15.375" style="11" bestFit="1" customWidth="1"/>
  </cols>
  <sheetData>
    <row r="1" spans="1:22" s="1" customFormat="1" ht="15" customHeight="1">
      <c r="A1" s="59"/>
      <c r="B1" s="154" t="s">
        <v>372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6"/>
    </row>
    <row r="2" spans="1:22" s="1" customFormat="1" ht="111.75" customHeight="1" thickBot="1">
      <c r="A2" s="32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9"/>
    </row>
    <row r="3" spans="1:22" s="2" customFormat="1" ht="12.75" customHeight="1">
      <c r="A3" s="165" t="s">
        <v>368</v>
      </c>
      <c r="B3" s="160" t="s">
        <v>0</v>
      </c>
      <c r="C3" s="162" t="s">
        <v>469</v>
      </c>
      <c r="D3" s="162" t="s">
        <v>470</v>
      </c>
      <c r="E3" s="149" t="s">
        <v>9</v>
      </c>
      <c r="F3" s="149" t="s">
        <v>7</v>
      </c>
      <c r="G3" s="149" t="s">
        <v>471</v>
      </c>
      <c r="H3" s="149" t="s">
        <v>1</v>
      </c>
      <c r="I3" s="149"/>
      <c r="J3" s="149"/>
      <c r="K3" s="149"/>
      <c r="L3" s="149" t="s">
        <v>2</v>
      </c>
      <c r="M3" s="149"/>
      <c r="N3" s="149"/>
      <c r="O3" s="149"/>
      <c r="P3" s="149" t="s">
        <v>3</v>
      </c>
      <c r="Q3" s="149"/>
      <c r="R3" s="149"/>
      <c r="S3" s="149"/>
      <c r="T3" s="149" t="s">
        <v>4</v>
      </c>
      <c r="U3" s="149" t="s">
        <v>6</v>
      </c>
      <c r="V3" s="151" t="s">
        <v>5</v>
      </c>
    </row>
    <row r="4" spans="1:22" s="2" customFormat="1" ht="21" customHeight="1" thickBot="1">
      <c r="A4" s="148"/>
      <c r="B4" s="161"/>
      <c r="C4" s="150"/>
      <c r="D4" s="163"/>
      <c r="E4" s="150"/>
      <c r="F4" s="150"/>
      <c r="G4" s="150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50"/>
      <c r="U4" s="150"/>
      <c r="V4" s="152"/>
    </row>
    <row r="5" spans="2:21" ht="15.75">
      <c r="B5" s="153" t="s">
        <v>98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</row>
    <row r="6" spans="1:22" ht="12.75">
      <c r="A6" s="37">
        <v>1</v>
      </c>
      <c r="B6" s="12" t="s">
        <v>99</v>
      </c>
      <c r="C6" s="12" t="s">
        <v>100</v>
      </c>
      <c r="D6" s="65">
        <v>78.4</v>
      </c>
      <c r="E6" s="12" t="str">
        <f>"0,6670"</f>
        <v>0,6670</v>
      </c>
      <c r="F6" s="12" t="s">
        <v>472</v>
      </c>
      <c r="G6" s="12" t="s">
        <v>365</v>
      </c>
      <c r="H6" s="132" t="s">
        <v>43</v>
      </c>
      <c r="I6" s="132" t="s">
        <v>59</v>
      </c>
      <c r="J6" s="132" t="s">
        <v>15</v>
      </c>
      <c r="K6" s="47"/>
      <c r="L6" s="126" t="s">
        <v>101</v>
      </c>
      <c r="M6" s="126" t="s">
        <v>102</v>
      </c>
      <c r="N6" s="126" t="s">
        <v>60</v>
      </c>
      <c r="O6" s="38"/>
      <c r="P6" s="126" t="s">
        <v>75</v>
      </c>
      <c r="Q6" s="126" t="s">
        <v>43</v>
      </c>
      <c r="R6" s="126" t="s">
        <v>59</v>
      </c>
      <c r="S6" s="38"/>
      <c r="T6" s="40" t="s">
        <v>127</v>
      </c>
      <c r="U6" s="40" t="str">
        <f>"253,4600"</f>
        <v>253,4600</v>
      </c>
      <c r="V6" s="12" t="s">
        <v>345</v>
      </c>
    </row>
    <row r="8" spans="2:21" ht="15.75">
      <c r="B8" s="164" t="s">
        <v>24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</row>
    <row r="9" spans="1:22" ht="12.75">
      <c r="A9" s="37">
        <v>1</v>
      </c>
      <c r="B9" s="13" t="s">
        <v>103</v>
      </c>
      <c r="C9" s="13" t="s">
        <v>104</v>
      </c>
      <c r="D9" s="68">
        <v>87.8</v>
      </c>
      <c r="E9" s="13" t="str">
        <f>"0,6205"</f>
        <v>0,6205</v>
      </c>
      <c r="F9" s="13" t="s">
        <v>472</v>
      </c>
      <c r="G9" s="13" t="s">
        <v>28</v>
      </c>
      <c r="H9" s="134" t="s">
        <v>71</v>
      </c>
      <c r="I9" s="134" t="s">
        <v>22</v>
      </c>
      <c r="J9" s="49" t="s">
        <v>105</v>
      </c>
      <c r="K9" s="50"/>
      <c r="L9" s="127" t="s">
        <v>43</v>
      </c>
      <c r="M9" s="127" t="s">
        <v>59</v>
      </c>
      <c r="N9" s="127" t="s">
        <v>15</v>
      </c>
      <c r="O9" s="42"/>
      <c r="P9" s="127" t="s">
        <v>71</v>
      </c>
      <c r="Q9" s="127" t="s">
        <v>39</v>
      </c>
      <c r="R9" s="127" t="s">
        <v>66</v>
      </c>
      <c r="S9" s="42"/>
      <c r="T9" s="43">
        <v>552.5</v>
      </c>
      <c r="U9" s="43" t="str">
        <f>"342,8263"</f>
        <v>342,8263</v>
      </c>
      <c r="V9" s="13" t="s">
        <v>345</v>
      </c>
    </row>
    <row r="10" spans="1:22" ht="12.75">
      <c r="A10" s="37">
        <v>1</v>
      </c>
      <c r="B10" s="14" t="s">
        <v>106</v>
      </c>
      <c r="C10" s="14" t="s">
        <v>107</v>
      </c>
      <c r="D10" s="70">
        <v>88.8</v>
      </c>
      <c r="E10" s="14" t="str">
        <f>"0,6165"</f>
        <v>0,6165</v>
      </c>
      <c r="F10" s="14" t="s">
        <v>13</v>
      </c>
      <c r="G10" s="14" t="s">
        <v>14</v>
      </c>
      <c r="H10" s="48" t="s">
        <v>83</v>
      </c>
      <c r="I10" s="133" t="s">
        <v>108</v>
      </c>
      <c r="J10" s="133" t="s">
        <v>84</v>
      </c>
      <c r="K10" s="51"/>
      <c r="L10" s="129" t="s">
        <v>21</v>
      </c>
      <c r="M10" s="129" t="s">
        <v>22</v>
      </c>
      <c r="N10" s="129" t="s">
        <v>23</v>
      </c>
      <c r="O10" s="45"/>
      <c r="P10" s="129" t="s">
        <v>92</v>
      </c>
      <c r="Q10" s="129" t="s">
        <v>83</v>
      </c>
      <c r="R10" s="44" t="s">
        <v>84</v>
      </c>
      <c r="S10" s="45"/>
      <c r="T10" s="46" t="s">
        <v>128</v>
      </c>
      <c r="U10" s="46" t="str">
        <f>"443,8440"</f>
        <v>443,8440</v>
      </c>
      <c r="V10" s="14" t="s">
        <v>345</v>
      </c>
    </row>
    <row r="12" spans="2:21" ht="15.75">
      <c r="B12" s="164" t="s">
        <v>34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</row>
    <row r="13" spans="1:22" ht="12.75">
      <c r="A13" s="37">
        <v>1</v>
      </c>
      <c r="B13" s="13" t="s">
        <v>109</v>
      </c>
      <c r="C13" s="13" t="s">
        <v>110</v>
      </c>
      <c r="D13" s="68">
        <v>94.3</v>
      </c>
      <c r="E13" s="13" t="str">
        <f>"0,5971"</f>
        <v>0,5971</v>
      </c>
      <c r="F13" s="13" t="s">
        <v>472</v>
      </c>
      <c r="G13" s="13" t="s">
        <v>111</v>
      </c>
      <c r="H13" s="134" t="s">
        <v>112</v>
      </c>
      <c r="I13" s="134" t="s">
        <v>92</v>
      </c>
      <c r="J13" s="134" t="s">
        <v>113</v>
      </c>
      <c r="K13" s="50"/>
      <c r="L13" s="127" t="s">
        <v>16</v>
      </c>
      <c r="M13" s="127" t="s">
        <v>114</v>
      </c>
      <c r="N13" s="41" t="s">
        <v>86</v>
      </c>
      <c r="O13" s="42"/>
      <c r="P13" s="127" t="s">
        <v>85</v>
      </c>
      <c r="Q13" s="127" t="s">
        <v>115</v>
      </c>
      <c r="R13" s="127" t="s">
        <v>116</v>
      </c>
      <c r="S13" s="42"/>
      <c r="T13" s="43">
        <v>697.5</v>
      </c>
      <c r="U13" s="43" t="str">
        <f>"416,4773"</f>
        <v>416,4773</v>
      </c>
      <c r="V13" s="13" t="s">
        <v>345</v>
      </c>
    </row>
    <row r="14" spans="1:22" ht="12.75">
      <c r="A14" s="37">
        <v>2</v>
      </c>
      <c r="B14" s="23" t="s">
        <v>117</v>
      </c>
      <c r="C14" s="23" t="s">
        <v>118</v>
      </c>
      <c r="D14" s="69">
        <v>99</v>
      </c>
      <c r="E14" s="23" t="str">
        <f>"0,5838"</f>
        <v>0,5838</v>
      </c>
      <c r="F14" s="23" t="s">
        <v>472</v>
      </c>
      <c r="G14" s="23" t="s">
        <v>28</v>
      </c>
      <c r="H14" s="135" t="s">
        <v>119</v>
      </c>
      <c r="I14" s="135" t="s">
        <v>108</v>
      </c>
      <c r="J14" s="52" t="s">
        <v>33</v>
      </c>
      <c r="K14" s="53"/>
      <c r="L14" s="128" t="s">
        <v>64</v>
      </c>
      <c r="M14" s="128" t="s">
        <v>71</v>
      </c>
      <c r="N14" s="128" t="s">
        <v>87</v>
      </c>
      <c r="O14" s="54"/>
      <c r="P14" s="128" t="s">
        <v>112</v>
      </c>
      <c r="Q14" s="128" t="s">
        <v>92</v>
      </c>
      <c r="R14" s="55" t="s">
        <v>83</v>
      </c>
      <c r="S14" s="54"/>
      <c r="T14" s="56">
        <v>677.5</v>
      </c>
      <c r="U14" s="56" t="str">
        <f>"395,5245"</f>
        <v>395,5245</v>
      </c>
      <c r="V14" s="23" t="s">
        <v>345</v>
      </c>
    </row>
    <row r="15" spans="1:22" ht="12.75">
      <c r="A15" s="37">
        <v>3</v>
      </c>
      <c r="B15" s="14" t="s">
        <v>120</v>
      </c>
      <c r="C15" s="14" t="s">
        <v>121</v>
      </c>
      <c r="D15" s="70">
        <v>96.5</v>
      </c>
      <c r="E15" s="14" t="str">
        <f>"0,5905"</f>
        <v>0,5905</v>
      </c>
      <c r="F15" s="14" t="s">
        <v>472</v>
      </c>
      <c r="G15" s="14" t="s">
        <v>111</v>
      </c>
      <c r="H15" s="133" t="s">
        <v>112</v>
      </c>
      <c r="I15" s="133" t="s">
        <v>119</v>
      </c>
      <c r="J15" s="48" t="s">
        <v>92</v>
      </c>
      <c r="K15" s="51"/>
      <c r="L15" s="129" t="s">
        <v>19</v>
      </c>
      <c r="M15" s="129" t="s">
        <v>75</v>
      </c>
      <c r="N15" s="122" t="s">
        <v>76</v>
      </c>
      <c r="O15" s="45"/>
      <c r="P15" s="129" t="s">
        <v>23</v>
      </c>
      <c r="Q15" s="129" t="s">
        <v>29</v>
      </c>
      <c r="R15" s="129" t="s">
        <v>112</v>
      </c>
      <c r="S15" s="45"/>
      <c r="T15" s="46" t="s">
        <v>134</v>
      </c>
      <c r="U15" s="46" t="str">
        <f>"345,4425"</f>
        <v>345,4425</v>
      </c>
      <c r="V15" s="14" t="s">
        <v>345</v>
      </c>
    </row>
    <row r="16" spans="16:17" ht="12.75">
      <c r="P16" s="136"/>
      <c r="Q16" s="136"/>
    </row>
    <row r="17" spans="2:21" ht="15.75">
      <c r="B17" s="164" t="s">
        <v>80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</row>
    <row r="18" spans="1:22" ht="12.75">
      <c r="A18" s="37">
        <v>1</v>
      </c>
      <c r="B18" s="12" t="s">
        <v>122</v>
      </c>
      <c r="C18" s="12" t="s">
        <v>123</v>
      </c>
      <c r="D18" s="65">
        <v>119.4</v>
      </c>
      <c r="E18" s="12" t="str">
        <f>"0,5515"</f>
        <v>0,5515</v>
      </c>
      <c r="F18" s="12" t="s">
        <v>124</v>
      </c>
      <c r="G18" s="12" t="s">
        <v>111</v>
      </c>
      <c r="H18" s="132" t="s">
        <v>84</v>
      </c>
      <c r="I18" s="57" t="s">
        <v>89</v>
      </c>
      <c r="J18" s="132" t="s">
        <v>89</v>
      </c>
      <c r="K18" s="47"/>
      <c r="L18" s="126" t="s">
        <v>21</v>
      </c>
      <c r="M18" s="126" t="s">
        <v>39</v>
      </c>
      <c r="N18" s="126" t="s">
        <v>22</v>
      </c>
      <c r="O18" s="38"/>
      <c r="P18" s="126" t="s">
        <v>84</v>
      </c>
      <c r="Q18" s="126" t="s">
        <v>85</v>
      </c>
      <c r="R18" s="126" t="s">
        <v>125</v>
      </c>
      <c r="S18" s="38"/>
      <c r="T18" s="40" t="s">
        <v>132</v>
      </c>
      <c r="U18" s="40" t="str">
        <f>"416,4202"</f>
        <v>416,4202</v>
      </c>
      <c r="V18" s="12" t="s">
        <v>345</v>
      </c>
    </row>
    <row r="20" ht="15.75">
      <c r="F20" s="15"/>
    </row>
    <row r="21" ht="15.75">
      <c r="F21" s="15"/>
    </row>
    <row r="22" ht="15.75">
      <c r="F22" s="15"/>
    </row>
    <row r="23" ht="15.75">
      <c r="F23" s="15"/>
    </row>
    <row r="24" ht="15.75">
      <c r="F24" s="15"/>
    </row>
    <row r="25" ht="15.75">
      <c r="F25" s="15"/>
    </row>
    <row r="26" ht="15.75">
      <c r="F26" s="15"/>
    </row>
    <row r="28" spans="2:3" ht="18">
      <c r="B28" s="16"/>
      <c r="C28" s="16"/>
    </row>
    <row r="29" spans="2:3" ht="13.5">
      <c r="B29" s="19"/>
      <c r="C29" s="20" t="s">
        <v>45</v>
      </c>
    </row>
    <row r="30" spans="2:6" ht="13.5">
      <c r="B30" s="21" t="s">
        <v>46</v>
      </c>
      <c r="C30" s="21" t="s">
        <v>47</v>
      </c>
      <c r="D30" s="67" t="s">
        <v>48</v>
      </c>
      <c r="E30" s="21" t="s">
        <v>49</v>
      </c>
      <c r="F30" s="21" t="s">
        <v>50</v>
      </c>
    </row>
    <row r="31" spans="1:6" ht="12.75">
      <c r="A31" s="37">
        <v>1</v>
      </c>
      <c r="B31" s="18" t="s">
        <v>106</v>
      </c>
      <c r="C31" s="11" t="s">
        <v>45</v>
      </c>
      <c r="D31" s="139" t="s">
        <v>51</v>
      </c>
      <c r="E31" s="22" t="s">
        <v>128</v>
      </c>
      <c r="F31" s="22" t="s">
        <v>129</v>
      </c>
    </row>
    <row r="32" spans="1:6" ht="12.75">
      <c r="A32" s="37">
        <v>2</v>
      </c>
      <c r="B32" s="18" t="s">
        <v>109</v>
      </c>
      <c r="C32" s="11" t="s">
        <v>45</v>
      </c>
      <c r="D32" s="139" t="s">
        <v>54</v>
      </c>
      <c r="E32" s="22" t="s">
        <v>130</v>
      </c>
      <c r="F32" s="22" t="s">
        <v>131</v>
      </c>
    </row>
    <row r="33" spans="1:6" ht="12.75">
      <c r="A33" s="37">
        <v>3</v>
      </c>
      <c r="B33" s="18" t="s">
        <v>122</v>
      </c>
      <c r="C33" s="11" t="s">
        <v>45</v>
      </c>
      <c r="D33" s="139" t="s">
        <v>94</v>
      </c>
      <c r="E33" s="22" t="s">
        <v>132</v>
      </c>
      <c r="F33" s="22" t="s">
        <v>133</v>
      </c>
    </row>
  </sheetData>
  <sheetProtection/>
  <mergeCells count="18"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B17:U17"/>
    <mergeCell ref="T3:T4"/>
    <mergeCell ref="U3:U4"/>
    <mergeCell ref="V3:V4"/>
    <mergeCell ref="B5:U5"/>
    <mergeCell ref="B8:U8"/>
    <mergeCell ref="B12:U12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A3" sqref="A3:A4"/>
    </sheetView>
  </sheetViews>
  <sheetFormatPr defaultColWidth="8.75390625" defaultRowHeight="12.75"/>
  <cols>
    <col min="1" max="1" width="9.125" style="37" customWidth="1"/>
    <col min="2" max="3" width="26.00390625" style="11" bestFit="1" customWidth="1"/>
    <col min="4" max="4" width="10.625" style="66" bestFit="1" customWidth="1"/>
    <col min="5" max="5" width="8.375" style="11" bestFit="1" customWidth="1"/>
    <col min="6" max="6" width="22.75390625" style="11" bestFit="1" customWidth="1"/>
    <col min="7" max="7" width="29.00390625" style="11" bestFit="1" customWidth="1"/>
    <col min="8" max="10" width="5.625" style="11" bestFit="1" customWidth="1"/>
    <col min="11" max="11" width="4.625" style="11" bestFit="1" customWidth="1"/>
    <col min="12" max="14" width="5.625" style="11" bestFit="1" customWidth="1"/>
    <col min="15" max="15" width="4.625" style="11" bestFit="1" customWidth="1"/>
    <col min="16" max="18" width="5.625" style="11" bestFit="1" customWidth="1"/>
    <col min="19" max="19" width="4.625" style="11" bestFit="1" customWidth="1"/>
    <col min="20" max="20" width="7.875" style="11" bestFit="1" customWidth="1"/>
    <col min="21" max="21" width="8.625" style="11" bestFit="1" customWidth="1"/>
    <col min="22" max="22" width="21.625" style="11" bestFit="1" customWidth="1"/>
  </cols>
  <sheetData>
    <row r="1" spans="1:22" s="1" customFormat="1" ht="15" customHeight="1">
      <c r="A1" s="59"/>
      <c r="B1" s="154" t="s">
        <v>373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6"/>
    </row>
    <row r="2" spans="1:22" s="1" customFormat="1" ht="114" customHeight="1" thickBot="1">
      <c r="A2" s="32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9"/>
    </row>
    <row r="3" spans="1:22" s="2" customFormat="1" ht="12.75" customHeight="1">
      <c r="A3" s="165" t="s">
        <v>368</v>
      </c>
      <c r="B3" s="160" t="s">
        <v>0</v>
      </c>
      <c r="C3" s="162" t="s">
        <v>469</v>
      </c>
      <c r="D3" s="162" t="s">
        <v>470</v>
      </c>
      <c r="E3" s="149" t="s">
        <v>9</v>
      </c>
      <c r="F3" s="149" t="s">
        <v>7</v>
      </c>
      <c r="G3" s="149" t="s">
        <v>471</v>
      </c>
      <c r="H3" s="149" t="s">
        <v>1</v>
      </c>
      <c r="I3" s="149"/>
      <c r="J3" s="149"/>
      <c r="K3" s="149"/>
      <c r="L3" s="149" t="s">
        <v>2</v>
      </c>
      <c r="M3" s="149"/>
      <c r="N3" s="149"/>
      <c r="O3" s="149"/>
      <c r="P3" s="149" t="s">
        <v>3</v>
      </c>
      <c r="Q3" s="149"/>
      <c r="R3" s="149"/>
      <c r="S3" s="149"/>
      <c r="T3" s="149" t="s">
        <v>4</v>
      </c>
      <c r="U3" s="149" t="s">
        <v>6</v>
      </c>
      <c r="V3" s="151" t="s">
        <v>5</v>
      </c>
    </row>
    <row r="4" spans="1:22" s="2" customFormat="1" ht="21" customHeight="1" thickBot="1">
      <c r="A4" s="148"/>
      <c r="B4" s="161"/>
      <c r="C4" s="150"/>
      <c r="D4" s="163"/>
      <c r="E4" s="150"/>
      <c r="F4" s="150"/>
      <c r="G4" s="150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50"/>
      <c r="U4" s="150"/>
      <c r="V4" s="152"/>
    </row>
    <row r="5" spans="2:21" ht="15.75">
      <c r="B5" s="153" t="s">
        <v>98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</row>
    <row r="6" spans="1:22" ht="12.75">
      <c r="A6" s="37">
        <v>1</v>
      </c>
      <c r="B6" s="12" t="s">
        <v>135</v>
      </c>
      <c r="C6" s="12" t="s">
        <v>136</v>
      </c>
      <c r="D6" s="65">
        <v>81</v>
      </c>
      <c r="E6" s="12" t="str">
        <f>"0,6524"</f>
        <v>0,6524</v>
      </c>
      <c r="F6" s="12" t="s">
        <v>472</v>
      </c>
      <c r="G6" s="12" t="s">
        <v>70</v>
      </c>
      <c r="H6" s="126" t="s">
        <v>22</v>
      </c>
      <c r="I6" s="126" t="s">
        <v>29</v>
      </c>
      <c r="J6" s="126" t="s">
        <v>92</v>
      </c>
      <c r="K6" s="38"/>
      <c r="L6" s="126" t="s">
        <v>137</v>
      </c>
      <c r="M6" s="126" t="s">
        <v>30</v>
      </c>
      <c r="N6" s="39" t="s">
        <v>15</v>
      </c>
      <c r="O6" s="38"/>
      <c r="P6" s="126" t="s">
        <v>105</v>
      </c>
      <c r="Q6" s="39" t="s">
        <v>112</v>
      </c>
      <c r="R6" s="39" t="s">
        <v>112</v>
      </c>
      <c r="S6" s="38"/>
      <c r="T6" s="40" t="s">
        <v>142</v>
      </c>
      <c r="U6" s="40" t="str">
        <f>"391,4100"</f>
        <v>391,4100</v>
      </c>
      <c r="V6" s="12" t="s">
        <v>345</v>
      </c>
    </row>
    <row r="8" spans="2:21" ht="15.75">
      <c r="B8" s="164" t="s">
        <v>24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</row>
    <row r="9" spans="1:22" ht="12.75">
      <c r="A9" s="37">
        <v>1</v>
      </c>
      <c r="B9" s="12" t="s">
        <v>138</v>
      </c>
      <c r="C9" s="12" t="s">
        <v>139</v>
      </c>
      <c r="D9" s="65">
        <v>87.4</v>
      </c>
      <c r="E9" s="12" t="str">
        <f>"0,6222"</f>
        <v>0,6222</v>
      </c>
      <c r="F9" s="12" t="s">
        <v>140</v>
      </c>
      <c r="G9" s="12" t="s">
        <v>28</v>
      </c>
      <c r="H9" s="126" t="s">
        <v>64</v>
      </c>
      <c r="I9" s="126" t="s">
        <v>21</v>
      </c>
      <c r="J9" s="39" t="s">
        <v>66</v>
      </c>
      <c r="K9" s="38"/>
      <c r="L9" s="126" t="s">
        <v>59</v>
      </c>
      <c r="M9" s="39" t="s">
        <v>15</v>
      </c>
      <c r="N9" s="39" t="s">
        <v>15</v>
      </c>
      <c r="O9" s="38"/>
      <c r="P9" s="126" t="s">
        <v>71</v>
      </c>
      <c r="Q9" s="39" t="s">
        <v>22</v>
      </c>
      <c r="R9" s="39" t="s">
        <v>22</v>
      </c>
      <c r="S9" s="38"/>
      <c r="T9" s="40" t="s">
        <v>141</v>
      </c>
      <c r="U9" s="40" t="str">
        <f>"317,2965"</f>
        <v>317,2965</v>
      </c>
      <c r="V9" s="12" t="s">
        <v>364</v>
      </c>
    </row>
    <row r="11" ht="15.75">
      <c r="F11" s="15"/>
    </row>
    <row r="12" ht="15.75">
      <c r="F12" s="15"/>
    </row>
    <row r="13" ht="15.75">
      <c r="F13" s="15"/>
    </row>
    <row r="14" ht="15.75">
      <c r="F14" s="15"/>
    </row>
    <row r="15" ht="15.75">
      <c r="F15" s="15"/>
    </row>
    <row r="16" ht="15.75">
      <c r="F16" s="15"/>
    </row>
    <row r="17" ht="15.75">
      <c r="F17" s="15"/>
    </row>
    <row r="19" spans="2:3" ht="18">
      <c r="B19" s="16"/>
      <c r="C19" s="16"/>
    </row>
  </sheetData>
  <sheetProtection/>
  <mergeCells count="16">
    <mergeCell ref="H3:K3"/>
    <mergeCell ref="L3:O3"/>
    <mergeCell ref="P3:S3"/>
    <mergeCell ref="T3:T4"/>
    <mergeCell ref="U3:U4"/>
    <mergeCell ref="A3:A4"/>
    <mergeCell ref="V3:V4"/>
    <mergeCell ref="B5:U5"/>
    <mergeCell ref="B8:U8"/>
    <mergeCell ref="B1:V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3" sqref="A3:A4"/>
    </sheetView>
  </sheetViews>
  <sheetFormatPr defaultColWidth="8.75390625" defaultRowHeight="12.75"/>
  <cols>
    <col min="1" max="1" width="9.125" style="37" customWidth="1"/>
    <col min="2" max="2" width="17.25390625" style="11" bestFit="1" customWidth="1"/>
    <col min="3" max="3" width="29.75390625" style="11" customWidth="1"/>
    <col min="4" max="4" width="12.00390625" style="11" customWidth="1"/>
    <col min="5" max="5" width="6.875" style="11" bestFit="1" customWidth="1"/>
    <col min="6" max="6" width="22.75390625" style="11" bestFit="1" customWidth="1"/>
    <col min="7" max="7" width="21.875" style="11" bestFit="1" customWidth="1"/>
    <col min="8" max="10" width="5.625" style="11" bestFit="1" customWidth="1"/>
    <col min="11" max="11" width="4.625" style="11" bestFit="1" customWidth="1"/>
    <col min="12" max="12" width="15.375" style="11" customWidth="1"/>
    <col min="13" max="13" width="6.625" style="11" bestFit="1" customWidth="1"/>
    <col min="14" max="14" width="18.125" style="11" customWidth="1"/>
  </cols>
  <sheetData>
    <row r="1" spans="1:14" s="1" customFormat="1" ht="15" customHeight="1">
      <c r="A1" s="59"/>
      <c r="B1" s="154" t="s">
        <v>386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s="1" customFormat="1" ht="108.75" customHeight="1" thickBot="1">
      <c r="A2" s="32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</row>
    <row r="3" spans="1:14" s="2" customFormat="1" ht="12.75" customHeight="1">
      <c r="A3" s="165" t="s">
        <v>368</v>
      </c>
      <c r="B3" s="160" t="s">
        <v>0</v>
      </c>
      <c r="C3" s="162" t="s">
        <v>469</v>
      </c>
      <c r="D3" s="162" t="s">
        <v>470</v>
      </c>
      <c r="E3" s="149" t="s">
        <v>9</v>
      </c>
      <c r="F3" s="149" t="s">
        <v>7</v>
      </c>
      <c r="G3" s="149" t="s">
        <v>471</v>
      </c>
      <c r="H3" s="149" t="s">
        <v>1</v>
      </c>
      <c r="I3" s="149"/>
      <c r="J3" s="149"/>
      <c r="K3" s="149"/>
      <c r="L3" s="149" t="s">
        <v>378</v>
      </c>
      <c r="M3" s="149" t="s">
        <v>6</v>
      </c>
      <c r="N3" s="151" t="s">
        <v>5</v>
      </c>
    </row>
    <row r="4" spans="1:14" s="2" customFormat="1" ht="21" customHeight="1" thickBot="1">
      <c r="A4" s="148"/>
      <c r="B4" s="161"/>
      <c r="C4" s="150"/>
      <c r="D4" s="163"/>
      <c r="E4" s="150"/>
      <c r="F4" s="150"/>
      <c r="G4" s="150"/>
      <c r="H4" s="3">
        <v>1</v>
      </c>
      <c r="I4" s="3">
        <v>2</v>
      </c>
      <c r="J4" s="3">
        <v>3</v>
      </c>
      <c r="K4" s="3" t="s">
        <v>8</v>
      </c>
      <c r="L4" s="150"/>
      <c r="M4" s="150"/>
      <c r="N4" s="152"/>
    </row>
    <row r="5" spans="2:13" ht="15.75">
      <c r="B5" s="153" t="s">
        <v>80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2:14" ht="12.75">
      <c r="B6" s="12" t="s">
        <v>341</v>
      </c>
      <c r="C6" s="12" t="s">
        <v>342</v>
      </c>
      <c r="D6" s="25">
        <v>122.3</v>
      </c>
      <c r="E6" s="12" t="str">
        <f>"0,5486"</f>
        <v>0,5486</v>
      </c>
      <c r="F6" s="12" t="s">
        <v>472</v>
      </c>
      <c r="G6" s="12" t="s">
        <v>343</v>
      </c>
      <c r="H6" s="39" t="s">
        <v>29</v>
      </c>
      <c r="I6" s="39" t="s">
        <v>29</v>
      </c>
      <c r="J6" s="39" t="s">
        <v>112</v>
      </c>
      <c r="K6" s="38"/>
      <c r="L6" s="40">
        <v>0</v>
      </c>
      <c r="M6" s="40" t="s">
        <v>476</v>
      </c>
      <c r="N6" s="12" t="s">
        <v>344</v>
      </c>
    </row>
    <row r="8" ht="15.75">
      <c r="F8" s="15"/>
    </row>
    <row r="9" ht="15.75">
      <c r="F9" s="15"/>
    </row>
    <row r="10" ht="15.75">
      <c r="F10" s="15"/>
    </row>
    <row r="11" ht="15.75">
      <c r="F11" s="15"/>
    </row>
    <row r="12" ht="15.75">
      <c r="F12" s="15"/>
    </row>
    <row r="13" ht="15.75">
      <c r="F13" s="15"/>
    </row>
    <row r="14" ht="15.75">
      <c r="F14" s="15"/>
    </row>
    <row r="16" spans="2:3" ht="18">
      <c r="B16" s="16"/>
      <c r="C16" s="16"/>
    </row>
  </sheetData>
  <sheetProtection/>
  <mergeCells count="13">
    <mergeCell ref="F3:F4"/>
    <mergeCell ref="G3:G4"/>
    <mergeCell ref="H3:K3"/>
    <mergeCell ref="A3:A4"/>
    <mergeCell ref="L3:L4"/>
    <mergeCell ref="M3:M4"/>
    <mergeCell ref="N3:N4"/>
    <mergeCell ref="B5:M5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3" sqref="A3:A4"/>
    </sheetView>
  </sheetViews>
  <sheetFormatPr defaultColWidth="8.75390625" defaultRowHeight="12.75"/>
  <cols>
    <col min="1" max="1" width="9.125" style="37" customWidth="1"/>
    <col min="2" max="2" width="26.00390625" style="11" bestFit="1" customWidth="1"/>
    <col min="3" max="3" width="26.375" style="11" customWidth="1"/>
    <col min="4" max="4" width="10.625" style="11" bestFit="1" customWidth="1"/>
    <col min="5" max="5" width="8.375" style="11" bestFit="1" customWidth="1"/>
    <col min="6" max="6" width="22.75390625" style="11" bestFit="1" customWidth="1"/>
    <col min="7" max="7" width="29.00390625" style="11" bestFit="1" customWidth="1"/>
    <col min="8" max="10" width="5.625" style="11" bestFit="1" customWidth="1"/>
    <col min="11" max="11" width="4.625" style="11" bestFit="1" customWidth="1"/>
    <col min="12" max="12" width="14.875" style="11" customWidth="1"/>
    <col min="13" max="13" width="8.625" style="11" bestFit="1" customWidth="1"/>
    <col min="14" max="14" width="15.375" style="11" bestFit="1" customWidth="1"/>
  </cols>
  <sheetData>
    <row r="1" spans="1:14" s="1" customFormat="1" ht="15" customHeight="1">
      <c r="A1" s="59"/>
      <c r="B1" s="154" t="s">
        <v>385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s="1" customFormat="1" ht="111.75" customHeight="1" thickBot="1">
      <c r="A2" s="32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</row>
    <row r="3" spans="1:14" s="2" customFormat="1" ht="12.75" customHeight="1">
      <c r="A3" s="165" t="s">
        <v>368</v>
      </c>
      <c r="B3" s="160" t="s">
        <v>0</v>
      </c>
      <c r="C3" s="162" t="s">
        <v>469</v>
      </c>
      <c r="D3" s="162" t="s">
        <v>470</v>
      </c>
      <c r="E3" s="149" t="s">
        <v>9</v>
      </c>
      <c r="F3" s="149" t="s">
        <v>7</v>
      </c>
      <c r="G3" s="149" t="s">
        <v>471</v>
      </c>
      <c r="H3" s="149" t="s">
        <v>1</v>
      </c>
      <c r="I3" s="149"/>
      <c r="J3" s="149"/>
      <c r="K3" s="149"/>
      <c r="L3" s="149" t="s">
        <v>378</v>
      </c>
      <c r="M3" s="149" t="s">
        <v>6</v>
      </c>
      <c r="N3" s="151" t="s">
        <v>5</v>
      </c>
    </row>
    <row r="4" spans="1:14" s="2" customFormat="1" ht="21" customHeight="1" thickBot="1">
      <c r="A4" s="148"/>
      <c r="B4" s="161"/>
      <c r="C4" s="150"/>
      <c r="D4" s="163"/>
      <c r="E4" s="150"/>
      <c r="F4" s="150"/>
      <c r="G4" s="150"/>
      <c r="H4" s="3">
        <v>1</v>
      </c>
      <c r="I4" s="3">
        <v>2</v>
      </c>
      <c r="J4" s="3">
        <v>3</v>
      </c>
      <c r="K4" s="3" t="s">
        <v>8</v>
      </c>
      <c r="L4" s="150"/>
      <c r="M4" s="150"/>
      <c r="N4" s="152"/>
    </row>
    <row r="5" spans="2:13" ht="15.75">
      <c r="B5" s="153" t="s">
        <v>34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4" ht="12.75">
      <c r="A6" s="37">
        <v>1</v>
      </c>
      <c r="B6" s="12" t="s">
        <v>339</v>
      </c>
      <c r="C6" s="12" t="s">
        <v>340</v>
      </c>
      <c r="D6" s="140">
        <v>98.5</v>
      </c>
      <c r="E6" s="141" t="str">
        <f>"0,5850"</f>
        <v>0,5850</v>
      </c>
      <c r="F6" s="12" t="s">
        <v>37</v>
      </c>
      <c r="G6" s="12" t="s">
        <v>28</v>
      </c>
      <c r="H6" s="126" t="s">
        <v>119</v>
      </c>
      <c r="I6" s="39" t="s">
        <v>32</v>
      </c>
      <c r="J6" s="126" t="s">
        <v>108</v>
      </c>
      <c r="K6" s="38"/>
      <c r="L6" s="40" t="s">
        <v>108</v>
      </c>
      <c r="M6" s="40" t="str">
        <f>"149,1877"</f>
        <v>149,1877</v>
      </c>
      <c r="N6" s="12" t="s">
        <v>345</v>
      </c>
    </row>
    <row r="8" ht="15.75">
      <c r="F8" s="15"/>
    </row>
    <row r="9" ht="15.75">
      <c r="F9" s="15"/>
    </row>
    <row r="10" ht="15.75">
      <c r="F10" s="15"/>
    </row>
    <row r="11" ht="15.75">
      <c r="F11" s="15"/>
    </row>
    <row r="12" ht="15.75">
      <c r="F12" s="15"/>
    </row>
    <row r="13" ht="15.75">
      <c r="F13" s="15"/>
    </row>
    <row r="14" ht="15.75">
      <c r="F14" s="15"/>
    </row>
    <row r="16" spans="2:3" ht="18">
      <c r="B16" s="16"/>
      <c r="C16" s="16"/>
    </row>
  </sheetData>
  <sheetProtection/>
  <mergeCells count="13">
    <mergeCell ref="F3:F4"/>
    <mergeCell ref="G3:G4"/>
    <mergeCell ref="H3:K3"/>
    <mergeCell ref="A3:A4"/>
    <mergeCell ref="L3:L4"/>
    <mergeCell ref="M3:M4"/>
    <mergeCell ref="N3:N4"/>
    <mergeCell ref="B5:M5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3" sqref="A3:A4"/>
    </sheetView>
  </sheetViews>
  <sheetFormatPr defaultColWidth="8.75390625" defaultRowHeight="12.75"/>
  <cols>
    <col min="1" max="1" width="9.125" style="37" customWidth="1"/>
    <col min="2" max="2" width="26.00390625" style="11" bestFit="1" customWidth="1"/>
    <col min="3" max="3" width="27.875" style="11" customWidth="1"/>
    <col min="4" max="4" width="10.625" style="11" bestFit="1" customWidth="1"/>
    <col min="5" max="5" width="8.375" style="11" bestFit="1" customWidth="1"/>
    <col min="6" max="6" width="22.75390625" style="11" bestFit="1" customWidth="1"/>
    <col min="7" max="7" width="29.00390625" style="11" bestFit="1" customWidth="1"/>
    <col min="8" max="11" width="4.625" style="11" bestFit="1" customWidth="1"/>
    <col min="12" max="12" width="15.75390625" style="11" customWidth="1"/>
    <col min="13" max="13" width="7.625" style="11" bestFit="1" customWidth="1"/>
    <col min="14" max="14" width="22.125" style="11" bestFit="1" customWidth="1"/>
  </cols>
  <sheetData>
    <row r="1" spans="1:14" s="1" customFormat="1" ht="15" customHeight="1">
      <c r="A1" s="59"/>
      <c r="B1" s="154" t="s">
        <v>384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s="1" customFormat="1" ht="118.5" customHeight="1" thickBot="1">
      <c r="A2" s="32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</row>
    <row r="3" spans="1:14" s="2" customFormat="1" ht="12.75" customHeight="1">
      <c r="A3" s="165" t="s">
        <v>368</v>
      </c>
      <c r="B3" s="160" t="s">
        <v>0</v>
      </c>
      <c r="C3" s="162" t="s">
        <v>469</v>
      </c>
      <c r="D3" s="162" t="s">
        <v>470</v>
      </c>
      <c r="E3" s="149" t="s">
        <v>9</v>
      </c>
      <c r="F3" s="149" t="s">
        <v>7</v>
      </c>
      <c r="G3" s="149" t="s">
        <v>471</v>
      </c>
      <c r="H3" s="149" t="s">
        <v>1</v>
      </c>
      <c r="I3" s="149"/>
      <c r="J3" s="149"/>
      <c r="K3" s="149"/>
      <c r="L3" s="149" t="s">
        <v>378</v>
      </c>
      <c r="M3" s="149" t="s">
        <v>6</v>
      </c>
      <c r="N3" s="151" t="s">
        <v>5</v>
      </c>
    </row>
    <row r="4" spans="1:14" s="2" customFormat="1" ht="21" customHeight="1" thickBot="1">
      <c r="A4" s="148"/>
      <c r="B4" s="161"/>
      <c r="C4" s="150"/>
      <c r="D4" s="163"/>
      <c r="E4" s="150"/>
      <c r="F4" s="150"/>
      <c r="G4" s="150"/>
      <c r="H4" s="3">
        <v>1</v>
      </c>
      <c r="I4" s="3">
        <v>2</v>
      </c>
      <c r="J4" s="3">
        <v>3</v>
      </c>
      <c r="K4" s="3" t="s">
        <v>8</v>
      </c>
      <c r="L4" s="150"/>
      <c r="M4" s="150"/>
      <c r="N4" s="152"/>
    </row>
    <row r="5" spans="2:13" ht="15.75">
      <c r="B5" s="153" t="s">
        <v>56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4" ht="12.75">
      <c r="A6" s="37">
        <v>1</v>
      </c>
      <c r="B6" s="12" t="s">
        <v>319</v>
      </c>
      <c r="C6" s="12" t="s">
        <v>320</v>
      </c>
      <c r="D6" s="25">
        <v>63.8</v>
      </c>
      <c r="E6" s="12" t="str">
        <f>"0,9404"</f>
        <v>0,9404</v>
      </c>
      <c r="F6" s="12" t="s">
        <v>37</v>
      </c>
      <c r="G6" s="12" t="s">
        <v>28</v>
      </c>
      <c r="H6" s="126" t="s">
        <v>212</v>
      </c>
      <c r="I6" s="126" t="s">
        <v>156</v>
      </c>
      <c r="J6" s="126" t="s">
        <v>148</v>
      </c>
      <c r="K6" s="38"/>
      <c r="L6" s="40" t="s">
        <v>148</v>
      </c>
      <c r="M6" s="40" t="str">
        <f>"56,4240"</f>
        <v>56,4240</v>
      </c>
      <c r="N6" s="12" t="s">
        <v>346</v>
      </c>
    </row>
    <row r="8" ht="15.75">
      <c r="F8" s="15"/>
    </row>
    <row r="9" ht="15.75">
      <c r="F9" s="15"/>
    </row>
    <row r="10" ht="15.75">
      <c r="F10" s="15"/>
    </row>
    <row r="11" ht="15.75">
      <c r="F11" s="15"/>
    </row>
    <row r="12" ht="15.75">
      <c r="F12" s="15"/>
    </row>
    <row r="13" ht="15.75">
      <c r="F13" s="15"/>
    </row>
    <row r="14" ht="15.75">
      <c r="F14" s="15"/>
    </row>
    <row r="16" spans="2:3" ht="18">
      <c r="B16" s="16"/>
      <c r="C16" s="16"/>
    </row>
  </sheetData>
  <sheetProtection/>
  <mergeCells count="13">
    <mergeCell ref="F3:F4"/>
    <mergeCell ref="G3:G4"/>
    <mergeCell ref="H3:K3"/>
    <mergeCell ref="A3:A4"/>
    <mergeCell ref="L3:L4"/>
    <mergeCell ref="M3:M4"/>
    <mergeCell ref="N3:N4"/>
    <mergeCell ref="B5:M5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A3" sqref="A3:A4"/>
    </sheetView>
  </sheetViews>
  <sheetFormatPr defaultColWidth="8.75390625" defaultRowHeight="12.75"/>
  <cols>
    <col min="1" max="1" width="9.125" style="37" customWidth="1"/>
    <col min="2" max="2" width="26.00390625" style="11" bestFit="1" customWidth="1"/>
    <col min="3" max="3" width="29.875" style="11" customWidth="1"/>
    <col min="4" max="4" width="14.00390625" style="66" customWidth="1"/>
    <col min="5" max="5" width="8.375" style="11" bestFit="1" customWidth="1"/>
    <col min="6" max="6" width="22.75390625" style="11" bestFit="1" customWidth="1"/>
    <col min="7" max="7" width="31.625" style="11" bestFit="1" customWidth="1"/>
    <col min="8" max="10" width="5.625" style="11" bestFit="1" customWidth="1"/>
    <col min="11" max="11" width="4.625" style="11" bestFit="1" customWidth="1"/>
    <col min="12" max="14" width="5.625" style="11" bestFit="1" customWidth="1"/>
    <col min="15" max="15" width="4.625" style="11" bestFit="1" customWidth="1"/>
    <col min="16" max="16" width="7.875" style="11" bestFit="1" customWidth="1"/>
    <col min="17" max="17" width="8.625" style="11" bestFit="1" customWidth="1"/>
    <col min="18" max="18" width="28.75390625" style="11" bestFit="1" customWidth="1"/>
  </cols>
  <sheetData>
    <row r="1" spans="1:18" s="1" customFormat="1" ht="15" customHeight="1">
      <c r="A1" s="59"/>
      <c r="B1" s="154" t="s">
        <v>383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6"/>
    </row>
    <row r="2" spans="1:18" s="1" customFormat="1" ht="117" customHeight="1" thickBot="1">
      <c r="A2" s="32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9"/>
    </row>
    <row r="3" spans="1:18" s="2" customFormat="1" ht="12.75" customHeight="1">
      <c r="A3" s="165" t="s">
        <v>368</v>
      </c>
      <c r="B3" s="160" t="s">
        <v>0</v>
      </c>
      <c r="C3" s="162" t="s">
        <v>469</v>
      </c>
      <c r="D3" s="162" t="s">
        <v>470</v>
      </c>
      <c r="E3" s="149" t="s">
        <v>9</v>
      </c>
      <c r="F3" s="149" t="s">
        <v>7</v>
      </c>
      <c r="G3" s="149" t="s">
        <v>471</v>
      </c>
      <c r="H3" s="149" t="s">
        <v>2</v>
      </c>
      <c r="I3" s="149"/>
      <c r="J3" s="149"/>
      <c r="K3" s="149"/>
      <c r="L3" s="149" t="s">
        <v>3</v>
      </c>
      <c r="M3" s="149"/>
      <c r="N3" s="149"/>
      <c r="O3" s="149"/>
      <c r="P3" s="149" t="s">
        <v>4</v>
      </c>
      <c r="Q3" s="149" t="s">
        <v>6</v>
      </c>
      <c r="R3" s="151" t="s">
        <v>5</v>
      </c>
    </row>
    <row r="4" spans="1:18" s="2" customFormat="1" ht="21" customHeight="1" thickBot="1">
      <c r="A4" s="148"/>
      <c r="B4" s="161"/>
      <c r="C4" s="150"/>
      <c r="D4" s="163"/>
      <c r="E4" s="150"/>
      <c r="F4" s="150"/>
      <c r="G4" s="150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50"/>
      <c r="Q4" s="150"/>
      <c r="R4" s="152"/>
    </row>
    <row r="5" spans="2:17" ht="15.75">
      <c r="B5" s="153" t="s">
        <v>143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</row>
    <row r="6" spans="1:18" ht="12.75">
      <c r="A6" s="37">
        <v>1</v>
      </c>
      <c r="B6" s="12" t="s">
        <v>336</v>
      </c>
      <c r="C6" s="12" t="s">
        <v>337</v>
      </c>
      <c r="D6" s="65">
        <v>59.1</v>
      </c>
      <c r="E6" s="12" t="str">
        <f>"0,8453"</f>
        <v>0,8453</v>
      </c>
      <c r="F6" s="12" t="s">
        <v>472</v>
      </c>
      <c r="G6" s="12" t="s">
        <v>474</v>
      </c>
      <c r="H6" s="126" t="s">
        <v>61</v>
      </c>
      <c r="I6" s="39" t="s">
        <v>19</v>
      </c>
      <c r="J6" s="39" t="s">
        <v>19</v>
      </c>
      <c r="K6" s="38"/>
      <c r="L6" s="126" t="s">
        <v>31</v>
      </c>
      <c r="M6" s="126" t="s">
        <v>17</v>
      </c>
      <c r="N6" s="126" t="s">
        <v>114</v>
      </c>
      <c r="O6" s="38"/>
      <c r="P6" s="40">
        <v>272.5</v>
      </c>
      <c r="Q6" s="40" t="str">
        <f>"230,3306"</f>
        <v>230,3306</v>
      </c>
      <c r="R6" s="12" t="s">
        <v>345</v>
      </c>
    </row>
    <row r="8" spans="2:17" ht="15.75">
      <c r="B8" s="164" t="s">
        <v>10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</row>
    <row r="9" spans="1:18" ht="12.75">
      <c r="A9" s="37">
        <v>1</v>
      </c>
      <c r="B9" s="12" t="s">
        <v>243</v>
      </c>
      <c r="C9" s="12" t="s">
        <v>244</v>
      </c>
      <c r="D9" s="65">
        <v>72</v>
      </c>
      <c r="E9" s="12" t="str">
        <f>"0,7102"</f>
        <v>0,7102</v>
      </c>
      <c r="F9" s="12" t="s">
        <v>472</v>
      </c>
      <c r="G9" s="12" t="s">
        <v>28</v>
      </c>
      <c r="H9" s="126" t="s">
        <v>18</v>
      </c>
      <c r="I9" s="38"/>
      <c r="J9" s="38"/>
      <c r="K9" s="38"/>
      <c r="L9" s="126" t="s">
        <v>59</v>
      </c>
      <c r="M9" s="126" t="s">
        <v>15</v>
      </c>
      <c r="N9" s="39" t="s">
        <v>278</v>
      </c>
      <c r="O9" s="38"/>
      <c r="P9" s="40" t="s">
        <v>83</v>
      </c>
      <c r="Q9" s="40" t="str">
        <f>"177,5500"</f>
        <v>177,5500</v>
      </c>
      <c r="R9" s="12" t="s">
        <v>345</v>
      </c>
    </row>
    <row r="11" spans="2:17" ht="15.75">
      <c r="B11" s="164" t="s">
        <v>34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</row>
    <row r="12" spans="1:18" ht="12.75">
      <c r="A12" s="37">
        <v>1</v>
      </c>
      <c r="B12" s="12" t="s">
        <v>331</v>
      </c>
      <c r="C12" s="12" t="s">
        <v>332</v>
      </c>
      <c r="D12" s="65">
        <v>95.6</v>
      </c>
      <c r="E12" s="12" t="str">
        <f>"0,5932"</f>
        <v>0,5932</v>
      </c>
      <c r="F12" s="12" t="s">
        <v>472</v>
      </c>
      <c r="G12" s="12" t="s">
        <v>241</v>
      </c>
      <c r="H12" s="126" t="s">
        <v>43</v>
      </c>
      <c r="I12" s="126" t="s">
        <v>177</v>
      </c>
      <c r="J12" s="126" t="s">
        <v>59</v>
      </c>
      <c r="K12" s="38"/>
      <c r="L12" s="126" t="s">
        <v>71</v>
      </c>
      <c r="M12" s="126" t="s">
        <v>21</v>
      </c>
      <c r="N12" s="126" t="s">
        <v>22</v>
      </c>
      <c r="O12" s="38"/>
      <c r="P12" s="40" t="s">
        <v>335</v>
      </c>
      <c r="Q12" s="40" t="str">
        <f>"201,6710"</f>
        <v>201,6710</v>
      </c>
      <c r="R12" s="12" t="s">
        <v>347</v>
      </c>
    </row>
    <row r="14" spans="2:17" ht="15.75">
      <c r="B14" s="164" t="s">
        <v>80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8" ht="12.75">
      <c r="A15" s="37">
        <v>1</v>
      </c>
      <c r="B15" s="12" t="s">
        <v>90</v>
      </c>
      <c r="C15" s="12" t="s">
        <v>91</v>
      </c>
      <c r="D15" s="65">
        <v>123.5</v>
      </c>
      <c r="E15" s="12" t="str">
        <f>"0,5472"</f>
        <v>0,5472</v>
      </c>
      <c r="F15" s="12" t="s">
        <v>13</v>
      </c>
      <c r="G15" s="12" t="s">
        <v>14</v>
      </c>
      <c r="H15" s="126" t="s">
        <v>59</v>
      </c>
      <c r="I15" s="39" t="s">
        <v>31</v>
      </c>
      <c r="J15" s="39" t="s">
        <v>16</v>
      </c>
      <c r="K15" s="38"/>
      <c r="L15" s="126" t="s">
        <v>23</v>
      </c>
      <c r="M15" s="126" t="s">
        <v>338</v>
      </c>
      <c r="N15" s="126" t="s">
        <v>92</v>
      </c>
      <c r="O15" s="38"/>
      <c r="P15" s="40" t="s">
        <v>127</v>
      </c>
      <c r="Q15" s="40" t="str">
        <f>"207,9360"</f>
        <v>207,9360</v>
      </c>
      <c r="R15" s="12" t="s">
        <v>345</v>
      </c>
    </row>
    <row r="17" ht="15.75">
      <c r="F17" s="15"/>
    </row>
    <row r="18" ht="15.75">
      <c r="F18" s="15"/>
    </row>
    <row r="19" ht="15.75">
      <c r="F19" s="15"/>
    </row>
    <row r="20" ht="15.75">
      <c r="F20" s="15"/>
    </row>
    <row r="21" ht="15.75">
      <c r="F21" s="15"/>
    </row>
    <row r="22" ht="15.75">
      <c r="F22" s="15"/>
    </row>
    <row r="23" ht="15.75">
      <c r="F23" s="15"/>
    </row>
    <row r="25" spans="2:3" ht="18">
      <c r="B25" s="16"/>
      <c r="C25" s="16"/>
    </row>
  </sheetData>
  <sheetProtection/>
  <mergeCells count="17">
    <mergeCell ref="A3:A4"/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B14:Q14"/>
    <mergeCell ref="P3:P4"/>
    <mergeCell ref="Q3:Q4"/>
    <mergeCell ref="R3:R4"/>
    <mergeCell ref="B5:Q5"/>
    <mergeCell ref="B8:Q8"/>
    <mergeCell ref="B11:Q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A3" sqref="A3:A4"/>
    </sheetView>
  </sheetViews>
  <sheetFormatPr defaultColWidth="8.75390625" defaultRowHeight="12.75"/>
  <cols>
    <col min="1" max="1" width="9.125" style="37" customWidth="1"/>
    <col min="2" max="3" width="26.00390625" style="11" bestFit="1" customWidth="1"/>
    <col min="4" max="4" width="10.625" style="11" bestFit="1" customWidth="1"/>
    <col min="5" max="5" width="8.375" style="11" bestFit="1" customWidth="1"/>
    <col min="6" max="6" width="22.75390625" style="11" bestFit="1" customWidth="1"/>
    <col min="7" max="7" width="26.625" style="11" bestFit="1" customWidth="1"/>
    <col min="8" max="10" width="5.625" style="11" bestFit="1" customWidth="1"/>
    <col min="11" max="11" width="4.625" style="11" bestFit="1" customWidth="1"/>
    <col min="12" max="14" width="5.625" style="11" bestFit="1" customWidth="1"/>
    <col min="15" max="15" width="4.625" style="11" bestFit="1" customWidth="1"/>
    <col min="16" max="16" width="7.875" style="11" bestFit="1" customWidth="1"/>
    <col min="17" max="17" width="8.625" style="11" bestFit="1" customWidth="1"/>
    <col min="18" max="18" width="15.375" style="11" bestFit="1" customWidth="1"/>
  </cols>
  <sheetData>
    <row r="1" spans="1:18" s="1" customFormat="1" ht="15" customHeight="1">
      <c r="A1" s="59"/>
      <c r="B1" s="154" t="s">
        <v>382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6"/>
    </row>
    <row r="2" spans="1:18" s="1" customFormat="1" ht="103.5" customHeight="1" thickBot="1">
      <c r="A2" s="32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9"/>
    </row>
    <row r="3" spans="1:18" s="2" customFormat="1" ht="12.75" customHeight="1">
      <c r="A3" s="165" t="s">
        <v>368</v>
      </c>
      <c r="B3" s="160" t="s">
        <v>0</v>
      </c>
      <c r="C3" s="162" t="s">
        <v>469</v>
      </c>
      <c r="D3" s="162" t="s">
        <v>470</v>
      </c>
      <c r="E3" s="149" t="s">
        <v>9</v>
      </c>
      <c r="F3" s="149" t="s">
        <v>7</v>
      </c>
      <c r="G3" s="149" t="s">
        <v>471</v>
      </c>
      <c r="H3" s="149" t="s">
        <v>2</v>
      </c>
      <c r="I3" s="149"/>
      <c r="J3" s="149"/>
      <c r="K3" s="149"/>
      <c r="L3" s="149" t="s">
        <v>3</v>
      </c>
      <c r="M3" s="149"/>
      <c r="N3" s="149"/>
      <c r="O3" s="149"/>
      <c r="P3" s="149" t="s">
        <v>4</v>
      </c>
      <c r="Q3" s="149" t="s">
        <v>6</v>
      </c>
      <c r="R3" s="151" t="s">
        <v>5</v>
      </c>
    </row>
    <row r="4" spans="1:18" s="2" customFormat="1" ht="21" customHeight="1" thickBot="1">
      <c r="A4" s="148"/>
      <c r="B4" s="161"/>
      <c r="C4" s="150"/>
      <c r="D4" s="163"/>
      <c r="E4" s="150"/>
      <c r="F4" s="150"/>
      <c r="G4" s="150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50"/>
      <c r="Q4" s="150"/>
      <c r="R4" s="152"/>
    </row>
    <row r="5" spans="2:17" ht="15.75">
      <c r="B5" s="153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</row>
    <row r="6" spans="1:18" ht="12.75">
      <c r="A6" s="37">
        <v>1</v>
      </c>
      <c r="B6" s="12" t="s">
        <v>333</v>
      </c>
      <c r="C6" s="12" t="s">
        <v>334</v>
      </c>
      <c r="D6" s="25">
        <v>84.5</v>
      </c>
      <c r="E6" s="12" t="str">
        <f>"0,6349"</f>
        <v>0,6349</v>
      </c>
      <c r="F6" s="12" t="s">
        <v>472</v>
      </c>
      <c r="G6" s="12" t="s">
        <v>111</v>
      </c>
      <c r="H6" s="126" t="s">
        <v>76</v>
      </c>
      <c r="I6" s="126" t="s">
        <v>262</v>
      </c>
      <c r="J6" s="39" t="s">
        <v>167</v>
      </c>
      <c r="K6" s="38"/>
      <c r="L6" s="126" t="s">
        <v>38</v>
      </c>
      <c r="M6" s="126" t="s">
        <v>22</v>
      </c>
      <c r="N6" s="126" t="s">
        <v>67</v>
      </c>
      <c r="O6" s="38"/>
      <c r="P6" s="40" t="s">
        <v>335</v>
      </c>
      <c r="Q6" s="40" t="str">
        <f>"215,8830"</f>
        <v>215,8830</v>
      </c>
      <c r="R6" s="12" t="s">
        <v>345</v>
      </c>
    </row>
    <row r="8" ht="15.75">
      <c r="F8" s="15"/>
    </row>
    <row r="9" ht="15.75">
      <c r="F9" s="15"/>
    </row>
    <row r="10" ht="15.75">
      <c r="F10" s="15"/>
    </row>
    <row r="11" ht="15.75">
      <c r="F11" s="15"/>
    </row>
    <row r="12" ht="15.75">
      <c r="F12" s="15"/>
    </row>
    <row r="13" ht="15.75">
      <c r="F13" s="15"/>
    </row>
    <row r="14" ht="15.75">
      <c r="F14" s="15"/>
    </row>
    <row r="16" spans="2:3" ht="18">
      <c r="B16" s="16"/>
      <c r="C16" s="16"/>
    </row>
  </sheetData>
  <sheetProtection/>
  <mergeCells count="14">
    <mergeCell ref="L3:O3"/>
    <mergeCell ref="P3:P4"/>
    <mergeCell ref="Q3:Q4"/>
    <mergeCell ref="R3:R4"/>
    <mergeCell ref="A3:A4"/>
    <mergeCell ref="B5:Q5"/>
    <mergeCell ref="B1:R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2016-06-22T10:31:54Z</dcterms:modified>
  <cp:category/>
  <cp:version/>
  <cp:contentType/>
  <cp:contentStatus/>
</cp:coreProperties>
</file>