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20" windowWidth="11340" windowHeight="9700" activeTab="0"/>
  </bookViews>
  <sheets>
    <sheet name="Apollon Axle" sheetId="1" r:id="rId1"/>
    <sheet name="Rolling Thunder" sheetId="2" r:id="rId2"/>
    <sheet name="Пауэрспорт ДК" sheetId="3" r:id="rId3"/>
    <sheet name="Пауэрспорт" sheetId="4" r:id="rId4"/>
    <sheet name="Становая тяга без экипировки ДК" sheetId="5" r:id="rId5"/>
    <sheet name="Становая тяга без экипирровки" sheetId="6" r:id="rId6"/>
    <sheet name="Присед в бинтах" sheetId="7" r:id="rId7"/>
    <sheet name="Силовое двоеборье без экип." sheetId="8" r:id="rId8"/>
    <sheet name="Пауэрлифтинг в бинтах" sheetId="9" r:id="rId9"/>
    <sheet name="Пауэрлифтинг без экипировки ДК" sheetId="10" r:id="rId10"/>
    <sheet name="Пауэрлифтинг без экипировки" sheetId="11" r:id="rId11"/>
    <sheet name="Народный жим 1 вес ДК" sheetId="12" r:id="rId12"/>
    <sheet name="Народный жим 1 вес" sheetId="13" r:id="rId13"/>
    <sheet name="Жим лежа SOFT ДК" sheetId="14" r:id="rId14"/>
    <sheet name="Жим лежа SOFT" sheetId="15" r:id="rId15"/>
    <sheet name="Жим лежа в однослойной экип." sheetId="16" r:id="rId16"/>
    <sheet name="Жим лежа без экипировки ДК" sheetId="17" r:id="rId17"/>
    <sheet name="Жим лежа без экипировки" sheetId="18" r:id="rId18"/>
  </sheets>
  <definedNames/>
  <calcPr fullCalcOnLoad="1"/>
</workbook>
</file>

<file path=xl/sharedStrings.xml><?xml version="1.0" encoding="utf-8"?>
<sst xmlns="http://schemas.openxmlformats.org/spreadsheetml/2006/main" count="1131" uniqueCount="361">
  <si>
    <t>ФИО</t>
  </si>
  <si>
    <t>Присед</t>
  </si>
  <si>
    <t>Жим</t>
  </si>
  <si>
    <t>Тяга</t>
  </si>
  <si>
    <t>Сумма</t>
  </si>
  <si>
    <t>Тренер</t>
  </si>
  <si>
    <t>Очки</t>
  </si>
  <si>
    <t>Команда</t>
  </si>
  <si>
    <t>Рек</t>
  </si>
  <si>
    <t>Wilks</t>
  </si>
  <si>
    <t>ВЕСОВАЯ КАТЕГОРИЯ   48</t>
  </si>
  <si>
    <t>Зубова Тамара</t>
  </si>
  <si>
    <t>Open (30.11.1981)/34</t>
  </si>
  <si>
    <t xml:space="preserve">На пульсе жизни </t>
  </si>
  <si>
    <t xml:space="preserve">Самара/Самарская область </t>
  </si>
  <si>
    <t>47,5</t>
  </si>
  <si>
    <t>57,5</t>
  </si>
  <si>
    <t>62,5</t>
  </si>
  <si>
    <t>ВЕСОВАЯ КАТЕГОРИЯ   67.5</t>
  </si>
  <si>
    <t>Сергеева Елена</t>
  </si>
  <si>
    <t>Open (21.03.1982)/34</t>
  </si>
  <si>
    <t xml:space="preserve">Графит </t>
  </si>
  <si>
    <t>90,0</t>
  </si>
  <si>
    <t>95,0</t>
  </si>
  <si>
    <t>97,5</t>
  </si>
  <si>
    <t>105,0</t>
  </si>
  <si>
    <t>Эргашев Илья</t>
  </si>
  <si>
    <t>Teenage 15-19 (16.12.1996)/19</t>
  </si>
  <si>
    <t xml:space="preserve">Богатыри </t>
  </si>
  <si>
    <t>100,0</t>
  </si>
  <si>
    <t>110,0</t>
  </si>
  <si>
    <t>120,0</t>
  </si>
  <si>
    <t>ВЕСОВАЯ КАТЕГОРИЯ   75</t>
  </si>
  <si>
    <t>Чичкин Сергей</t>
  </si>
  <si>
    <t>Juniors 20-23 (15.07.1992)/23</t>
  </si>
  <si>
    <t xml:space="preserve">Лично </t>
  </si>
  <si>
    <t>125,0</t>
  </si>
  <si>
    <t>Софин Николай</t>
  </si>
  <si>
    <t>Open (02.07.1991)/24</t>
  </si>
  <si>
    <t>115,0</t>
  </si>
  <si>
    <t>Гугняков Александр</t>
  </si>
  <si>
    <t>Masters 40-44 (17.09.1974)/41</t>
  </si>
  <si>
    <t xml:space="preserve">Спортзавод </t>
  </si>
  <si>
    <t>140,0</t>
  </si>
  <si>
    <t>150,0</t>
  </si>
  <si>
    <t>155,0</t>
  </si>
  <si>
    <t>ВЕСОВАЯ КАТЕГОРИЯ   90</t>
  </si>
  <si>
    <t>Рыков Александр</t>
  </si>
  <si>
    <t>Juniors 20-23 (18.09.1994)/21</t>
  </si>
  <si>
    <t xml:space="preserve">Нефтегорск/Самарская область </t>
  </si>
  <si>
    <t>127,5</t>
  </si>
  <si>
    <t>ВЕСОВАЯ КАТЕГОРИЯ   100</t>
  </si>
  <si>
    <t>Максимкин Даниил</t>
  </si>
  <si>
    <t>Juniors 20-23 (07.08.1992)/23</t>
  </si>
  <si>
    <t xml:space="preserve">Тольятти/Самарская область </t>
  </si>
  <si>
    <t>180,0</t>
  </si>
  <si>
    <t>190,0</t>
  </si>
  <si>
    <t>195,0</t>
  </si>
  <si>
    <t>200,0</t>
  </si>
  <si>
    <t>Мамедов Дилавар</t>
  </si>
  <si>
    <t>Juniors 20-23 (11.07.1993)/22</t>
  </si>
  <si>
    <t>170,0</t>
  </si>
  <si>
    <t>185,0</t>
  </si>
  <si>
    <t>Арсентьев Евгений</t>
  </si>
  <si>
    <t>Open (19.04.1987)/28</t>
  </si>
  <si>
    <t>Салехов Артём</t>
  </si>
  <si>
    <t>Open (21.02.1990)/26</t>
  </si>
  <si>
    <t>165,0</t>
  </si>
  <si>
    <t>Вилинский Александр</t>
  </si>
  <si>
    <t>Open (12.10.1988)/27</t>
  </si>
  <si>
    <t>160,0</t>
  </si>
  <si>
    <t>Нефёдов Михаил</t>
  </si>
  <si>
    <t>Masters 40-44 (07.05.1972)/43</t>
  </si>
  <si>
    <t>175,0</t>
  </si>
  <si>
    <t>Михин Михаил</t>
  </si>
  <si>
    <t>Masters 45-49 (21.07.1969)/46</t>
  </si>
  <si>
    <t>122,5</t>
  </si>
  <si>
    <t>ВЕСОВАЯ КАТЕГОРИЯ   110</t>
  </si>
  <si>
    <t>Саяпин Георгий</t>
  </si>
  <si>
    <t>Teenage 15-19 (21.06.1997)/18</t>
  </si>
  <si>
    <t>177,5</t>
  </si>
  <si>
    <t>Филатов Евгений</t>
  </si>
  <si>
    <t>Open (15.10.1981)/34</t>
  </si>
  <si>
    <t>220,0</t>
  </si>
  <si>
    <t>225,0</t>
  </si>
  <si>
    <t>230,0</t>
  </si>
  <si>
    <t>Плотников Виктор</t>
  </si>
  <si>
    <t>Open (06.05.1983)/32</t>
  </si>
  <si>
    <t>167,5</t>
  </si>
  <si>
    <t>Майер Алексей</t>
  </si>
  <si>
    <t>Open (14.05.1984)/31</t>
  </si>
  <si>
    <t>ВЕСОВАЯ КАТЕГОРИЯ   125</t>
  </si>
  <si>
    <t>Кулагин Андрей</t>
  </si>
  <si>
    <t>Open (16.09.1978)/37</t>
  </si>
  <si>
    <t xml:space="preserve">Уран </t>
  </si>
  <si>
    <t>ВЕСОВАЯ КАТЕГОРИЯ   140</t>
  </si>
  <si>
    <t>Шереметьев Даниил</t>
  </si>
  <si>
    <t>Open (28.08.1990)/25</t>
  </si>
  <si>
    <t xml:space="preserve">Абсолютный зачёт </t>
  </si>
  <si>
    <t xml:space="preserve">Открытая </t>
  </si>
  <si>
    <t xml:space="preserve">ФИО </t>
  </si>
  <si>
    <t xml:space="preserve">Возрастная группа </t>
  </si>
  <si>
    <t xml:space="preserve">Весовая </t>
  </si>
  <si>
    <t xml:space="preserve">Сумма </t>
  </si>
  <si>
    <t xml:space="preserve">Wilks </t>
  </si>
  <si>
    <t xml:space="preserve">Мужчины </t>
  </si>
  <si>
    <t>138,1380</t>
  </si>
  <si>
    <t>128,7440</t>
  </si>
  <si>
    <t>109,9980</t>
  </si>
  <si>
    <t>ВЕСОВАЯ КАТЕГОРИЯ   52</t>
  </si>
  <si>
    <t>Черкасова Анастасия</t>
  </si>
  <si>
    <t>Teenage 15-19 (06.04.2000)/15</t>
  </si>
  <si>
    <t>25,0</t>
  </si>
  <si>
    <t>27,5</t>
  </si>
  <si>
    <t>30,0</t>
  </si>
  <si>
    <t>Лимина Татьяна</t>
  </si>
  <si>
    <t>Open (02.12.1987)/28</t>
  </si>
  <si>
    <t>65,0</t>
  </si>
  <si>
    <t>67,5</t>
  </si>
  <si>
    <t>Горбунов Александр</t>
  </si>
  <si>
    <t>Juniors 20-23 (17.08.1992)/23</t>
  </si>
  <si>
    <t>Семеньков Дмитрий</t>
  </si>
  <si>
    <t>Teenage 15-19 (15.08.2000)/15</t>
  </si>
  <si>
    <t>112,5</t>
  </si>
  <si>
    <t>117,5</t>
  </si>
  <si>
    <t>Хатунцев Сергей</t>
  </si>
  <si>
    <t>Teenage 15-19 (19.07.1999)/16</t>
  </si>
  <si>
    <t>Лаврентьев Антон</t>
  </si>
  <si>
    <t>Teenage 15-19 (29.01.2000)/16</t>
  </si>
  <si>
    <t>ВЕСОВАЯ КАТЕГОРИЯ   82.5</t>
  </si>
  <si>
    <t>Усанкин Роман</t>
  </si>
  <si>
    <t>Teenage 15-19 (16.08.1999)/16</t>
  </si>
  <si>
    <t>132,5</t>
  </si>
  <si>
    <t>137,5</t>
  </si>
  <si>
    <t>Гордеев Борис</t>
  </si>
  <si>
    <t>Open (25.08.1981)/34</t>
  </si>
  <si>
    <t>145,0</t>
  </si>
  <si>
    <t>Лагутин Евгений</t>
  </si>
  <si>
    <t>Open (04.06.1988)/27</t>
  </si>
  <si>
    <t>130,0</t>
  </si>
  <si>
    <t>Нестеров Илья</t>
  </si>
  <si>
    <t>Open (18.05.1982)/33</t>
  </si>
  <si>
    <t>Шинкаренко Игорь</t>
  </si>
  <si>
    <t>Open (03.09.1988)/27</t>
  </si>
  <si>
    <t xml:space="preserve">Русская Сталь </t>
  </si>
  <si>
    <t>Шкаев Дмитрий</t>
  </si>
  <si>
    <t>Open (15.10.1989)/26</t>
  </si>
  <si>
    <t xml:space="preserve">ГУО </t>
  </si>
  <si>
    <t>Кретов Святослав</t>
  </si>
  <si>
    <t>Juniors 20-23 (29.07.1994)/21</t>
  </si>
  <si>
    <t>147,5</t>
  </si>
  <si>
    <t>Садчиков Антон</t>
  </si>
  <si>
    <t>Open (21.04.1985)/30</t>
  </si>
  <si>
    <t>Хитрин Дмитрий</t>
  </si>
  <si>
    <t>Open (26.02.1977)/39</t>
  </si>
  <si>
    <t>104,7150</t>
  </si>
  <si>
    <t>89,7400</t>
  </si>
  <si>
    <t>87,1717</t>
  </si>
  <si>
    <t>Яковлев Максим</t>
  </si>
  <si>
    <t>Open (17.06.1982)/33</t>
  </si>
  <si>
    <t>135,0</t>
  </si>
  <si>
    <t>Загайнов Максим</t>
  </si>
  <si>
    <t>Teenage 15-19 (06.01.1999)/17</t>
  </si>
  <si>
    <t>80,0</t>
  </si>
  <si>
    <t>85,0</t>
  </si>
  <si>
    <t>Ерошкин Евгений</t>
  </si>
  <si>
    <t>Open (11.04.1979)/36</t>
  </si>
  <si>
    <t>210,0</t>
  </si>
  <si>
    <t>250,0</t>
  </si>
  <si>
    <t>385,0</t>
  </si>
  <si>
    <t>650,0</t>
  </si>
  <si>
    <t>425,0</t>
  </si>
  <si>
    <t>ВЕСОВАЯ КАТЕГОРИЯ   60</t>
  </si>
  <si>
    <t>Роговая Анна</t>
  </si>
  <si>
    <t>Open (14.05.1976)/39</t>
  </si>
  <si>
    <t>37,5</t>
  </si>
  <si>
    <t>42,5</t>
  </si>
  <si>
    <t>45,0</t>
  </si>
  <si>
    <t>60,0</t>
  </si>
  <si>
    <t>70,0</t>
  </si>
  <si>
    <t>Лебедев Станислав</t>
  </si>
  <si>
    <t>Open (30.01.1986)/30</t>
  </si>
  <si>
    <t>455,0</t>
  </si>
  <si>
    <t>Цыганков Станислав</t>
  </si>
  <si>
    <t>Open (28.10.1985)/30</t>
  </si>
  <si>
    <t>550,0</t>
  </si>
  <si>
    <t>235,0</t>
  </si>
  <si>
    <t>Ясаков Даниил</t>
  </si>
  <si>
    <t>Teenage 15-19 (24.12.1999)/16</t>
  </si>
  <si>
    <t>Доровских Вячеслав</t>
  </si>
  <si>
    <t>Juniors 20-23 (29.01.1995)/21</t>
  </si>
  <si>
    <t>182,5</t>
  </si>
  <si>
    <t>Усманов Ринат</t>
  </si>
  <si>
    <t>Open (21.07.1988)/27</t>
  </si>
  <si>
    <t>245,0</t>
  </si>
  <si>
    <t>Алимов Виталий</t>
  </si>
  <si>
    <t>Juniors 20-23 (17.09.1993)/22</t>
  </si>
  <si>
    <t>202,5</t>
  </si>
  <si>
    <t>Филин Антон</t>
  </si>
  <si>
    <t>Open (22.02.1987)/29</t>
  </si>
  <si>
    <t>Митрошин Дмитрий</t>
  </si>
  <si>
    <t>Juniors 20-23 (30.07.1992)/23</t>
  </si>
  <si>
    <t>Есин Иван</t>
  </si>
  <si>
    <t>Masters 75-79 (25.12.1938)/77</t>
  </si>
  <si>
    <t>Зайцев Дмитрий</t>
  </si>
  <si>
    <t>Open (21.10.1986)/29</t>
  </si>
  <si>
    <t>Место</t>
  </si>
  <si>
    <t>Весовая категория               Дата рождения/возраст</t>
  </si>
  <si>
    <t>Собств. вес</t>
  </si>
  <si>
    <t>Город/ область</t>
  </si>
  <si>
    <t xml:space="preserve">Самостоятельно </t>
  </si>
  <si>
    <t>с. Кинель-Черкассы/Самарская область</t>
  </si>
  <si>
    <t>пгт Алексеевка/Самарская область</t>
  </si>
  <si>
    <t xml:space="preserve">Кулагин А. </t>
  </si>
  <si>
    <t>72,9</t>
  </si>
  <si>
    <t>89,4</t>
  </si>
  <si>
    <t>74,0</t>
  </si>
  <si>
    <t>70,7</t>
  </si>
  <si>
    <t>80,3</t>
  </si>
  <si>
    <t>88,8</t>
  </si>
  <si>
    <t>87,6</t>
  </si>
  <si>
    <t>92,9</t>
  </si>
  <si>
    <t>96,2</t>
  </si>
  <si>
    <t>120,1</t>
  </si>
  <si>
    <t>Алексеевка/Белгородская область</t>
  </si>
  <si>
    <t>58,9</t>
  </si>
  <si>
    <t>89,0</t>
  </si>
  <si>
    <t>72,1</t>
  </si>
  <si>
    <t>78,5</t>
  </si>
  <si>
    <t>113,9</t>
  </si>
  <si>
    <t>Результат</t>
  </si>
  <si>
    <t>80,8</t>
  </si>
  <si>
    <t>49,9</t>
  </si>
  <si>
    <t>65,6</t>
  </si>
  <si>
    <t>62,6</t>
  </si>
  <si>
    <t>73,9</t>
  </si>
  <si>
    <t>73,5</t>
  </si>
  <si>
    <t>71,2</t>
  </si>
  <si>
    <t>79,0</t>
  </si>
  <si>
    <t>77,3</t>
  </si>
  <si>
    <t>89,3</t>
  </si>
  <si>
    <t>85,1</t>
  </si>
  <si>
    <t>87,3</t>
  </si>
  <si>
    <t>88,9</t>
  </si>
  <si>
    <t>94,0</t>
  </si>
  <si>
    <t>95,1</t>
  </si>
  <si>
    <t>108,9</t>
  </si>
  <si>
    <t xml:space="preserve">90,0 </t>
  </si>
  <si>
    <t xml:space="preserve">82,5 </t>
  </si>
  <si>
    <t>0</t>
  </si>
  <si>
    <t>Эргашев И.</t>
  </si>
  <si>
    <t>Мазитов А.</t>
  </si>
  <si>
    <t>Ососков В.</t>
  </si>
  <si>
    <t>Хитрин Д.</t>
  </si>
  <si>
    <t>Макаров А.</t>
  </si>
  <si>
    <t>1</t>
  </si>
  <si>
    <t>2</t>
  </si>
  <si>
    <t>3</t>
  </si>
  <si>
    <t xml:space="preserve">110,0 </t>
  </si>
  <si>
    <t xml:space="preserve">100,0 </t>
  </si>
  <si>
    <t>Гордеев Б.</t>
  </si>
  <si>
    <t>Филатов Е.</t>
  </si>
  <si>
    <t xml:space="preserve">Атаев В. </t>
  </si>
  <si>
    <t>Gloss</t>
  </si>
  <si>
    <t>Винокуров Олег</t>
  </si>
  <si>
    <t xml:space="preserve">Димитровград/Ульяновская область </t>
  </si>
  <si>
    <t>74,4</t>
  </si>
  <si>
    <t>260,0</t>
  </si>
  <si>
    <t>265,0</t>
  </si>
  <si>
    <t>Masters 40-49 (10.05.1966)/49</t>
  </si>
  <si>
    <t>Трошинский Вячеслав</t>
  </si>
  <si>
    <t>Masters 50-59 (10.05.1960)/55</t>
  </si>
  <si>
    <t>1365,0</t>
  </si>
  <si>
    <t>2040,0</t>
  </si>
  <si>
    <t>103,5</t>
  </si>
  <si>
    <t>83,8</t>
  </si>
  <si>
    <t>Вес</t>
  </si>
  <si>
    <t>Повторы</t>
  </si>
  <si>
    <t>Тоннаж</t>
  </si>
  <si>
    <t>24</t>
  </si>
  <si>
    <t>14</t>
  </si>
  <si>
    <t>75,0</t>
  </si>
  <si>
    <t>Masters 40-49 (17.09.1974)/41</t>
  </si>
  <si>
    <t>77,5</t>
  </si>
  <si>
    <t>Поздняков Вячеслав</t>
  </si>
  <si>
    <t>Masters 40-49 (28.09.1971)/44</t>
  </si>
  <si>
    <t>Бажутов Дмитрий</t>
  </si>
  <si>
    <t>Juniors 20-23 (25.04.1994)/21</t>
  </si>
  <si>
    <t>Хорощенко Николай</t>
  </si>
  <si>
    <t>Open (28.06.1986)/29</t>
  </si>
  <si>
    <t>Зайцев Андрей</t>
  </si>
  <si>
    <t>Open (23.10.1985)/30</t>
  </si>
  <si>
    <t>Masters 40-49 (07.05.1972)/43</t>
  </si>
  <si>
    <t>Подъем на бицес</t>
  </si>
  <si>
    <t>Армейский жим</t>
  </si>
  <si>
    <t>Смирнов Максим</t>
  </si>
  <si>
    <t>Open (06.09.1984)/31</t>
  </si>
  <si>
    <t>50,0</t>
  </si>
  <si>
    <t>55,0</t>
  </si>
  <si>
    <t>57,0</t>
  </si>
  <si>
    <t>107,0</t>
  </si>
  <si>
    <t>78,9</t>
  </si>
  <si>
    <t>Кравцев Сергей</t>
  </si>
  <si>
    <t>Open (20.03.1991)/25</t>
  </si>
  <si>
    <t>40,0</t>
  </si>
  <si>
    <t>Астанков Дмитрий</t>
  </si>
  <si>
    <t>Open (20.09.1977)/38</t>
  </si>
  <si>
    <t xml:space="preserve">Алекс Фитнес </t>
  </si>
  <si>
    <t>79,9</t>
  </si>
  <si>
    <t>87,0</t>
  </si>
  <si>
    <t>Томчук Анастасия</t>
  </si>
  <si>
    <t>Junior (27.07.1993)/22</t>
  </si>
  <si>
    <t>Ильина Элеонора</t>
  </si>
  <si>
    <t>Open (03.02.1982)/34</t>
  </si>
  <si>
    <t>Колосков Владислав</t>
  </si>
  <si>
    <t>Junior (04.11.1993)/22</t>
  </si>
  <si>
    <t>Царевский Олег</t>
  </si>
  <si>
    <t>Open (26.06.1989)/26</t>
  </si>
  <si>
    <t>55,5</t>
  </si>
  <si>
    <t>69,7</t>
  </si>
  <si>
    <t>88,6</t>
  </si>
  <si>
    <t xml:space="preserve">Хитрин Д. </t>
  </si>
  <si>
    <t>ВЕСОВАЯ КАТЕГОРИЯ   80</t>
  </si>
  <si>
    <t>50,5</t>
  </si>
  <si>
    <t>53,0</t>
  </si>
  <si>
    <t>73,0</t>
  </si>
  <si>
    <t>99,0</t>
  </si>
  <si>
    <t>Мастерский турнир "Богатырская Русь"                                                                                      Rolling Thunder
г. Самара, 26 - 27 марта 2016 г.</t>
  </si>
  <si>
    <t>Мастерский турнир "Богатырская Русь" IPL                                                                                                       Пауэрлифтинг в бинтах
г. Самара, 26 - 27 марта 2016 г.</t>
  </si>
  <si>
    <t>Мастерский турнирр "Богатырская Русь"                                                                             Народный жим (1 вес)
г. Самара, 26 - 27 марта 2016 г.</t>
  </si>
  <si>
    <t>48,0</t>
  </si>
  <si>
    <t>61,0</t>
  </si>
  <si>
    <t>63,2</t>
  </si>
  <si>
    <t>72,8</t>
  </si>
  <si>
    <t>89,1</t>
  </si>
  <si>
    <t>95,3</t>
  </si>
  <si>
    <t>98,7</t>
  </si>
  <si>
    <t>98,6</t>
  </si>
  <si>
    <t>107,2</t>
  </si>
  <si>
    <t>107,7</t>
  </si>
  <si>
    <t>106,8</t>
  </si>
  <si>
    <t>112,1</t>
  </si>
  <si>
    <t>135,7</t>
  </si>
  <si>
    <t xml:space="preserve">пгт Рощинский/Самарская область </t>
  </si>
  <si>
    <t>село Кинель-Черкассы/Самарская область</t>
  </si>
  <si>
    <t>Димитровград/Ульяновская область</t>
  </si>
  <si>
    <t>Мастерский турнир "Богатырская Русь" IPL                                                                                                  Присед в бинтах
г. Самара, 26 - 27 марта 2016 г.</t>
  </si>
  <si>
    <t>Мастерский турнир "Богатырская Русь" IPL                                                                                                              Силовое двоеборье без экипировки
г. Самара, 26 - 27 марта 2016 г.</t>
  </si>
  <si>
    <t>Мастерский турнир "Богатырская Русь" IPL                                                                                                            Становая тяга без экипировки ДК
г. Самара, 26 - 27 марта 2016 г.</t>
  </si>
  <si>
    <t>Мастерский турнир "Богатырская Русь" IPL                                                                                                    Становая тяга без экипировки
г. Самара, 26 - 27 марта 2016 г.</t>
  </si>
  <si>
    <t>Мастерский турнир "Богатырская Русь" IPL                                                                                                              Пауэрлифтинг без экипировки ДК
г. Самара, 26 - 27 марта 2016 г.</t>
  </si>
  <si>
    <t>Мастерский турнир "Богатырская Русь" IPL                                                                                                                   Пауэрлифтинг без экипировки
г. Самара, 26 - 27 марта 2016 г.</t>
  </si>
  <si>
    <t>Мастерский турнир "Богатырская Русь" IPL                                                                                              Жим лежа в однослойной экипировке
г. Самара, 26 - 27 марта 2016 г.</t>
  </si>
  <si>
    <t>Мастерский турнир "Богатырская Русь" IPL                                                                                                               Жим лежа без экипировки ДК
г. Самара, 26 - 27 марта 2016 г.</t>
  </si>
  <si>
    <t>Мастерский турнир "Богатырская Русь" IPL                                                                                                              Жим лежа без экипировки
г. Самара, 26 - 27 марта 2016 г.</t>
  </si>
  <si>
    <t>Мастерский турнир "Богатырская Русь"                                                                                                           Жим лежа в SOFT экипировке ДК
г. Самара, 26 - 27 марта 2016 г.</t>
  </si>
  <si>
    <t>Мастерский турнир "Богатырская Русь"                                                                                                            Жим лежа в SOFT экипировке 
г. Самара, 26 - 27 марта 2016 г.</t>
  </si>
  <si>
    <t>Мастерский турнирр "Богатырская Русь"                                                                                             Народный жим (1 вес) ДК
г. Самара, 26 - 27 марта 2016 г.</t>
  </si>
  <si>
    <t>Мастерский турнир "Богатырская Русь"                                                                                                          Пауэрспорт ДК
г. Самара, 26 - 27 марта 2016 г.</t>
  </si>
  <si>
    <t>Мастерский турнир "Богатырская Русь"                                                                                                                  Пауэрспорт 
г. Самара, 26 - 27 марта 2016 г.</t>
  </si>
  <si>
    <t>Мастерский турнир "Богатырская Русь"                                                                                               Apollon Axle
г. Самара, 26 - 27 марта 2016 г.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</si>
</sst>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000"/>
    <numFmt numFmtId="174" formatCode="0.0000"/>
    <numFmt numFmtId="175" formatCode="000000"/>
    <numFmt numFmtId="176" formatCode="0.000"/>
  </numFmts>
  <fonts count="48">
    <font>
      <sz val="10"/>
      <name val="Arial Cyr"/>
      <family val="0"/>
    </font>
    <font>
      <sz val="24"/>
      <name val="Arial Cyr"/>
      <family val="2"/>
    </font>
    <font>
      <b/>
      <sz val="10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i/>
      <sz val="12"/>
      <name val="Arial Cyr"/>
      <family val="0"/>
    </font>
    <font>
      <strike/>
      <sz val="10"/>
      <name val="Arial Cyr"/>
      <family val="0"/>
    </font>
    <font>
      <sz val="14"/>
      <name val="Arial Cyr"/>
      <family val="0"/>
    </font>
    <font>
      <i/>
      <sz val="11"/>
      <name val="Arial Cyr"/>
      <family val="0"/>
    </font>
    <font>
      <b/>
      <strike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trike/>
      <sz val="10"/>
      <color indexed="10"/>
      <name val="Arial Cyr"/>
      <family val="0"/>
    </font>
    <font>
      <b/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trike/>
      <sz val="10"/>
      <color rgb="FFFF0000"/>
      <name val="Arial Cyr"/>
      <family val="0"/>
    </font>
    <font>
      <b/>
      <sz val="10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0" fillId="28" borderId="6" applyNumberFormat="0" applyFont="0" applyAlignment="0" applyProtection="0"/>
    <xf numFmtId="0" fontId="37" fillId="0" borderId="7" applyNumberFormat="0" applyFill="0" applyAlignment="0" applyProtection="0"/>
    <xf numFmtId="0" fontId="38" fillId="29" borderId="8" applyNumberFormat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49" fontId="0" fillId="0" borderId="0" xfId="0" applyNumberForma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left"/>
    </xf>
    <xf numFmtId="49" fontId="0" fillId="0" borderId="0" xfId="0" applyNumberFormat="1" applyFill="1" applyBorder="1" applyAlignment="1">
      <alignment horizontal="left"/>
    </xf>
    <xf numFmtId="49" fontId="0" fillId="0" borderId="11" xfId="0" applyNumberFormat="1" applyFill="1" applyBorder="1" applyAlignment="1">
      <alignment horizontal="center"/>
    </xf>
    <xf numFmtId="49" fontId="0" fillId="0" borderId="11" xfId="0" applyNumberFormat="1" applyFill="1" applyBorder="1" applyAlignment="1">
      <alignment horizontal="left"/>
    </xf>
    <xf numFmtId="49" fontId="0" fillId="0" borderId="12" xfId="0" applyNumberFormat="1" applyFill="1" applyBorder="1" applyAlignment="1">
      <alignment horizontal="center"/>
    </xf>
    <xf numFmtId="49" fontId="0" fillId="0" borderId="12" xfId="0" applyNumberFormat="1" applyFill="1" applyBorder="1" applyAlignment="1">
      <alignment horizontal="left"/>
    </xf>
    <xf numFmtId="49" fontId="0" fillId="0" borderId="13" xfId="0" applyNumberFormat="1" applyFill="1" applyBorder="1" applyAlignment="1">
      <alignment horizontal="center"/>
    </xf>
    <xf numFmtId="49" fontId="0" fillId="0" borderId="13" xfId="0" applyNumberFormat="1" applyFill="1" applyBorder="1" applyAlignment="1">
      <alignment horizontal="left"/>
    </xf>
    <xf numFmtId="49" fontId="0" fillId="0" borderId="14" xfId="0" applyNumberFormat="1" applyFill="1" applyBorder="1" applyAlignment="1">
      <alignment horizontal="center"/>
    </xf>
    <xf numFmtId="49" fontId="0" fillId="0" borderId="14" xfId="0" applyNumberFormat="1" applyFill="1" applyBorder="1" applyAlignment="1">
      <alignment horizontal="left"/>
    </xf>
    <xf numFmtId="49" fontId="3" fillId="0" borderId="11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/>
    </xf>
    <xf numFmtId="49" fontId="0" fillId="0" borderId="11" xfId="0" applyNumberFormat="1" applyBorder="1" applyAlignment="1">
      <alignment/>
    </xf>
    <xf numFmtId="49" fontId="6" fillId="0" borderId="11" xfId="0" applyNumberFormat="1" applyFont="1" applyBorder="1" applyAlignment="1">
      <alignment/>
    </xf>
    <xf numFmtId="49" fontId="0" fillId="0" borderId="12" xfId="0" applyNumberFormat="1" applyBorder="1" applyAlignment="1">
      <alignment/>
    </xf>
    <xf numFmtId="49" fontId="0" fillId="0" borderId="13" xfId="0" applyNumberFormat="1" applyBorder="1" applyAlignment="1">
      <alignment/>
    </xf>
    <xf numFmtId="49" fontId="0" fillId="0" borderId="14" xfId="0" applyNumberFormat="1" applyBorder="1" applyAlignment="1">
      <alignment/>
    </xf>
    <xf numFmtId="49" fontId="7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49" fontId="0" fillId="0" borderId="0" xfId="0" applyNumberFormat="1" applyAlignment="1">
      <alignment horizontal="left" indent="1"/>
    </xf>
    <xf numFmtId="49" fontId="8" fillId="0" borderId="0" xfId="0" applyNumberFormat="1" applyFont="1" applyAlignment="1">
      <alignment horizontal="left" indent="1"/>
    </xf>
    <xf numFmtId="49" fontId="8" fillId="0" borderId="0" xfId="0" applyNumberFormat="1" applyFont="1" applyAlignment="1">
      <alignment/>
    </xf>
    <xf numFmtId="49" fontId="3" fillId="0" borderId="1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49" fontId="2" fillId="33" borderId="11" xfId="0" applyNumberFormat="1" applyFont="1" applyFill="1" applyBorder="1" applyAlignment="1">
      <alignment/>
    </xf>
    <xf numFmtId="49" fontId="2" fillId="0" borderId="11" xfId="0" applyNumberFormat="1" applyFont="1" applyBorder="1" applyAlignment="1">
      <alignment horizontal="center"/>
    </xf>
    <xf numFmtId="49" fontId="9" fillId="0" borderId="11" xfId="0" applyNumberFormat="1" applyFont="1" applyBorder="1" applyAlignment="1">
      <alignment horizontal="center"/>
    </xf>
    <xf numFmtId="49" fontId="2" fillId="33" borderId="11" xfId="0" applyNumberFormat="1" applyFont="1" applyFill="1" applyBorder="1" applyAlignment="1">
      <alignment horizontal="center"/>
    </xf>
    <xf numFmtId="49" fontId="46" fillId="0" borderId="11" xfId="0" applyNumberFormat="1" applyFont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9" fillId="0" borderId="12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49" fontId="9" fillId="0" borderId="14" xfId="0" applyNumberFormat="1" applyFont="1" applyBorder="1" applyAlignment="1">
      <alignment horizontal="center"/>
    </xf>
    <xf numFmtId="49" fontId="2" fillId="33" borderId="12" xfId="0" applyNumberFormat="1" applyFont="1" applyFill="1" applyBorder="1" applyAlignment="1">
      <alignment horizontal="center"/>
    </xf>
    <xf numFmtId="49" fontId="2" fillId="33" borderId="14" xfId="0" applyNumberFormat="1" applyFont="1" applyFill="1" applyBorder="1" applyAlignment="1">
      <alignment horizontal="center"/>
    </xf>
    <xf numFmtId="49" fontId="46" fillId="0" borderId="12" xfId="0" applyNumberFormat="1" applyFont="1" applyBorder="1" applyAlignment="1">
      <alignment horizontal="center"/>
    </xf>
    <xf numFmtId="49" fontId="46" fillId="0" borderId="14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49" fontId="2" fillId="0" borderId="0" xfId="0" applyNumberFormat="1" applyFont="1" applyAlignment="1">
      <alignment horizontal="center"/>
    </xf>
    <xf numFmtId="49" fontId="9" fillId="0" borderId="13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9" fontId="2" fillId="33" borderId="13" xfId="0" applyNumberFormat="1" applyFont="1" applyFill="1" applyBorder="1" applyAlignment="1">
      <alignment horizontal="center"/>
    </xf>
    <xf numFmtId="49" fontId="46" fillId="0" borderId="13" xfId="0" applyNumberFormat="1" applyFont="1" applyBorder="1" applyAlignment="1">
      <alignment horizontal="center"/>
    </xf>
    <xf numFmtId="49" fontId="0" fillId="0" borderId="11" xfId="0" applyNumberFormat="1" applyFont="1" applyFill="1" applyBorder="1" applyAlignment="1">
      <alignment horizontal="left"/>
    </xf>
    <xf numFmtId="49" fontId="0" fillId="0" borderId="12" xfId="0" applyNumberFormat="1" applyFont="1" applyFill="1" applyBorder="1" applyAlignment="1">
      <alignment horizontal="left"/>
    </xf>
    <xf numFmtId="49" fontId="0" fillId="0" borderId="13" xfId="0" applyNumberFormat="1" applyFont="1" applyFill="1" applyBorder="1" applyAlignment="1">
      <alignment horizontal="left"/>
    </xf>
    <xf numFmtId="49" fontId="0" fillId="0" borderId="14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49" fontId="7" fillId="0" borderId="0" xfId="0" applyNumberFormat="1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 horizontal="left"/>
    </xf>
    <xf numFmtId="49" fontId="8" fillId="0" borderId="0" xfId="0" applyNumberFormat="1" applyFont="1" applyFill="1" applyBorder="1" applyAlignment="1">
      <alignment horizontal="left" indent="1"/>
    </xf>
    <xf numFmtId="49" fontId="4" fillId="0" borderId="11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left" indent="1"/>
    </xf>
    <xf numFmtId="49" fontId="0" fillId="0" borderId="0" xfId="0" applyNumberFormat="1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 horizontal="left"/>
    </xf>
    <xf numFmtId="49" fontId="3" fillId="0" borderId="11" xfId="0" applyNumberFormat="1" applyFont="1" applyFill="1" applyBorder="1" applyAlignment="1">
      <alignment horizontal="left" vertical="center"/>
    </xf>
    <xf numFmtId="49" fontId="2" fillId="0" borderId="11" xfId="0" applyNumberFormat="1" applyFont="1" applyFill="1" applyBorder="1" applyAlignment="1">
      <alignment horizontal="center"/>
    </xf>
    <xf numFmtId="49" fontId="9" fillId="0" borderId="11" xfId="0" applyNumberFormat="1" applyFont="1" applyFill="1" applyBorder="1" applyAlignment="1">
      <alignment horizontal="center"/>
    </xf>
    <xf numFmtId="49" fontId="9" fillId="0" borderId="12" xfId="0" applyNumberFormat="1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center"/>
    </xf>
    <xf numFmtId="49" fontId="9" fillId="0" borderId="13" xfId="0" applyNumberFormat="1" applyFont="1" applyFill="1" applyBorder="1" applyAlignment="1">
      <alignment horizontal="center"/>
    </xf>
    <xf numFmtId="49" fontId="2" fillId="0" borderId="13" xfId="0" applyNumberFormat="1" applyFont="1" applyFill="1" applyBorder="1" applyAlignment="1">
      <alignment horizontal="center"/>
    </xf>
    <xf numFmtId="49" fontId="2" fillId="0" borderId="14" xfId="0" applyNumberFormat="1" applyFont="1" applyFill="1" applyBorder="1" applyAlignment="1">
      <alignment horizontal="center"/>
    </xf>
    <xf numFmtId="49" fontId="9" fillId="0" borderId="14" xfId="0" applyNumberFormat="1" applyFont="1" applyFill="1" applyBorder="1" applyAlignment="1">
      <alignment horizontal="center"/>
    </xf>
    <xf numFmtId="49" fontId="46" fillId="0" borderId="12" xfId="0" applyNumberFormat="1" applyFont="1" applyFill="1" applyBorder="1" applyAlignment="1">
      <alignment horizontal="center"/>
    </xf>
    <xf numFmtId="49" fontId="46" fillId="0" borderId="13" xfId="0" applyNumberFormat="1" applyFont="1" applyFill="1" applyBorder="1" applyAlignment="1">
      <alignment horizontal="center"/>
    </xf>
    <xf numFmtId="49" fontId="46" fillId="0" borderId="11" xfId="0" applyNumberFormat="1" applyFont="1" applyFill="1" applyBorder="1" applyAlignment="1">
      <alignment horizontal="center"/>
    </xf>
    <xf numFmtId="49" fontId="47" fillId="0" borderId="13" xfId="0" applyNumberFormat="1" applyFont="1" applyFill="1" applyBorder="1" applyAlignment="1">
      <alignment horizontal="center"/>
    </xf>
    <xf numFmtId="49" fontId="46" fillId="0" borderId="14" xfId="0" applyNumberFormat="1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172" fontId="2" fillId="0" borderId="11" xfId="0" applyNumberFormat="1" applyFont="1" applyBorder="1" applyAlignment="1">
      <alignment horizontal="center"/>
    </xf>
    <xf numFmtId="172" fontId="0" fillId="0" borderId="0" xfId="0" applyNumberFormat="1" applyAlignment="1">
      <alignment/>
    </xf>
    <xf numFmtId="172" fontId="2" fillId="0" borderId="12" xfId="0" applyNumberFormat="1" applyFont="1" applyBorder="1" applyAlignment="1">
      <alignment horizontal="center"/>
    </xf>
    <xf numFmtId="172" fontId="2" fillId="0" borderId="14" xfId="0" applyNumberFormat="1" applyFont="1" applyBorder="1" applyAlignment="1">
      <alignment horizontal="center"/>
    </xf>
    <xf numFmtId="172" fontId="2" fillId="0" borderId="13" xfId="0" applyNumberFormat="1" applyFont="1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0" xfId="0" applyAlignment="1">
      <alignment horizontal="left"/>
    </xf>
    <xf numFmtId="0" fontId="0" fillId="0" borderId="12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3" xfId="0" applyBorder="1" applyAlignment="1">
      <alignment horizontal="left"/>
    </xf>
    <xf numFmtId="172" fontId="0" fillId="0" borderId="11" xfId="0" applyNumberFormat="1" applyBorder="1" applyAlignment="1">
      <alignment horizontal="left"/>
    </xf>
    <xf numFmtId="172" fontId="0" fillId="0" borderId="14" xfId="0" applyNumberFormat="1" applyBorder="1" applyAlignment="1">
      <alignment horizontal="left"/>
    </xf>
    <xf numFmtId="49" fontId="5" fillId="0" borderId="15" xfId="0" applyNumberFormat="1" applyFont="1" applyBorder="1" applyAlignment="1">
      <alignment horizontal="center"/>
    </xf>
    <xf numFmtId="49" fontId="1" fillId="0" borderId="16" xfId="0" applyNumberFormat="1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center" vertical="center"/>
    </xf>
    <xf numFmtId="49" fontId="1" fillId="0" borderId="18" xfId="0" applyNumberFormat="1" applyFont="1" applyFill="1" applyBorder="1" applyAlignment="1">
      <alignment horizontal="center" vertical="center"/>
    </xf>
    <xf numFmtId="49" fontId="1" fillId="0" borderId="19" xfId="0" applyNumberFormat="1" applyFont="1" applyFill="1" applyBorder="1" applyAlignment="1">
      <alignment horizontal="center" vertical="center"/>
    </xf>
    <xf numFmtId="49" fontId="1" fillId="0" borderId="20" xfId="0" applyNumberFormat="1" applyFont="1" applyFill="1" applyBorder="1" applyAlignment="1">
      <alignment horizontal="center" vertical="center"/>
    </xf>
    <xf numFmtId="49" fontId="3" fillId="0" borderId="21" xfId="0" applyNumberFormat="1" applyFont="1" applyFill="1" applyBorder="1" applyAlignment="1">
      <alignment horizontal="center" vertical="center"/>
    </xf>
    <xf numFmtId="49" fontId="3" fillId="0" borderId="22" xfId="0" applyNumberFormat="1" applyFont="1" applyFill="1" applyBorder="1" applyAlignment="1">
      <alignment horizontal="center" vertical="center"/>
    </xf>
    <xf numFmtId="49" fontId="3" fillId="0" borderId="23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23" xfId="0" applyNumberFormat="1" applyFont="1" applyFill="1" applyBorder="1" applyAlignment="1">
      <alignment horizontal="center" vertical="center"/>
    </xf>
    <xf numFmtId="49" fontId="3" fillId="0" borderId="24" xfId="0" applyNumberFormat="1" applyFont="1" applyFill="1" applyBorder="1" applyAlignment="1">
      <alignment horizontal="center" vertical="center"/>
    </xf>
    <xf numFmtId="49" fontId="3" fillId="0" borderId="25" xfId="0" applyNumberFormat="1" applyFont="1" applyFill="1" applyBorder="1" applyAlignment="1">
      <alignment horizontal="center" vertical="center"/>
    </xf>
    <xf numFmtId="49" fontId="3" fillId="0" borderId="26" xfId="0" applyNumberFormat="1" applyFont="1" applyFill="1" applyBorder="1" applyAlignment="1">
      <alignment horizontal="center" vertical="center"/>
    </xf>
    <xf numFmtId="49" fontId="3" fillId="0" borderId="27" xfId="0" applyNumberFormat="1" applyFont="1" applyFill="1" applyBorder="1" applyAlignment="1">
      <alignment horizontal="center" vertical="center"/>
    </xf>
    <xf numFmtId="49" fontId="3" fillId="0" borderId="28" xfId="0" applyNumberFormat="1" applyFont="1" applyFill="1" applyBorder="1" applyAlignment="1">
      <alignment horizontal="center" vertical="center"/>
    </xf>
    <xf numFmtId="49" fontId="3" fillId="0" borderId="29" xfId="0" applyNumberFormat="1" applyFont="1" applyFill="1" applyBorder="1" applyAlignment="1">
      <alignment horizontal="center" vertical="center"/>
    </xf>
    <xf numFmtId="49" fontId="5" fillId="0" borderId="0" xfId="0" applyNumberFormat="1" applyFont="1" applyAlignment="1">
      <alignment horizontal="center"/>
    </xf>
    <xf numFmtId="49" fontId="3" fillId="0" borderId="30" xfId="0" applyNumberFormat="1" applyFont="1" applyFill="1" applyBorder="1" applyAlignment="1">
      <alignment horizontal="center" vertical="center" wrapText="1"/>
    </xf>
    <xf numFmtId="49" fontId="3" fillId="0" borderId="3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172" fontId="3" fillId="0" borderId="23" xfId="0" applyNumberFormat="1" applyFont="1" applyFill="1" applyBorder="1" applyAlignment="1">
      <alignment horizontal="center" vertical="center"/>
    </xf>
    <xf numFmtId="172" fontId="3" fillId="0" borderId="10" xfId="0" applyNumberFormat="1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/>
    </xf>
    <xf numFmtId="49" fontId="3" fillId="0" borderId="32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аметка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"/>
  <sheetViews>
    <sheetView tabSelected="1" workbookViewId="0" topLeftCell="C1">
      <selection activeCell="F17" sqref="F17"/>
    </sheetView>
  </sheetViews>
  <sheetFormatPr defaultColWidth="8.75390625" defaultRowHeight="12.75"/>
  <cols>
    <col min="1" max="1" width="8.75390625" style="0" customWidth="1"/>
    <col min="2" max="2" width="21.375" style="15" customWidth="1"/>
    <col min="3" max="3" width="27.00390625" style="15" customWidth="1"/>
    <col min="4" max="4" width="10.625" style="15" bestFit="1" customWidth="1"/>
    <col min="5" max="5" width="8.375" style="15" bestFit="1" customWidth="1"/>
    <col min="6" max="6" width="22.75390625" style="15" bestFit="1" customWidth="1"/>
    <col min="7" max="7" width="26.00390625" style="15" bestFit="1" customWidth="1"/>
    <col min="8" max="10" width="5.625" style="15" bestFit="1" customWidth="1"/>
    <col min="11" max="11" width="11.25390625" style="15" customWidth="1"/>
    <col min="12" max="12" width="7.625" style="15" bestFit="1" customWidth="1"/>
    <col min="13" max="13" width="16.00390625" style="15" customWidth="1"/>
  </cols>
  <sheetData>
    <row r="1" spans="2:13" s="1" customFormat="1" ht="15" customHeight="1">
      <c r="B1" s="95" t="s">
        <v>360</v>
      </c>
      <c r="C1" s="96"/>
      <c r="D1" s="96"/>
      <c r="E1" s="96"/>
      <c r="F1" s="96"/>
      <c r="G1" s="96"/>
      <c r="H1" s="96"/>
      <c r="I1" s="96"/>
      <c r="J1" s="96"/>
      <c r="K1" s="96"/>
      <c r="L1" s="96"/>
      <c r="M1" s="97"/>
    </row>
    <row r="2" spans="2:13" s="1" customFormat="1" ht="108" customHeight="1" thickBot="1">
      <c r="B2" s="98"/>
      <c r="C2" s="99"/>
      <c r="D2" s="99"/>
      <c r="E2" s="99"/>
      <c r="F2" s="99"/>
      <c r="G2" s="99"/>
      <c r="H2" s="99"/>
      <c r="I2" s="99"/>
      <c r="J2" s="99"/>
      <c r="K2" s="99"/>
      <c r="L2" s="99"/>
      <c r="M2" s="100"/>
    </row>
    <row r="3" spans="1:13" s="2" customFormat="1" ht="12.75" customHeight="1">
      <c r="A3" s="108" t="s">
        <v>206</v>
      </c>
      <c r="B3" s="101" t="s">
        <v>0</v>
      </c>
      <c r="C3" s="113" t="s">
        <v>207</v>
      </c>
      <c r="D3" s="103" t="s">
        <v>208</v>
      </c>
      <c r="E3" s="105" t="s">
        <v>263</v>
      </c>
      <c r="F3" s="105" t="s">
        <v>7</v>
      </c>
      <c r="G3" s="106" t="s">
        <v>209</v>
      </c>
      <c r="H3" s="106" t="s">
        <v>3</v>
      </c>
      <c r="I3" s="119"/>
      <c r="J3" s="119"/>
      <c r="K3" s="105" t="s">
        <v>230</v>
      </c>
      <c r="L3" s="105" t="s">
        <v>6</v>
      </c>
      <c r="M3" s="110" t="s">
        <v>5</v>
      </c>
    </row>
    <row r="4" spans="1:13" s="2" customFormat="1" ht="21" customHeight="1" thickBot="1">
      <c r="A4" s="109"/>
      <c r="B4" s="102"/>
      <c r="C4" s="114"/>
      <c r="D4" s="104"/>
      <c r="E4" s="104"/>
      <c r="F4" s="104"/>
      <c r="G4" s="107"/>
      <c r="H4" s="3">
        <v>1</v>
      </c>
      <c r="I4" s="3">
        <v>2</v>
      </c>
      <c r="J4" s="3">
        <v>3</v>
      </c>
      <c r="K4" s="104"/>
      <c r="L4" s="104"/>
      <c r="M4" s="111"/>
    </row>
    <row r="5" spans="2:12" ht="15.75">
      <c r="B5" s="94" t="s">
        <v>172</v>
      </c>
      <c r="C5" s="94"/>
      <c r="D5" s="94"/>
      <c r="E5" s="94"/>
      <c r="F5" s="94"/>
      <c r="G5" s="94"/>
      <c r="H5" s="94"/>
      <c r="I5" s="94"/>
      <c r="J5" s="94"/>
      <c r="K5" s="94"/>
      <c r="L5" s="94"/>
    </row>
    <row r="6" spans="1:13" ht="12.75">
      <c r="A6" s="27">
        <v>1</v>
      </c>
      <c r="B6" s="16" t="s">
        <v>310</v>
      </c>
      <c r="C6" s="16" t="s">
        <v>311</v>
      </c>
      <c r="D6" s="16" t="s">
        <v>318</v>
      </c>
      <c r="E6" s="16" t="str">
        <f>"1,0514"</f>
        <v>1,0514</v>
      </c>
      <c r="F6" s="16" t="s">
        <v>13</v>
      </c>
      <c r="G6" s="16" t="s">
        <v>14</v>
      </c>
      <c r="H6" s="31" t="s">
        <v>304</v>
      </c>
      <c r="I6" s="31" t="s">
        <v>178</v>
      </c>
      <c r="J6" s="31" t="s">
        <v>179</v>
      </c>
      <c r="K6" s="29" t="s">
        <v>179</v>
      </c>
      <c r="L6" s="29" t="str">
        <f>"73,5980"</f>
        <v>73,5980</v>
      </c>
      <c r="M6" s="16" t="s">
        <v>210</v>
      </c>
    </row>
    <row r="8" spans="2:12" ht="15.75">
      <c r="B8" s="112" t="s">
        <v>32</v>
      </c>
      <c r="C8" s="112"/>
      <c r="D8" s="112"/>
      <c r="E8" s="112"/>
      <c r="F8" s="112"/>
      <c r="G8" s="112"/>
      <c r="H8" s="112"/>
      <c r="I8" s="112"/>
      <c r="J8" s="112"/>
      <c r="K8" s="112"/>
      <c r="L8" s="112"/>
    </row>
    <row r="9" spans="1:13" ht="12.75">
      <c r="A9" s="27">
        <v>1</v>
      </c>
      <c r="B9" s="16" t="s">
        <v>312</v>
      </c>
      <c r="C9" s="16" t="s">
        <v>313</v>
      </c>
      <c r="D9" s="16" t="s">
        <v>319</v>
      </c>
      <c r="E9" s="16" t="str">
        <f>"0,8791"</f>
        <v>0,8791</v>
      </c>
      <c r="F9" s="16" t="s">
        <v>35</v>
      </c>
      <c r="G9" s="16" t="s">
        <v>14</v>
      </c>
      <c r="H9" s="31" t="s">
        <v>163</v>
      </c>
      <c r="I9" s="32" t="s">
        <v>22</v>
      </c>
      <c r="J9" s="31" t="s">
        <v>22</v>
      </c>
      <c r="K9" s="29" t="s">
        <v>22</v>
      </c>
      <c r="L9" s="29" t="str">
        <f>"79,1190"</f>
        <v>79,1190</v>
      </c>
      <c r="M9" s="16" t="s">
        <v>253</v>
      </c>
    </row>
    <row r="11" spans="2:12" ht="15.75">
      <c r="B11" s="112" t="s">
        <v>46</v>
      </c>
      <c r="C11" s="112"/>
      <c r="D11" s="112"/>
      <c r="E11" s="112"/>
      <c r="F11" s="112"/>
      <c r="G11" s="112"/>
      <c r="H11" s="112"/>
      <c r="I11" s="112"/>
      <c r="J11" s="112"/>
      <c r="K11" s="112"/>
      <c r="L11" s="112"/>
    </row>
    <row r="12" spans="1:13" ht="12.75">
      <c r="A12" s="27">
        <v>1</v>
      </c>
      <c r="B12" s="16" t="s">
        <v>314</v>
      </c>
      <c r="C12" s="16" t="s">
        <v>315</v>
      </c>
      <c r="D12" s="16" t="s">
        <v>320</v>
      </c>
      <c r="E12" s="16" t="str">
        <f>"0,6173"</f>
        <v>0,6173</v>
      </c>
      <c r="F12" s="16" t="s">
        <v>144</v>
      </c>
      <c r="G12" s="16" t="s">
        <v>14</v>
      </c>
      <c r="H12" s="31" t="s">
        <v>43</v>
      </c>
      <c r="I12" s="31" t="s">
        <v>44</v>
      </c>
      <c r="J12" s="31" t="s">
        <v>45</v>
      </c>
      <c r="K12" s="29" t="s">
        <v>45</v>
      </c>
      <c r="L12" s="29" t="str">
        <f>"95,6815"</f>
        <v>95,6815</v>
      </c>
      <c r="M12" s="16" t="s">
        <v>321</v>
      </c>
    </row>
    <row r="14" spans="2:12" ht="15.75">
      <c r="B14" s="112" t="s">
        <v>77</v>
      </c>
      <c r="C14" s="112"/>
      <c r="D14" s="112"/>
      <c r="E14" s="112"/>
      <c r="F14" s="112"/>
      <c r="G14" s="112"/>
      <c r="H14" s="112"/>
      <c r="I14" s="112"/>
      <c r="J14" s="112"/>
      <c r="K14" s="112"/>
      <c r="L14" s="112"/>
    </row>
    <row r="15" spans="1:13" ht="12.75">
      <c r="A15" s="27">
        <v>1</v>
      </c>
      <c r="B15" s="16" t="s">
        <v>316</v>
      </c>
      <c r="C15" s="16" t="s">
        <v>317</v>
      </c>
      <c r="D15" s="16" t="s">
        <v>246</v>
      </c>
      <c r="E15" s="16" t="str">
        <f>"0,5641"</f>
        <v>0,5641</v>
      </c>
      <c r="F15" s="16" t="s">
        <v>144</v>
      </c>
      <c r="G15" s="16" t="s">
        <v>14</v>
      </c>
      <c r="H15" s="31" t="s">
        <v>43</v>
      </c>
      <c r="I15" s="31" t="s">
        <v>44</v>
      </c>
      <c r="J15" s="32" t="s">
        <v>45</v>
      </c>
      <c r="K15" s="29" t="s">
        <v>44</v>
      </c>
      <c r="L15" s="29" t="str">
        <f>"84,6075"</f>
        <v>84,6075</v>
      </c>
      <c r="M15" s="16" t="s">
        <v>253</v>
      </c>
    </row>
  </sheetData>
  <sheetProtection/>
  <mergeCells count="16">
    <mergeCell ref="B1:M2"/>
    <mergeCell ref="B3:B4"/>
    <mergeCell ref="C3:C4"/>
    <mergeCell ref="D3:D4"/>
    <mergeCell ref="E3:E4"/>
    <mergeCell ref="F3:F4"/>
    <mergeCell ref="G3:G4"/>
    <mergeCell ref="H3:J3"/>
    <mergeCell ref="K3:K4"/>
    <mergeCell ref="L3:L4"/>
    <mergeCell ref="M3:M4"/>
    <mergeCell ref="B5:L5"/>
    <mergeCell ref="B8:L8"/>
    <mergeCell ref="B11:L11"/>
    <mergeCell ref="B14:L14"/>
    <mergeCell ref="A3:A4"/>
  </mergeCells>
  <printOptions/>
  <pageMargins left="0.7" right="0.7" top="0.75" bottom="0.75" header="0.3" footer="0.3"/>
  <pageSetup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9"/>
  <sheetViews>
    <sheetView workbookViewId="0" topLeftCell="A1">
      <selection activeCell="G20" sqref="G20"/>
    </sheetView>
  </sheetViews>
  <sheetFormatPr defaultColWidth="8.75390625" defaultRowHeight="12.75"/>
  <cols>
    <col min="1" max="1" width="8.75390625" style="0" customWidth="1"/>
    <col min="2" max="2" width="20.125" style="15" customWidth="1"/>
    <col min="3" max="3" width="26.875" style="15" customWidth="1"/>
    <col min="4" max="4" width="10.625" style="15" bestFit="1" customWidth="1"/>
    <col min="5" max="5" width="8.375" style="15" bestFit="1" customWidth="1"/>
    <col min="6" max="6" width="17.25390625" style="15" customWidth="1"/>
    <col min="7" max="7" width="26.00390625" style="15" bestFit="1" customWidth="1"/>
    <col min="8" max="10" width="5.625" style="15" bestFit="1" customWidth="1"/>
    <col min="11" max="11" width="4.625" style="15" bestFit="1" customWidth="1"/>
    <col min="12" max="14" width="5.625" style="15" bestFit="1" customWidth="1"/>
    <col min="15" max="15" width="4.625" style="15" bestFit="1" customWidth="1"/>
    <col min="16" max="18" width="5.625" style="15" bestFit="1" customWidth="1"/>
    <col min="19" max="19" width="4.625" style="15" bestFit="1" customWidth="1"/>
    <col min="20" max="20" width="7.875" style="15" bestFit="1" customWidth="1"/>
    <col min="21" max="21" width="8.625" style="15" bestFit="1" customWidth="1"/>
    <col min="22" max="22" width="15.375" style="15" bestFit="1" customWidth="1"/>
  </cols>
  <sheetData>
    <row r="1" spans="2:22" s="1" customFormat="1" ht="15" customHeight="1">
      <c r="B1" s="95" t="s">
        <v>350</v>
      </c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7"/>
    </row>
    <row r="2" spans="2:22" s="1" customFormat="1" ht="108.75" customHeight="1" thickBot="1">
      <c r="B2" s="98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100"/>
    </row>
    <row r="3" spans="1:22" s="2" customFormat="1" ht="12.75" customHeight="1">
      <c r="A3" s="108" t="s">
        <v>206</v>
      </c>
      <c r="B3" s="101" t="s">
        <v>0</v>
      </c>
      <c r="C3" s="103" t="s">
        <v>207</v>
      </c>
      <c r="D3" s="103" t="s">
        <v>208</v>
      </c>
      <c r="E3" s="105" t="s">
        <v>9</v>
      </c>
      <c r="F3" s="105" t="s">
        <v>7</v>
      </c>
      <c r="G3" s="106" t="s">
        <v>209</v>
      </c>
      <c r="H3" s="105" t="s">
        <v>1</v>
      </c>
      <c r="I3" s="105"/>
      <c r="J3" s="105"/>
      <c r="K3" s="105"/>
      <c r="L3" s="105" t="s">
        <v>2</v>
      </c>
      <c r="M3" s="105"/>
      <c r="N3" s="105"/>
      <c r="O3" s="105"/>
      <c r="P3" s="105" t="s">
        <v>3</v>
      </c>
      <c r="Q3" s="105"/>
      <c r="R3" s="105"/>
      <c r="S3" s="105"/>
      <c r="T3" s="105" t="s">
        <v>4</v>
      </c>
      <c r="U3" s="105" t="s">
        <v>6</v>
      </c>
      <c r="V3" s="110" t="s">
        <v>5</v>
      </c>
    </row>
    <row r="4" spans="1:22" s="2" customFormat="1" ht="21" customHeight="1" thickBot="1">
      <c r="A4" s="109"/>
      <c r="B4" s="102"/>
      <c r="C4" s="104"/>
      <c r="D4" s="104"/>
      <c r="E4" s="104"/>
      <c r="F4" s="104"/>
      <c r="G4" s="107"/>
      <c r="H4" s="3">
        <v>1</v>
      </c>
      <c r="I4" s="3">
        <v>2</v>
      </c>
      <c r="J4" s="3">
        <v>3</v>
      </c>
      <c r="K4" s="3" t="s">
        <v>8</v>
      </c>
      <c r="L4" s="3">
        <v>1</v>
      </c>
      <c r="M4" s="3">
        <v>2</v>
      </c>
      <c r="N4" s="3">
        <v>3</v>
      </c>
      <c r="O4" s="3" t="s">
        <v>8</v>
      </c>
      <c r="P4" s="3">
        <v>1</v>
      </c>
      <c r="Q4" s="3">
        <v>2</v>
      </c>
      <c r="R4" s="3">
        <v>3</v>
      </c>
      <c r="S4" s="3" t="s">
        <v>8</v>
      </c>
      <c r="T4" s="104"/>
      <c r="U4" s="104"/>
      <c r="V4" s="111"/>
    </row>
    <row r="5" spans="2:21" ht="15.75">
      <c r="B5" s="94" t="s">
        <v>172</v>
      </c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</row>
    <row r="6" spans="1:22" ht="12.75">
      <c r="A6" s="27">
        <v>1</v>
      </c>
      <c r="B6" s="16" t="s">
        <v>173</v>
      </c>
      <c r="C6" s="16" t="s">
        <v>174</v>
      </c>
      <c r="D6" s="16" t="s">
        <v>225</v>
      </c>
      <c r="E6" s="16" t="str">
        <f>"1,1310"</f>
        <v>1,1310</v>
      </c>
      <c r="F6" s="16" t="s">
        <v>28</v>
      </c>
      <c r="G6" s="16" t="s">
        <v>14</v>
      </c>
      <c r="H6" s="31" t="s">
        <v>16</v>
      </c>
      <c r="I6" s="31" t="s">
        <v>17</v>
      </c>
      <c r="J6" s="31" t="s">
        <v>118</v>
      </c>
      <c r="K6" s="30"/>
      <c r="L6" s="31" t="s">
        <v>175</v>
      </c>
      <c r="M6" s="31" t="s">
        <v>176</v>
      </c>
      <c r="N6" s="31" t="s">
        <v>177</v>
      </c>
      <c r="O6" s="30"/>
      <c r="P6" s="31" t="s">
        <v>178</v>
      </c>
      <c r="Q6" s="31" t="s">
        <v>179</v>
      </c>
      <c r="R6" s="31" t="s">
        <v>163</v>
      </c>
      <c r="S6" s="30"/>
      <c r="T6" s="29">
        <v>192.5</v>
      </c>
      <c r="U6" s="29" t="str">
        <f>"217,7175"</f>
        <v>217,7175</v>
      </c>
      <c r="V6" s="16" t="s">
        <v>210</v>
      </c>
    </row>
    <row r="8" spans="2:21" ht="15.75">
      <c r="B8" s="112" t="s">
        <v>46</v>
      </c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</row>
    <row r="9" spans="1:22" ht="12.75">
      <c r="A9" s="27">
        <v>1</v>
      </c>
      <c r="B9" s="16" t="s">
        <v>180</v>
      </c>
      <c r="C9" s="16" t="s">
        <v>181</v>
      </c>
      <c r="D9" s="16" t="s">
        <v>226</v>
      </c>
      <c r="E9" s="16" t="str">
        <f>"0,6421"</f>
        <v>0,6421</v>
      </c>
      <c r="F9" s="16" t="s">
        <v>147</v>
      </c>
      <c r="G9" s="16" t="s">
        <v>14</v>
      </c>
      <c r="H9" s="31" t="s">
        <v>136</v>
      </c>
      <c r="I9" s="32" t="s">
        <v>44</v>
      </c>
      <c r="J9" s="31" t="s">
        <v>44</v>
      </c>
      <c r="K9" s="30"/>
      <c r="L9" s="31" t="s">
        <v>31</v>
      </c>
      <c r="M9" s="31" t="s">
        <v>36</v>
      </c>
      <c r="N9" s="31" t="s">
        <v>139</v>
      </c>
      <c r="O9" s="30"/>
      <c r="P9" s="31" t="s">
        <v>67</v>
      </c>
      <c r="Q9" s="31" t="s">
        <v>73</v>
      </c>
      <c r="R9" s="32" t="s">
        <v>55</v>
      </c>
      <c r="S9" s="30"/>
      <c r="T9" s="29" t="s">
        <v>182</v>
      </c>
      <c r="U9" s="29" t="str">
        <f>"292,1555"</f>
        <v>292,1555</v>
      </c>
      <c r="V9" s="16" t="s">
        <v>210</v>
      </c>
    </row>
  </sheetData>
  <sheetProtection/>
  <mergeCells count="16">
    <mergeCell ref="F3:F4"/>
    <mergeCell ref="G3:G4"/>
    <mergeCell ref="H3:K3"/>
    <mergeCell ref="L3:O3"/>
    <mergeCell ref="P3:S3"/>
    <mergeCell ref="A3:A4"/>
    <mergeCell ref="T3:T4"/>
    <mergeCell ref="U3:U4"/>
    <mergeCell ref="V3:V4"/>
    <mergeCell ref="B5:U5"/>
    <mergeCell ref="B8:U8"/>
    <mergeCell ref="B1:V2"/>
    <mergeCell ref="B3:B4"/>
    <mergeCell ref="C3:C4"/>
    <mergeCell ref="D3:D4"/>
    <mergeCell ref="E3:E4"/>
  </mergeCells>
  <printOptions/>
  <pageMargins left="0.7" right="0.7" top="0.75" bottom="0.75" header="0.3" footer="0.3"/>
  <pageSetup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12"/>
  <sheetViews>
    <sheetView workbookViewId="0" topLeftCell="A1">
      <selection activeCell="G21" sqref="G21"/>
    </sheetView>
  </sheetViews>
  <sheetFormatPr defaultColWidth="8.75390625" defaultRowHeight="12.75"/>
  <cols>
    <col min="1" max="1" width="8.75390625" style="0" customWidth="1"/>
    <col min="2" max="2" width="26.00390625" style="15" bestFit="1" customWidth="1"/>
    <col min="3" max="3" width="27.125" style="15" bestFit="1" customWidth="1"/>
    <col min="4" max="4" width="10.625" style="15" bestFit="1" customWidth="1"/>
    <col min="5" max="5" width="8.375" style="15" bestFit="1" customWidth="1"/>
    <col min="6" max="6" width="16.375" style="15" customWidth="1"/>
    <col min="7" max="7" width="26.00390625" style="15" bestFit="1" customWidth="1"/>
    <col min="8" max="10" width="5.625" style="15" bestFit="1" customWidth="1"/>
    <col min="11" max="11" width="4.625" style="15" bestFit="1" customWidth="1"/>
    <col min="12" max="14" width="5.625" style="15" bestFit="1" customWidth="1"/>
    <col min="15" max="15" width="4.625" style="15" bestFit="1" customWidth="1"/>
    <col min="16" max="18" width="5.625" style="15" bestFit="1" customWidth="1"/>
    <col min="19" max="19" width="4.625" style="15" bestFit="1" customWidth="1"/>
    <col min="20" max="20" width="7.875" style="15" bestFit="1" customWidth="1"/>
    <col min="21" max="21" width="8.625" style="15" bestFit="1" customWidth="1"/>
    <col min="22" max="22" width="15.375" style="15" bestFit="1" customWidth="1"/>
  </cols>
  <sheetData>
    <row r="1" spans="2:22" s="1" customFormat="1" ht="15" customHeight="1">
      <c r="B1" s="95" t="s">
        <v>351</v>
      </c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7"/>
    </row>
    <row r="2" spans="2:22" s="1" customFormat="1" ht="102" customHeight="1" thickBot="1">
      <c r="B2" s="98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100"/>
    </row>
    <row r="3" spans="1:22" s="2" customFormat="1" ht="12.75" customHeight="1">
      <c r="A3" s="108" t="s">
        <v>206</v>
      </c>
      <c r="B3" s="101" t="s">
        <v>0</v>
      </c>
      <c r="C3" s="103" t="s">
        <v>207</v>
      </c>
      <c r="D3" s="103" t="s">
        <v>208</v>
      </c>
      <c r="E3" s="105" t="s">
        <v>9</v>
      </c>
      <c r="F3" s="105" t="s">
        <v>7</v>
      </c>
      <c r="G3" s="106" t="s">
        <v>209</v>
      </c>
      <c r="H3" s="105" t="s">
        <v>1</v>
      </c>
      <c r="I3" s="105"/>
      <c r="J3" s="105"/>
      <c r="K3" s="105"/>
      <c r="L3" s="105" t="s">
        <v>2</v>
      </c>
      <c r="M3" s="105"/>
      <c r="N3" s="105"/>
      <c r="O3" s="105"/>
      <c r="P3" s="105" t="s">
        <v>3</v>
      </c>
      <c r="Q3" s="105"/>
      <c r="R3" s="105"/>
      <c r="S3" s="105"/>
      <c r="T3" s="105" t="s">
        <v>4</v>
      </c>
      <c r="U3" s="105" t="s">
        <v>6</v>
      </c>
      <c r="V3" s="110" t="s">
        <v>5</v>
      </c>
    </row>
    <row r="4" spans="1:22" s="2" customFormat="1" ht="21" customHeight="1" thickBot="1">
      <c r="A4" s="109"/>
      <c r="B4" s="102"/>
      <c r="C4" s="104"/>
      <c r="D4" s="104"/>
      <c r="E4" s="104"/>
      <c r="F4" s="104"/>
      <c r="G4" s="107"/>
      <c r="H4" s="3">
        <v>1</v>
      </c>
      <c r="I4" s="3">
        <v>2</v>
      </c>
      <c r="J4" s="3">
        <v>3</v>
      </c>
      <c r="K4" s="3" t="s">
        <v>8</v>
      </c>
      <c r="L4" s="3">
        <v>1</v>
      </c>
      <c r="M4" s="3">
        <v>2</v>
      </c>
      <c r="N4" s="3">
        <v>3</v>
      </c>
      <c r="O4" s="3" t="s">
        <v>8</v>
      </c>
      <c r="P4" s="3">
        <v>1</v>
      </c>
      <c r="Q4" s="3">
        <v>2</v>
      </c>
      <c r="R4" s="3">
        <v>3</v>
      </c>
      <c r="S4" s="3" t="s">
        <v>8</v>
      </c>
      <c r="T4" s="104"/>
      <c r="U4" s="104"/>
      <c r="V4" s="111"/>
    </row>
    <row r="5" spans="2:21" ht="15.75">
      <c r="B5" s="94" t="s">
        <v>32</v>
      </c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</row>
    <row r="6" spans="1:22" ht="12.75">
      <c r="A6" s="27">
        <v>1</v>
      </c>
      <c r="B6" s="16" t="s">
        <v>37</v>
      </c>
      <c r="C6" s="16" t="s">
        <v>38</v>
      </c>
      <c r="D6" s="16" t="s">
        <v>227</v>
      </c>
      <c r="E6" s="16" t="str">
        <f>"0,7330"</f>
        <v>0,7330</v>
      </c>
      <c r="F6" s="16" t="s">
        <v>13</v>
      </c>
      <c r="G6" s="16" t="s">
        <v>14</v>
      </c>
      <c r="H6" s="31" t="s">
        <v>139</v>
      </c>
      <c r="I6" s="31" t="s">
        <v>160</v>
      </c>
      <c r="J6" s="32" t="s">
        <v>43</v>
      </c>
      <c r="K6" s="30"/>
      <c r="L6" s="31" t="s">
        <v>39</v>
      </c>
      <c r="M6" s="30"/>
      <c r="N6" s="30"/>
      <c r="O6" s="30"/>
      <c r="P6" s="31" t="s">
        <v>61</v>
      </c>
      <c r="Q6" s="31" t="s">
        <v>73</v>
      </c>
      <c r="R6" s="32" t="s">
        <v>55</v>
      </c>
      <c r="S6" s="30"/>
      <c r="T6" s="29" t="s">
        <v>171</v>
      </c>
      <c r="U6" s="29" t="str">
        <f>"311,5250"</f>
        <v>311,5250</v>
      </c>
      <c r="V6" s="16" t="s">
        <v>210</v>
      </c>
    </row>
    <row r="8" spans="2:21" ht="15.75">
      <c r="B8" s="112" t="s">
        <v>129</v>
      </c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</row>
    <row r="9" spans="1:22" ht="12.75">
      <c r="A9" s="27">
        <v>1</v>
      </c>
      <c r="B9" s="16" t="s">
        <v>161</v>
      </c>
      <c r="C9" s="16" t="s">
        <v>162</v>
      </c>
      <c r="D9" s="16" t="s">
        <v>228</v>
      </c>
      <c r="E9" s="16" t="str">
        <f>"0,6910"</f>
        <v>0,6910</v>
      </c>
      <c r="F9" s="16" t="s">
        <v>35</v>
      </c>
      <c r="G9" s="16" t="s">
        <v>14</v>
      </c>
      <c r="H9" s="31" t="s">
        <v>43</v>
      </c>
      <c r="I9" s="31" t="s">
        <v>136</v>
      </c>
      <c r="J9" s="31" t="s">
        <v>44</v>
      </c>
      <c r="K9" s="30"/>
      <c r="L9" s="32" t="s">
        <v>163</v>
      </c>
      <c r="M9" s="31" t="s">
        <v>163</v>
      </c>
      <c r="N9" s="31" t="s">
        <v>164</v>
      </c>
      <c r="O9" s="30"/>
      <c r="P9" s="31" t="s">
        <v>43</v>
      </c>
      <c r="Q9" s="31" t="s">
        <v>136</v>
      </c>
      <c r="R9" s="31" t="s">
        <v>44</v>
      </c>
      <c r="S9" s="30"/>
      <c r="T9" s="29" t="s">
        <v>169</v>
      </c>
      <c r="U9" s="29" t="str">
        <f>"266,0350"</f>
        <v>266,0350</v>
      </c>
      <c r="V9" s="16" t="s">
        <v>210</v>
      </c>
    </row>
    <row r="11" spans="2:21" ht="15.75">
      <c r="B11" s="112" t="s">
        <v>91</v>
      </c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</row>
    <row r="12" spans="1:22" ht="12.75">
      <c r="A12" s="27">
        <v>1</v>
      </c>
      <c r="B12" s="16" t="s">
        <v>165</v>
      </c>
      <c r="C12" s="16" t="s">
        <v>166</v>
      </c>
      <c r="D12" s="16" t="s">
        <v>229</v>
      </c>
      <c r="E12" s="16" t="str">
        <f>"0,5826"</f>
        <v>0,5826</v>
      </c>
      <c r="F12" s="16" t="s">
        <v>35</v>
      </c>
      <c r="G12" s="16" t="s">
        <v>14</v>
      </c>
      <c r="H12" s="31" t="s">
        <v>58</v>
      </c>
      <c r="I12" s="31" t="s">
        <v>167</v>
      </c>
      <c r="J12" s="31" t="s">
        <v>83</v>
      </c>
      <c r="K12" s="30"/>
      <c r="L12" s="31" t="s">
        <v>61</v>
      </c>
      <c r="M12" s="31" t="s">
        <v>73</v>
      </c>
      <c r="N12" s="31" t="s">
        <v>55</v>
      </c>
      <c r="O12" s="30"/>
      <c r="P12" s="32" t="s">
        <v>168</v>
      </c>
      <c r="Q12" s="32" t="s">
        <v>168</v>
      </c>
      <c r="R12" s="31" t="s">
        <v>168</v>
      </c>
      <c r="S12" s="30"/>
      <c r="T12" s="29" t="s">
        <v>170</v>
      </c>
      <c r="U12" s="29" t="str">
        <f>"378,6900"</f>
        <v>378,6900</v>
      </c>
      <c r="V12" s="16" t="s">
        <v>210</v>
      </c>
    </row>
  </sheetData>
  <sheetProtection/>
  <mergeCells count="17">
    <mergeCell ref="A3:A4"/>
    <mergeCell ref="B1:V2"/>
    <mergeCell ref="B3:B4"/>
    <mergeCell ref="C3:C4"/>
    <mergeCell ref="D3:D4"/>
    <mergeCell ref="E3:E4"/>
    <mergeCell ref="F3:F4"/>
    <mergeCell ref="G3:G4"/>
    <mergeCell ref="H3:K3"/>
    <mergeCell ref="L3:O3"/>
    <mergeCell ref="B11:U11"/>
    <mergeCell ref="P3:S3"/>
    <mergeCell ref="T3:T4"/>
    <mergeCell ref="U3:U4"/>
    <mergeCell ref="V3:V4"/>
    <mergeCell ref="B5:U5"/>
    <mergeCell ref="B8:U8"/>
  </mergeCells>
  <printOptions/>
  <pageMargins left="0.7" right="0.7" top="0.75" bottom="0.75" header="0.3" footer="0.3"/>
  <pageSetup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E14" sqref="E14:E15"/>
    </sheetView>
  </sheetViews>
  <sheetFormatPr defaultColWidth="9.125" defaultRowHeight="12.75"/>
  <cols>
    <col min="1" max="1" width="9.125" style="1" customWidth="1"/>
    <col min="2" max="2" width="25.125" style="4" customWidth="1"/>
    <col min="3" max="3" width="26.875" style="1" bestFit="1" customWidth="1"/>
    <col min="4" max="4" width="10.625" style="1" bestFit="1" customWidth="1"/>
    <col min="5" max="5" width="8.375" style="1" bestFit="1" customWidth="1"/>
    <col min="6" max="6" width="22.75390625" style="5" bestFit="1" customWidth="1"/>
    <col min="7" max="7" width="26.00390625" style="5" bestFit="1" customWidth="1"/>
    <col min="8" max="8" width="5.875" style="1" customWidth="1"/>
    <col min="9" max="9" width="10.00390625" style="1" customWidth="1"/>
    <col min="10" max="10" width="9.125" style="4" customWidth="1"/>
    <col min="11" max="11" width="9.625" style="1" bestFit="1" customWidth="1"/>
    <col min="12" max="12" width="15.375" style="5" bestFit="1" customWidth="1"/>
    <col min="13" max="16384" width="9.125" style="1" customWidth="1"/>
  </cols>
  <sheetData>
    <row r="1" spans="2:12" ht="15" customHeight="1">
      <c r="B1" s="95" t="s">
        <v>357</v>
      </c>
      <c r="C1" s="96"/>
      <c r="D1" s="96"/>
      <c r="E1" s="96"/>
      <c r="F1" s="96"/>
      <c r="G1" s="96"/>
      <c r="H1" s="96"/>
      <c r="I1" s="96"/>
      <c r="J1" s="96"/>
      <c r="K1" s="96"/>
      <c r="L1" s="97"/>
    </row>
    <row r="2" spans="2:12" ht="90" customHeight="1" thickBot="1">
      <c r="B2" s="98"/>
      <c r="C2" s="99"/>
      <c r="D2" s="99"/>
      <c r="E2" s="99"/>
      <c r="F2" s="99"/>
      <c r="G2" s="99"/>
      <c r="H2" s="99"/>
      <c r="I2" s="99"/>
      <c r="J2" s="99"/>
      <c r="K2" s="99"/>
      <c r="L2" s="100"/>
    </row>
    <row r="3" spans="1:12" s="2" customFormat="1" ht="12.75" customHeight="1">
      <c r="A3" s="108" t="s">
        <v>206</v>
      </c>
      <c r="B3" s="101" t="s">
        <v>0</v>
      </c>
      <c r="C3" s="113" t="s">
        <v>207</v>
      </c>
      <c r="D3" s="103" t="s">
        <v>208</v>
      </c>
      <c r="E3" s="105" t="s">
        <v>263</v>
      </c>
      <c r="F3" s="105" t="s">
        <v>7</v>
      </c>
      <c r="G3" s="106" t="s">
        <v>209</v>
      </c>
      <c r="H3" s="105" t="s">
        <v>2</v>
      </c>
      <c r="I3" s="105"/>
      <c r="J3" s="105" t="s">
        <v>278</v>
      </c>
      <c r="K3" s="105" t="s">
        <v>6</v>
      </c>
      <c r="L3" s="110" t="s">
        <v>5</v>
      </c>
    </row>
    <row r="4" spans="1:12" s="2" customFormat="1" ht="21" customHeight="1" thickBot="1">
      <c r="A4" s="109"/>
      <c r="B4" s="102"/>
      <c r="C4" s="114"/>
      <c r="D4" s="104"/>
      <c r="E4" s="104"/>
      <c r="F4" s="104"/>
      <c r="G4" s="107"/>
      <c r="H4" s="3" t="s">
        <v>276</v>
      </c>
      <c r="I4" s="3" t="s">
        <v>277</v>
      </c>
      <c r="J4" s="104"/>
      <c r="K4" s="104"/>
      <c r="L4" s="111"/>
    </row>
    <row r="5" spans="2:11" ht="15.75">
      <c r="B5" s="120" t="s">
        <v>46</v>
      </c>
      <c r="C5" s="94"/>
      <c r="D5" s="94"/>
      <c r="E5" s="94"/>
      <c r="F5" s="94"/>
      <c r="G5" s="94"/>
      <c r="H5" s="94"/>
      <c r="I5" s="94"/>
      <c r="J5" s="94"/>
      <c r="K5" s="94"/>
    </row>
    <row r="6" spans="1:12" ht="12.75">
      <c r="A6" s="33" t="s">
        <v>255</v>
      </c>
      <c r="B6" s="48" t="s">
        <v>270</v>
      </c>
      <c r="C6" s="7" t="s">
        <v>271</v>
      </c>
      <c r="D6" s="7" t="s">
        <v>275</v>
      </c>
      <c r="E6" s="6" t="str">
        <f>"0,6382"</f>
        <v>0,6382</v>
      </c>
      <c r="F6" s="7" t="s">
        <v>42</v>
      </c>
      <c r="G6" s="7" t="s">
        <v>14</v>
      </c>
      <c r="H6" s="61" t="s">
        <v>164</v>
      </c>
      <c r="I6" s="61" t="s">
        <v>279</v>
      </c>
      <c r="J6" s="61" t="s">
        <v>273</v>
      </c>
      <c r="K6" s="61" t="str">
        <f>"1594,8618"</f>
        <v>1594,8618</v>
      </c>
      <c r="L6" s="7" t="s">
        <v>210</v>
      </c>
    </row>
    <row r="8" spans="2:11" ht="15.75">
      <c r="B8" s="121" t="s">
        <v>51</v>
      </c>
      <c r="C8" s="112"/>
      <c r="D8" s="112"/>
      <c r="E8" s="112"/>
      <c r="F8" s="112"/>
      <c r="G8" s="112"/>
      <c r="H8" s="112"/>
      <c r="I8" s="112"/>
      <c r="J8" s="112"/>
      <c r="K8" s="112"/>
    </row>
    <row r="9" spans="1:12" ht="12.75">
      <c r="A9" s="33" t="s">
        <v>255</v>
      </c>
      <c r="B9" s="48" t="s">
        <v>151</v>
      </c>
      <c r="C9" s="7" t="s">
        <v>152</v>
      </c>
      <c r="D9" s="7" t="s">
        <v>245</v>
      </c>
      <c r="E9" s="6" t="str">
        <f>"0,5946"</f>
        <v>0,5946</v>
      </c>
      <c r="F9" s="7" t="s">
        <v>35</v>
      </c>
      <c r="G9" s="7" t="s">
        <v>14</v>
      </c>
      <c r="H9" s="61" t="s">
        <v>24</v>
      </c>
      <c r="I9" s="61" t="s">
        <v>280</v>
      </c>
      <c r="J9" s="61" t="s">
        <v>272</v>
      </c>
      <c r="K9" s="61" t="str">
        <f>"811,6290"</f>
        <v>811,6290</v>
      </c>
      <c r="L9" s="7" t="s">
        <v>210</v>
      </c>
    </row>
  </sheetData>
  <sheetProtection/>
  <mergeCells count="14">
    <mergeCell ref="G3:G4"/>
    <mergeCell ref="H3:I3"/>
    <mergeCell ref="J3:J4"/>
    <mergeCell ref="K3:K4"/>
    <mergeCell ref="L3:L4"/>
    <mergeCell ref="B5:K5"/>
    <mergeCell ref="B8:K8"/>
    <mergeCell ref="A3:A4"/>
    <mergeCell ref="B1:L2"/>
    <mergeCell ref="B3:B4"/>
    <mergeCell ref="C3:C4"/>
    <mergeCell ref="D3:D4"/>
    <mergeCell ref="E3:E4"/>
    <mergeCell ref="F3:F4"/>
  </mergeCells>
  <printOptions/>
  <pageMargins left="0.7" right="0.7" top="0.75" bottom="0.75" header="0.3" footer="0.3"/>
  <pageSetup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25"/>
  <sheetViews>
    <sheetView workbookViewId="0" topLeftCell="A1">
      <selection activeCell="B1" sqref="B1:L2"/>
    </sheetView>
  </sheetViews>
  <sheetFormatPr defaultColWidth="8.75390625" defaultRowHeight="12.75"/>
  <cols>
    <col min="1" max="1" width="9.125" style="27" customWidth="1"/>
    <col min="2" max="2" width="21.875" style="0" customWidth="1"/>
    <col min="3" max="3" width="27.125" style="0" customWidth="1"/>
    <col min="4" max="4" width="9.125" style="88" customWidth="1"/>
    <col min="5" max="5" width="8.75390625" style="0" customWidth="1"/>
    <col min="6" max="6" width="17.375" style="0" customWidth="1"/>
    <col min="7" max="7" width="27.00390625" style="0" customWidth="1"/>
    <col min="8" max="9" width="8.75390625" style="0" customWidth="1"/>
    <col min="10" max="10" width="9.125" style="83" customWidth="1"/>
    <col min="11" max="11" width="10.875" style="0" customWidth="1"/>
    <col min="12" max="12" width="17.875" style="0" customWidth="1"/>
  </cols>
  <sheetData>
    <row r="1" spans="1:12" s="1" customFormat="1" ht="15" customHeight="1">
      <c r="A1" s="33"/>
      <c r="B1" s="95" t="s">
        <v>329</v>
      </c>
      <c r="C1" s="96"/>
      <c r="D1" s="96"/>
      <c r="E1" s="96"/>
      <c r="F1" s="96"/>
      <c r="G1" s="96"/>
      <c r="H1" s="96"/>
      <c r="I1" s="96"/>
      <c r="J1" s="96"/>
      <c r="K1" s="96"/>
      <c r="L1" s="97"/>
    </row>
    <row r="2" spans="1:12" s="1" customFormat="1" ht="112.5" customHeight="1" thickBot="1">
      <c r="A2" s="33"/>
      <c r="B2" s="98"/>
      <c r="C2" s="99"/>
      <c r="D2" s="99"/>
      <c r="E2" s="99"/>
      <c r="F2" s="99"/>
      <c r="G2" s="99"/>
      <c r="H2" s="99"/>
      <c r="I2" s="99"/>
      <c r="J2" s="99"/>
      <c r="K2" s="99"/>
      <c r="L2" s="100"/>
    </row>
    <row r="3" spans="1:12" s="2" customFormat="1" ht="12.75" customHeight="1">
      <c r="A3" s="108" t="s">
        <v>206</v>
      </c>
      <c r="B3" s="101" t="s">
        <v>0</v>
      </c>
      <c r="C3" s="113" t="s">
        <v>207</v>
      </c>
      <c r="D3" s="113" t="s">
        <v>208</v>
      </c>
      <c r="E3" s="105" t="s">
        <v>263</v>
      </c>
      <c r="F3" s="105" t="s">
        <v>7</v>
      </c>
      <c r="G3" s="106" t="s">
        <v>209</v>
      </c>
      <c r="H3" s="105" t="s">
        <v>2</v>
      </c>
      <c r="I3" s="105"/>
      <c r="J3" s="116" t="s">
        <v>278</v>
      </c>
      <c r="K3" s="105" t="s">
        <v>6</v>
      </c>
      <c r="L3" s="110" t="s">
        <v>5</v>
      </c>
    </row>
    <row r="4" spans="1:12" s="2" customFormat="1" ht="21" customHeight="1" thickBot="1">
      <c r="A4" s="109"/>
      <c r="B4" s="102"/>
      <c r="C4" s="114"/>
      <c r="D4" s="114"/>
      <c r="E4" s="104"/>
      <c r="F4" s="104"/>
      <c r="G4" s="107"/>
      <c r="H4" s="3" t="s">
        <v>276</v>
      </c>
      <c r="I4" s="3" t="s">
        <v>277</v>
      </c>
      <c r="J4" s="117"/>
      <c r="K4" s="104"/>
      <c r="L4" s="111"/>
    </row>
    <row r="5" spans="2:11" ht="15.75">
      <c r="B5" s="118" t="s">
        <v>10</v>
      </c>
      <c r="C5" s="118"/>
      <c r="D5" s="118"/>
      <c r="E5" s="118"/>
      <c r="F5" s="118"/>
      <c r="G5" s="118"/>
      <c r="H5" s="118"/>
      <c r="I5" s="118"/>
      <c r="J5" s="118"/>
      <c r="K5" s="118"/>
    </row>
    <row r="6" spans="1:12" ht="12.75">
      <c r="A6" s="27">
        <v>1</v>
      </c>
      <c r="B6" s="74" t="s">
        <v>11</v>
      </c>
      <c r="C6" s="74" t="s">
        <v>12</v>
      </c>
      <c r="D6" s="87">
        <v>47.5</v>
      </c>
      <c r="E6" s="74" t="str">
        <f>"1,1884"</f>
        <v>1,1884</v>
      </c>
      <c r="F6" s="74" t="s">
        <v>13</v>
      </c>
      <c r="G6" s="74" t="s">
        <v>14</v>
      </c>
      <c r="H6" s="78" t="s">
        <v>15</v>
      </c>
      <c r="I6" s="78">
        <v>16</v>
      </c>
      <c r="J6" s="82">
        <v>760</v>
      </c>
      <c r="K6" s="78" t="str">
        <f>"903,1840"</f>
        <v>903,1840</v>
      </c>
      <c r="L6" s="74" t="s">
        <v>260</v>
      </c>
    </row>
    <row r="8" spans="2:11" ht="15.75">
      <c r="B8" s="115" t="s">
        <v>18</v>
      </c>
      <c r="C8" s="115"/>
      <c r="D8" s="115"/>
      <c r="E8" s="115"/>
      <c r="F8" s="115"/>
      <c r="G8" s="115"/>
      <c r="H8" s="115"/>
      <c r="I8" s="115"/>
      <c r="J8" s="115"/>
      <c r="K8" s="115"/>
    </row>
    <row r="9" spans="1:12" ht="12.75">
      <c r="A9" s="27">
        <v>1</v>
      </c>
      <c r="B9" s="74" t="s">
        <v>19</v>
      </c>
      <c r="C9" s="74" t="s">
        <v>20</v>
      </c>
      <c r="D9" s="92">
        <v>61</v>
      </c>
      <c r="E9" s="74" t="str">
        <f>"0,9746"</f>
        <v>0,9746</v>
      </c>
      <c r="F9" s="74" t="s">
        <v>21</v>
      </c>
      <c r="G9" s="74" t="s">
        <v>14</v>
      </c>
      <c r="H9" s="78" t="s">
        <v>17</v>
      </c>
      <c r="I9" s="78">
        <v>30</v>
      </c>
      <c r="J9" s="82">
        <v>1875</v>
      </c>
      <c r="K9" s="78" t="str">
        <f>"1827,3750"</f>
        <v>1827,3750</v>
      </c>
      <c r="L9" s="74" t="s">
        <v>261</v>
      </c>
    </row>
    <row r="11" spans="2:11" ht="15.75">
      <c r="B11" s="115" t="s">
        <v>32</v>
      </c>
      <c r="C11" s="115"/>
      <c r="D11" s="115"/>
      <c r="E11" s="115"/>
      <c r="F11" s="115"/>
      <c r="G11" s="115"/>
      <c r="H11" s="115"/>
      <c r="I11" s="115"/>
      <c r="J11" s="115"/>
      <c r="K11" s="115"/>
    </row>
    <row r="12" spans="1:12" ht="12.75">
      <c r="A12" s="27">
        <v>1</v>
      </c>
      <c r="B12" s="75" t="s">
        <v>33</v>
      </c>
      <c r="C12" s="75" t="s">
        <v>34</v>
      </c>
      <c r="D12" s="89">
        <v>72.8</v>
      </c>
      <c r="E12" s="75" t="str">
        <f>"0,7042"</f>
        <v>0,7042</v>
      </c>
      <c r="F12" s="75" t="s">
        <v>35</v>
      </c>
      <c r="G12" s="75" t="s">
        <v>14</v>
      </c>
      <c r="H12" s="79" t="s">
        <v>281</v>
      </c>
      <c r="I12" s="79">
        <v>21</v>
      </c>
      <c r="J12" s="84">
        <v>1575</v>
      </c>
      <c r="K12" s="79" t="str">
        <f>"1109,0363"</f>
        <v>1109,0363</v>
      </c>
      <c r="L12" s="75" t="s">
        <v>210</v>
      </c>
    </row>
    <row r="13" spans="1:12" ht="12.75">
      <c r="A13" s="27">
        <v>1</v>
      </c>
      <c r="B13" s="76" t="s">
        <v>40</v>
      </c>
      <c r="C13" s="76" t="s">
        <v>282</v>
      </c>
      <c r="D13" s="93">
        <v>74</v>
      </c>
      <c r="E13" s="76" t="str">
        <f>"0,6955"</f>
        <v>0,6955</v>
      </c>
      <c r="F13" s="76" t="s">
        <v>35</v>
      </c>
      <c r="G13" s="76" t="s">
        <v>14</v>
      </c>
      <c r="H13" s="80" t="s">
        <v>281</v>
      </c>
      <c r="I13" s="80">
        <v>35</v>
      </c>
      <c r="J13" s="85">
        <v>2625</v>
      </c>
      <c r="K13" s="80" t="str">
        <f>"1843,8118"</f>
        <v>1843,8118</v>
      </c>
      <c r="L13" s="76" t="s">
        <v>210</v>
      </c>
    </row>
    <row r="15" spans="2:11" ht="15.75">
      <c r="B15" s="115" t="s">
        <v>129</v>
      </c>
      <c r="C15" s="115"/>
      <c r="D15" s="115"/>
      <c r="E15" s="115"/>
      <c r="F15" s="115"/>
      <c r="G15" s="115"/>
      <c r="H15" s="115"/>
      <c r="I15" s="115"/>
      <c r="J15" s="115"/>
      <c r="K15" s="115"/>
    </row>
    <row r="16" spans="1:12" ht="12.75">
      <c r="A16" s="27">
        <v>1</v>
      </c>
      <c r="B16" s="75" t="s">
        <v>134</v>
      </c>
      <c r="C16" s="75" t="s">
        <v>135</v>
      </c>
      <c r="D16" s="89">
        <v>77.3</v>
      </c>
      <c r="E16" s="75" t="str">
        <f>"0,6737"</f>
        <v>0,6737</v>
      </c>
      <c r="F16" s="75" t="s">
        <v>13</v>
      </c>
      <c r="G16" s="75" t="s">
        <v>14</v>
      </c>
      <c r="H16" s="79" t="s">
        <v>283</v>
      </c>
      <c r="I16" s="79">
        <v>34</v>
      </c>
      <c r="J16" s="84">
        <v>2635</v>
      </c>
      <c r="K16" s="79" t="str">
        <f>"1775,0678"</f>
        <v>1775,0678</v>
      </c>
      <c r="L16" s="75" t="s">
        <v>210</v>
      </c>
    </row>
    <row r="17" spans="1:12" ht="12.75">
      <c r="A17" s="27">
        <v>1</v>
      </c>
      <c r="B17" s="76" t="s">
        <v>284</v>
      </c>
      <c r="C17" s="76" t="s">
        <v>285</v>
      </c>
      <c r="D17" s="90">
        <v>79.1</v>
      </c>
      <c r="E17" s="76" t="str">
        <f>"0,6629"</f>
        <v>0,6629</v>
      </c>
      <c r="F17" s="76" t="s">
        <v>42</v>
      </c>
      <c r="G17" s="76" t="s">
        <v>14</v>
      </c>
      <c r="H17" s="80" t="s">
        <v>163</v>
      </c>
      <c r="I17" s="80">
        <v>30</v>
      </c>
      <c r="J17" s="85">
        <v>2400</v>
      </c>
      <c r="K17" s="80" t="str">
        <f>"1659,3712"</f>
        <v>1659,3712</v>
      </c>
      <c r="L17" s="76" t="s">
        <v>210</v>
      </c>
    </row>
    <row r="19" spans="2:11" ht="15.75">
      <c r="B19" s="115" t="s">
        <v>51</v>
      </c>
      <c r="C19" s="115"/>
      <c r="D19" s="115"/>
      <c r="E19" s="115"/>
      <c r="F19" s="115"/>
      <c r="G19" s="115"/>
      <c r="H19" s="115"/>
      <c r="I19" s="115"/>
      <c r="J19" s="115"/>
      <c r="K19" s="115"/>
    </row>
    <row r="20" spans="1:12" ht="12.75">
      <c r="A20" s="27">
        <v>1</v>
      </c>
      <c r="B20" s="75" t="s">
        <v>286</v>
      </c>
      <c r="C20" s="75" t="s">
        <v>287</v>
      </c>
      <c r="D20" s="89">
        <v>98.9</v>
      </c>
      <c r="E20" s="75" t="str">
        <f>"0,5840"</f>
        <v>0,5840</v>
      </c>
      <c r="F20" s="75" t="s">
        <v>35</v>
      </c>
      <c r="G20" s="75" t="s">
        <v>14</v>
      </c>
      <c r="H20" s="79" t="s">
        <v>29</v>
      </c>
      <c r="I20" s="79">
        <v>28</v>
      </c>
      <c r="J20" s="84">
        <v>2800</v>
      </c>
      <c r="K20" s="79" t="str">
        <f>"1635,3400"</f>
        <v>1635,3400</v>
      </c>
      <c r="L20" s="75" t="s">
        <v>210</v>
      </c>
    </row>
    <row r="21" spans="1:12" ht="12.75">
      <c r="A21" s="27">
        <v>2</v>
      </c>
      <c r="B21" s="77" t="s">
        <v>59</v>
      </c>
      <c r="C21" s="77" t="s">
        <v>60</v>
      </c>
      <c r="D21" s="91">
        <v>98.7</v>
      </c>
      <c r="E21" s="77" t="str">
        <f>"0,5846"</f>
        <v>0,5846</v>
      </c>
      <c r="F21" s="77" t="s">
        <v>28</v>
      </c>
      <c r="G21" s="77" t="s">
        <v>14</v>
      </c>
      <c r="H21" s="81" t="s">
        <v>29</v>
      </c>
      <c r="I21" s="81">
        <v>22</v>
      </c>
      <c r="J21" s="86">
        <v>2200</v>
      </c>
      <c r="K21" s="81" t="str">
        <f>"1286,0101"</f>
        <v>1286,0101</v>
      </c>
      <c r="L21" s="77" t="s">
        <v>210</v>
      </c>
    </row>
    <row r="22" spans="1:12" ht="12.75">
      <c r="A22" s="27">
        <v>1</v>
      </c>
      <c r="B22" s="77" t="s">
        <v>68</v>
      </c>
      <c r="C22" s="77" t="s">
        <v>69</v>
      </c>
      <c r="D22" s="91">
        <v>98.6</v>
      </c>
      <c r="E22" s="77" t="str">
        <f>"0,5848"</f>
        <v>0,5848</v>
      </c>
      <c r="F22" s="77" t="s">
        <v>28</v>
      </c>
      <c r="G22" s="77" t="s">
        <v>14</v>
      </c>
      <c r="H22" s="81" t="s">
        <v>29</v>
      </c>
      <c r="I22" s="81">
        <v>24</v>
      </c>
      <c r="J22" s="86">
        <v>2400</v>
      </c>
      <c r="K22" s="81" t="str">
        <f>"1403,5200"</f>
        <v>1403,5200</v>
      </c>
      <c r="L22" s="77" t="s">
        <v>210</v>
      </c>
    </row>
    <row r="23" spans="1:12" ht="12.75">
      <c r="A23" s="27">
        <v>2</v>
      </c>
      <c r="B23" s="77" t="s">
        <v>288</v>
      </c>
      <c r="C23" s="77" t="s">
        <v>289</v>
      </c>
      <c r="D23" s="91">
        <v>94.1</v>
      </c>
      <c r="E23" s="77" t="str">
        <f>"0,5977"</f>
        <v>0,5977</v>
      </c>
      <c r="F23" s="77" t="s">
        <v>42</v>
      </c>
      <c r="G23" s="77" t="s">
        <v>14</v>
      </c>
      <c r="H23" s="81" t="s">
        <v>23</v>
      </c>
      <c r="I23" s="81">
        <v>19</v>
      </c>
      <c r="J23" s="86">
        <v>1805</v>
      </c>
      <c r="K23" s="81" t="str">
        <f>"1078,8485"</f>
        <v>1078,8485</v>
      </c>
      <c r="L23" s="77" t="s">
        <v>210</v>
      </c>
    </row>
    <row r="24" spans="1:12" ht="12.75">
      <c r="A24" s="27">
        <v>3</v>
      </c>
      <c r="B24" s="77" t="s">
        <v>290</v>
      </c>
      <c r="C24" s="77" t="s">
        <v>291</v>
      </c>
      <c r="D24" s="91">
        <v>92.9</v>
      </c>
      <c r="E24" s="77" t="str">
        <f>"0,6016"</f>
        <v>0,6016</v>
      </c>
      <c r="F24" s="77" t="s">
        <v>21</v>
      </c>
      <c r="G24" s="77" t="s">
        <v>14</v>
      </c>
      <c r="H24" s="81" t="s">
        <v>23</v>
      </c>
      <c r="I24" s="81">
        <v>18</v>
      </c>
      <c r="J24" s="86">
        <v>1710</v>
      </c>
      <c r="K24" s="81" t="str">
        <f>"1028,7360"</f>
        <v>1028,7360</v>
      </c>
      <c r="L24" s="77" t="s">
        <v>261</v>
      </c>
    </row>
    <row r="25" spans="1:12" ht="12.75">
      <c r="A25" s="27">
        <v>1</v>
      </c>
      <c r="B25" s="76" t="s">
        <v>71</v>
      </c>
      <c r="C25" s="76" t="s">
        <v>292</v>
      </c>
      <c r="D25" s="90">
        <v>99.9</v>
      </c>
      <c r="E25" s="76" t="str">
        <f>"0,5816"</f>
        <v>0,5816</v>
      </c>
      <c r="F25" s="76" t="s">
        <v>35</v>
      </c>
      <c r="G25" s="76" t="s">
        <v>14</v>
      </c>
      <c r="H25" s="80" t="s">
        <v>29</v>
      </c>
      <c r="I25" s="80">
        <v>28</v>
      </c>
      <c r="J25" s="85">
        <v>2800</v>
      </c>
      <c r="K25" s="80" t="str">
        <f>"1678,8185"</f>
        <v>1678,8185</v>
      </c>
      <c r="L25" s="76" t="s">
        <v>210</v>
      </c>
    </row>
  </sheetData>
  <sheetProtection/>
  <mergeCells count="17">
    <mergeCell ref="B1:L2"/>
    <mergeCell ref="B3:B4"/>
    <mergeCell ref="C3:C4"/>
    <mergeCell ref="D3:D4"/>
    <mergeCell ref="E3:E4"/>
    <mergeCell ref="F3:F4"/>
    <mergeCell ref="G3:G4"/>
    <mergeCell ref="H3:I3"/>
    <mergeCell ref="B15:K15"/>
    <mergeCell ref="B19:K19"/>
    <mergeCell ref="A3:A4"/>
    <mergeCell ref="J3:J4"/>
    <mergeCell ref="K3:K4"/>
    <mergeCell ref="L3:L4"/>
    <mergeCell ref="B5:K5"/>
    <mergeCell ref="B8:K8"/>
    <mergeCell ref="B11:K11"/>
  </mergeCells>
  <printOptions/>
  <pageMargins left="0.7" right="0.7" top="0.75" bottom="0.75" header="0.3" footer="0.3"/>
  <pageSetup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9"/>
  <sheetViews>
    <sheetView workbookViewId="0" topLeftCell="A1">
      <selection activeCell="G24" sqref="G24"/>
    </sheetView>
  </sheetViews>
  <sheetFormatPr defaultColWidth="8.75390625" defaultRowHeight="12.75"/>
  <cols>
    <col min="1" max="1" width="8.75390625" style="0" customWidth="1"/>
    <col min="2" max="2" width="26.00390625" style="15" bestFit="1" customWidth="1"/>
    <col min="3" max="3" width="25.875" style="15" bestFit="1" customWidth="1"/>
    <col min="4" max="4" width="10.625" style="15" bestFit="1" customWidth="1"/>
    <col min="5" max="5" width="8.375" style="15" bestFit="1" customWidth="1"/>
    <col min="6" max="6" width="22.75390625" style="15" bestFit="1" customWidth="1"/>
    <col min="7" max="7" width="31.625" style="15" bestFit="1" customWidth="1"/>
    <col min="8" max="10" width="5.625" style="15" bestFit="1" customWidth="1"/>
    <col min="11" max="11" width="4.625" style="15" bestFit="1" customWidth="1"/>
    <col min="12" max="12" width="11.75390625" style="15" customWidth="1"/>
    <col min="13" max="13" width="7.625" style="15" bestFit="1" customWidth="1"/>
    <col min="14" max="14" width="15.375" style="15" bestFit="1" customWidth="1"/>
  </cols>
  <sheetData>
    <row r="1" spans="2:14" s="1" customFormat="1" ht="15" customHeight="1">
      <c r="B1" s="95" t="s">
        <v>355</v>
      </c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7"/>
    </row>
    <row r="2" spans="2:14" s="1" customFormat="1" ht="90.75" customHeight="1" thickBot="1">
      <c r="B2" s="98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100"/>
    </row>
    <row r="3" spans="1:14" s="2" customFormat="1" ht="12.75" customHeight="1">
      <c r="A3" s="108" t="s">
        <v>206</v>
      </c>
      <c r="B3" s="101" t="s">
        <v>0</v>
      </c>
      <c r="C3" s="113" t="s">
        <v>207</v>
      </c>
      <c r="D3" s="103" t="s">
        <v>208</v>
      </c>
      <c r="E3" s="105" t="s">
        <v>263</v>
      </c>
      <c r="F3" s="105" t="s">
        <v>7</v>
      </c>
      <c r="G3" s="106" t="s">
        <v>209</v>
      </c>
      <c r="H3" s="105" t="s">
        <v>2</v>
      </c>
      <c r="I3" s="105"/>
      <c r="J3" s="105"/>
      <c r="K3" s="105"/>
      <c r="L3" s="105" t="s">
        <v>230</v>
      </c>
      <c r="M3" s="105" t="s">
        <v>6</v>
      </c>
      <c r="N3" s="110" t="s">
        <v>5</v>
      </c>
    </row>
    <row r="4" spans="1:14" s="2" customFormat="1" ht="21" customHeight="1" thickBot="1">
      <c r="A4" s="109"/>
      <c r="B4" s="102"/>
      <c r="C4" s="114"/>
      <c r="D4" s="104"/>
      <c r="E4" s="104"/>
      <c r="F4" s="104"/>
      <c r="G4" s="107"/>
      <c r="H4" s="3">
        <v>1</v>
      </c>
      <c r="I4" s="3">
        <v>2</v>
      </c>
      <c r="J4" s="3">
        <v>3</v>
      </c>
      <c r="K4" s="3" t="s">
        <v>8</v>
      </c>
      <c r="L4" s="104"/>
      <c r="M4" s="104"/>
      <c r="N4" s="111"/>
    </row>
    <row r="5" spans="2:13" ht="15.75">
      <c r="B5" s="94" t="s">
        <v>32</v>
      </c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</row>
    <row r="6" spans="1:14" ht="12.75">
      <c r="A6" s="27">
        <v>1</v>
      </c>
      <c r="B6" s="16" t="s">
        <v>264</v>
      </c>
      <c r="C6" s="16" t="s">
        <v>269</v>
      </c>
      <c r="D6" s="16" t="s">
        <v>266</v>
      </c>
      <c r="E6" s="16" t="str">
        <f>"0,6927"</f>
        <v>0,6927</v>
      </c>
      <c r="F6" s="16" t="s">
        <v>35</v>
      </c>
      <c r="G6" s="16" t="s">
        <v>14</v>
      </c>
      <c r="H6" s="31" t="s">
        <v>160</v>
      </c>
      <c r="I6" s="31" t="s">
        <v>43</v>
      </c>
      <c r="J6" s="32" t="s">
        <v>150</v>
      </c>
      <c r="K6" s="30"/>
      <c r="L6" s="29" t="s">
        <v>43</v>
      </c>
      <c r="M6" s="29" t="str">
        <f>"96,9710"</f>
        <v>96,9710</v>
      </c>
      <c r="N6" s="16" t="s">
        <v>210</v>
      </c>
    </row>
    <row r="8" spans="2:13" ht="15.75">
      <c r="B8" s="112" t="s">
        <v>46</v>
      </c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</row>
    <row r="9" spans="1:14" ht="12.75">
      <c r="A9" s="27">
        <v>1</v>
      </c>
      <c r="B9" s="16" t="s">
        <v>137</v>
      </c>
      <c r="C9" s="16" t="s">
        <v>138</v>
      </c>
      <c r="D9" s="16" t="s">
        <v>240</v>
      </c>
      <c r="E9" s="16" t="str">
        <f>"0,6145"</f>
        <v>0,6145</v>
      </c>
      <c r="F9" s="16" t="s">
        <v>35</v>
      </c>
      <c r="G9" s="16" t="s">
        <v>265</v>
      </c>
      <c r="H9" s="31" t="s">
        <v>136</v>
      </c>
      <c r="I9" s="31" t="s">
        <v>45</v>
      </c>
      <c r="J9" s="32" t="s">
        <v>67</v>
      </c>
      <c r="K9" s="30"/>
      <c r="L9" s="29" t="s">
        <v>45</v>
      </c>
      <c r="M9" s="29" t="str">
        <f>"95,2552"</f>
        <v>95,2552</v>
      </c>
      <c r="N9" s="16" t="s">
        <v>210</v>
      </c>
    </row>
  </sheetData>
  <sheetProtection/>
  <mergeCells count="14">
    <mergeCell ref="G3:G4"/>
    <mergeCell ref="H3:K3"/>
    <mergeCell ref="L3:L4"/>
    <mergeCell ref="M3:M4"/>
    <mergeCell ref="N3:N4"/>
    <mergeCell ref="B5:M5"/>
    <mergeCell ref="B8:M8"/>
    <mergeCell ref="A3:A4"/>
    <mergeCell ref="B1:N2"/>
    <mergeCell ref="B3:B4"/>
    <mergeCell ref="C3:C4"/>
    <mergeCell ref="D3:D4"/>
    <mergeCell ref="E3:E4"/>
    <mergeCell ref="F3:F4"/>
  </mergeCells>
  <printOptions/>
  <pageMargins left="0.7" right="0.7" top="0.75" bottom="0.75" header="0.3" footer="0.3"/>
  <pageSetup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6"/>
  <sheetViews>
    <sheetView workbookViewId="0" topLeftCell="A1">
      <selection activeCell="E24" sqref="E24"/>
    </sheetView>
  </sheetViews>
  <sheetFormatPr defaultColWidth="9.125" defaultRowHeight="12.75"/>
  <cols>
    <col min="1" max="1" width="9.125" style="1" customWidth="1"/>
    <col min="2" max="2" width="28.25390625" style="4" bestFit="1" customWidth="1"/>
    <col min="3" max="3" width="27.75390625" style="1" customWidth="1"/>
    <col min="4" max="4" width="10.625" style="1" bestFit="1" customWidth="1"/>
    <col min="5" max="5" width="8.375" style="1" bestFit="1" customWidth="1"/>
    <col min="6" max="6" width="22.75390625" style="5" bestFit="1" customWidth="1"/>
    <col min="7" max="7" width="26.00390625" style="5" bestFit="1" customWidth="1"/>
    <col min="8" max="10" width="5.625" style="1" bestFit="1" customWidth="1"/>
    <col min="11" max="11" width="4.625" style="1" bestFit="1" customWidth="1"/>
    <col min="12" max="12" width="12.25390625" style="4" customWidth="1"/>
    <col min="13" max="13" width="8.625" style="1" bestFit="1" customWidth="1"/>
    <col min="14" max="14" width="15.375" style="5" bestFit="1" customWidth="1"/>
    <col min="15" max="16384" width="9.125" style="1" customWidth="1"/>
  </cols>
  <sheetData>
    <row r="1" spans="2:14" ht="15" customHeight="1">
      <c r="B1" s="95" t="s">
        <v>356</v>
      </c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7"/>
    </row>
    <row r="2" spans="2:14" ht="81.75" customHeight="1" thickBot="1">
      <c r="B2" s="98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100"/>
    </row>
    <row r="3" spans="1:14" s="2" customFormat="1" ht="12.75" customHeight="1">
      <c r="A3" s="108" t="s">
        <v>206</v>
      </c>
      <c r="B3" s="101" t="s">
        <v>0</v>
      </c>
      <c r="C3" s="113" t="s">
        <v>207</v>
      </c>
      <c r="D3" s="103" t="s">
        <v>208</v>
      </c>
      <c r="E3" s="105" t="s">
        <v>263</v>
      </c>
      <c r="F3" s="105" t="s">
        <v>7</v>
      </c>
      <c r="G3" s="106" t="s">
        <v>209</v>
      </c>
      <c r="H3" s="105" t="s">
        <v>2</v>
      </c>
      <c r="I3" s="105"/>
      <c r="J3" s="105"/>
      <c r="K3" s="105"/>
      <c r="L3" s="105" t="s">
        <v>230</v>
      </c>
      <c r="M3" s="105" t="s">
        <v>6</v>
      </c>
      <c r="N3" s="110" t="s">
        <v>5</v>
      </c>
    </row>
    <row r="4" spans="1:14" s="2" customFormat="1" ht="21" customHeight="1" thickBot="1">
      <c r="A4" s="109"/>
      <c r="B4" s="102"/>
      <c r="C4" s="114"/>
      <c r="D4" s="104"/>
      <c r="E4" s="104"/>
      <c r="F4" s="104"/>
      <c r="G4" s="107"/>
      <c r="H4" s="3">
        <v>1</v>
      </c>
      <c r="I4" s="3">
        <v>2</v>
      </c>
      <c r="J4" s="3">
        <v>3</v>
      </c>
      <c r="K4" s="3" t="s">
        <v>8</v>
      </c>
      <c r="L4" s="104"/>
      <c r="M4" s="104"/>
      <c r="N4" s="111"/>
    </row>
    <row r="5" spans="2:13" ht="15.75">
      <c r="B5" s="120" t="s">
        <v>77</v>
      </c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</row>
    <row r="6" spans="1:14" ht="12.75">
      <c r="A6" s="33" t="s">
        <v>255</v>
      </c>
      <c r="B6" s="48" t="s">
        <v>81</v>
      </c>
      <c r="C6" s="7" t="s">
        <v>82</v>
      </c>
      <c r="D6" s="7" t="s">
        <v>274</v>
      </c>
      <c r="E6" s="6" t="str">
        <f>"0,5735"</f>
        <v>0,5735</v>
      </c>
      <c r="F6" s="7" t="s">
        <v>21</v>
      </c>
      <c r="G6" s="7" t="s">
        <v>14</v>
      </c>
      <c r="H6" s="31" t="s">
        <v>267</v>
      </c>
      <c r="I6" s="71" t="s">
        <v>268</v>
      </c>
      <c r="J6" s="31" t="s">
        <v>268</v>
      </c>
      <c r="K6" s="62"/>
      <c r="L6" s="61" t="s">
        <v>268</v>
      </c>
      <c r="M6" s="61" t="str">
        <f>"151,9907"</f>
        <v>151,9907</v>
      </c>
      <c r="N6" s="7" t="s">
        <v>210</v>
      </c>
    </row>
  </sheetData>
  <sheetProtection/>
  <mergeCells count="13">
    <mergeCell ref="H3:K3"/>
    <mergeCell ref="L3:L4"/>
    <mergeCell ref="M3:M4"/>
    <mergeCell ref="N3:N4"/>
    <mergeCell ref="B5:M5"/>
    <mergeCell ref="A3:A4"/>
    <mergeCell ref="B1:N2"/>
    <mergeCell ref="B3:B4"/>
    <mergeCell ref="C3:C4"/>
    <mergeCell ref="D3:D4"/>
    <mergeCell ref="E3:E4"/>
    <mergeCell ref="F3:F4"/>
    <mergeCell ref="G3:G4"/>
  </mergeCells>
  <printOptions/>
  <pageMargins left="0.7" right="0.7" top="0.75" bottom="0.75" header="0.3" footer="0.3"/>
  <pageSetup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6"/>
  <sheetViews>
    <sheetView workbookViewId="0" topLeftCell="A1">
      <selection activeCell="F11" sqref="F11"/>
    </sheetView>
  </sheetViews>
  <sheetFormatPr defaultColWidth="8.75390625" defaultRowHeight="12.75"/>
  <cols>
    <col min="1" max="1" width="8.75390625" style="0" customWidth="1"/>
    <col min="2" max="2" width="23.75390625" style="15" customWidth="1"/>
    <col min="3" max="3" width="25.625" style="15" customWidth="1"/>
    <col min="4" max="4" width="10.625" style="15" bestFit="1" customWidth="1"/>
    <col min="5" max="5" width="8.375" style="15" bestFit="1" customWidth="1"/>
    <col min="6" max="6" width="22.75390625" style="15" bestFit="1" customWidth="1"/>
    <col min="7" max="7" width="26.00390625" style="15" bestFit="1" customWidth="1"/>
    <col min="8" max="10" width="5.625" style="15" bestFit="1" customWidth="1"/>
    <col min="11" max="11" width="4.625" style="15" bestFit="1" customWidth="1"/>
    <col min="12" max="12" width="12.25390625" style="15" customWidth="1"/>
    <col min="13" max="13" width="8.625" style="15" bestFit="1" customWidth="1"/>
    <col min="14" max="14" width="15.375" style="15" bestFit="1" customWidth="1"/>
  </cols>
  <sheetData>
    <row r="1" spans="2:14" s="1" customFormat="1" ht="15" customHeight="1">
      <c r="B1" s="95" t="s">
        <v>352</v>
      </c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7"/>
    </row>
    <row r="2" spans="2:14" s="1" customFormat="1" ht="106.5" customHeight="1" thickBot="1">
      <c r="B2" s="98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100"/>
    </row>
    <row r="3" spans="1:14" s="2" customFormat="1" ht="12.75" customHeight="1">
      <c r="A3" s="108" t="s">
        <v>206</v>
      </c>
      <c r="B3" s="101" t="s">
        <v>0</v>
      </c>
      <c r="C3" s="103" t="s">
        <v>207</v>
      </c>
      <c r="D3" s="103" t="s">
        <v>208</v>
      </c>
      <c r="E3" s="105" t="s">
        <v>9</v>
      </c>
      <c r="F3" s="105" t="s">
        <v>7</v>
      </c>
      <c r="G3" s="106" t="s">
        <v>209</v>
      </c>
      <c r="H3" s="105" t="s">
        <v>2</v>
      </c>
      <c r="I3" s="105"/>
      <c r="J3" s="105"/>
      <c r="K3" s="105"/>
      <c r="L3" s="105" t="s">
        <v>230</v>
      </c>
      <c r="M3" s="105" t="s">
        <v>6</v>
      </c>
      <c r="N3" s="110" t="s">
        <v>5</v>
      </c>
    </row>
    <row r="4" spans="1:14" s="2" customFormat="1" ht="21" customHeight="1" thickBot="1">
      <c r="A4" s="109"/>
      <c r="B4" s="102"/>
      <c r="C4" s="104"/>
      <c r="D4" s="104"/>
      <c r="E4" s="104"/>
      <c r="F4" s="104"/>
      <c r="G4" s="107"/>
      <c r="H4" s="3">
        <v>1</v>
      </c>
      <c r="I4" s="3">
        <v>2</v>
      </c>
      <c r="J4" s="3">
        <v>3</v>
      </c>
      <c r="K4" s="3" t="s">
        <v>8</v>
      </c>
      <c r="L4" s="104"/>
      <c r="M4" s="104"/>
      <c r="N4" s="111"/>
    </row>
    <row r="5" spans="2:13" ht="15.75">
      <c r="B5" s="94" t="s">
        <v>129</v>
      </c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</row>
    <row r="6" spans="1:14" ht="12.75">
      <c r="A6" s="27">
        <v>1</v>
      </c>
      <c r="B6" s="16" t="s">
        <v>158</v>
      </c>
      <c r="C6" s="16" t="s">
        <v>159</v>
      </c>
      <c r="D6" s="16" t="s">
        <v>231</v>
      </c>
      <c r="E6" s="16" t="str">
        <f>"0,6785"</f>
        <v>0,6785</v>
      </c>
      <c r="F6" s="16" t="s">
        <v>28</v>
      </c>
      <c r="G6" s="16" t="s">
        <v>14</v>
      </c>
      <c r="H6" s="31" t="s">
        <v>61</v>
      </c>
      <c r="I6" s="32" t="s">
        <v>55</v>
      </c>
      <c r="J6" s="31" t="s">
        <v>55</v>
      </c>
      <c r="K6" s="30"/>
      <c r="L6" s="29" t="s">
        <v>55</v>
      </c>
      <c r="M6" s="29" t="str">
        <f>"122,1300"</f>
        <v>122,1300</v>
      </c>
      <c r="N6" s="16" t="s">
        <v>210</v>
      </c>
    </row>
    <row r="7" ht="13.5" customHeight="1"/>
  </sheetData>
  <sheetProtection/>
  <mergeCells count="13">
    <mergeCell ref="A3:A4"/>
    <mergeCell ref="L3:L4"/>
    <mergeCell ref="M3:M4"/>
    <mergeCell ref="N3:N4"/>
    <mergeCell ref="B5:M5"/>
    <mergeCell ref="B1:N2"/>
    <mergeCell ref="B3:B4"/>
    <mergeCell ref="C3:C4"/>
    <mergeCell ref="D3:D4"/>
    <mergeCell ref="E3:E4"/>
    <mergeCell ref="F3:F4"/>
    <mergeCell ref="G3:G4"/>
    <mergeCell ref="H3:K3"/>
  </mergeCells>
  <printOptions/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42"/>
  <sheetViews>
    <sheetView workbookViewId="0" topLeftCell="A8">
      <selection activeCell="D53" sqref="D53"/>
    </sheetView>
  </sheetViews>
  <sheetFormatPr defaultColWidth="8.75390625" defaultRowHeight="12.75"/>
  <cols>
    <col min="1" max="1" width="9.125" style="27" customWidth="1"/>
    <col min="2" max="2" width="26.00390625" style="15" bestFit="1" customWidth="1"/>
    <col min="3" max="3" width="27.125" style="15" bestFit="1" customWidth="1"/>
    <col min="4" max="4" width="10.625" style="15" bestFit="1" customWidth="1"/>
    <col min="5" max="5" width="8.375" style="15" bestFit="1" customWidth="1"/>
    <col min="6" max="6" width="22.75390625" style="15" bestFit="1" customWidth="1"/>
    <col min="7" max="7" width="38.125" style="15" customWidth="1"/>
    <col min="8" max="10" width="5.625" style="15" bestFit="1" customWidth="1"/>
    <col min="11" max="11" width="4.625" style="15" bestFit="1" customWidth="1"/>
    <col min="12" max="12" width="12.25390625" style="15" customWidth="1"/>
    <col min="13" max="13" width="8.625" style="15" bestFit="1" customWidth="1"/>
    <col min="14" max="14" width="17.125" style="15" customWidth="1"/>
  </cols>
  <sheetData>
    <row r="1" spans="1:14" s="1" customFormat="1" ht="15" customHeight="1">
      <c r="A1" s="33"/>
      <c r="B1" s="95" t="s">
        <v>353</v>
      </c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7"/>
    </row>
    <row r="2" spans="1:14" s="1" customFormat="1" ht="108" customHeight="1" thickBot="1">
      <c r="A2" s="33"/>
      <c r="B2" s="98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100"/>
    </row>
    <row r="3" spans="1:14" s="2" customFormat="1" ht="12.75" customHeight="1">
      <c r="A3" s="108" t="s">
        <v>206</v>
      </c>
      <c r="B3" s="101" t="s">
        <v>0</v>
      </c>
      <c r="C3" s="103" t="s">
        <v>207</v>
      </c>
      <c r="D3" s="103" t="s">
        <v>208</v>
      </c>
      <c r="E3" s="105" t="s">
        <v>9</v>
      </c>
      <c r="F3" s="105" t="s">
        <v>7</v>
      </c>
      <c r="G3" s="106" t="s">
        <v>209</v>
      </c>
      <c r="H3" s="105" t="s">
        <v>2</v>
      </c>
      <c r="I3" s="105"/>
      <c r="J3" s="105"/>
      <c r="K3" s="105"/>
      <c r="L3" s="105" t="s">
        <v>230</v>
      </c>
      <c r="M3" s="105" t="s">
        <v>6</v>
      </c>
      <c r="N3" s="110" t="s">
        <v>5</v>
      </c>
    </row>
    <row r="4" spans="1:14" s="2" customFormat="1" ht="21" customHeight="1" thickBot="1">
      <c r="A4" s="109"/>
      <c r="B4" s="102"/>
      <c r="C4" s="104"/>
      <c r="D4" s="104"/>
      <c r="E4" s="104"/>
      <c r="F4" s="104"/>
      <c r="G4" s="107"/>
      <c r="H4" s="3">
        <v>1</v>
      </c>
      <c r="I4" s="3">
        <v>2</v>
      </c>
      <c r="J4" s="3">
        <v>3</v>
      </c>
      <c r="K4" s="3" t="s">
        <v>8</v>
      </c>
      <c r="L4" s="104"/>
      <c r="M4" s="104"/>
      <c r="N4" s="111"/>
    </row>
    <row r="5" spans="2:13" ht="15.75">
      <c r="B5" s="94" t="s">
        <v>109</v>
      </c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</row>
    <row r="6" spans="1:14" ht="12.75">
      <c r="A6" s="27">
        <v>1</v>
      </c>
      <c r="B6" s="16" t="s">
        <v>110</v>
      </c>
      <c r="C6" s="16" t="s">
        <v>111</v>
      </c>
      <c r="D6" s="16" t="s">
        <v>232</v>
      </c>
      <c r="E6" s="16" t="str">
        <f>"1,2866"</f>
        <v>1,2866</v>
      </c>
      <c r="F6" s="16" t="s">
        <v>28</v>
      </c>
      <c r="G6" s="16" t="s">
        <v>14</v>
      </c>
      <c r="H6" s="31" t="s">
        <v>112</v>
      </c>
      <c r="I6" s="31" t="s">
        <v>113</v>
      </c>
      <c r="J6" s="31" t="s">
        <v>114</v>
      </c>
      <c r="K6" s="30"/>
      <c r="L6" s="29" t="s">
        <v>114</v>
      </c>
      <c r="M6" s="29" t="str">
        <f>"38,5980"</f>
        <v>38,5980</v>
      </c>
      <c r="N6" s="16" t="s">
        <v>250</v>
      </c>
    </row>
    <row r="8" spans="2:13" ht="15.75">
      <c r="B8" s="112" t="s">
        <v>18</v>
      </c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</row>
    <row r="9" spans="1:14" ht="12.75">
      <c r="A9" s="27">
        <v>1</v>
      </c>
      <c r="B9" s="16" t="s">
        <v>115</v>
      </c>
      <c r="C9" s="16" t="s">
        <v>116</v>
      </c>
      <c r="D9" s="16" t="s">
        <v>233</v>
      </c>
      <c r="E9" s="16" t="str">
        <f>"1,0420"</f>
        <v>1,0420</v>
      </c>
      <c r="F9" s="16" t="s">
        <v>35</v>
      </c>
      <c r="G9" s="16" t="s">
        <v>14</v>
      </c>
      <c r="H9" s="31" t="s">
        <v>117</v>
      </c>
      <c r="I9" s="32" t="s">
        <v>118</v>
      </c>
      <c r="J9" s="31" t="s">
        <v>118</v>
      </c>
      <c r="K9" s="30"/>
      <c r="L9" s="29">
        <v>67.5</v>
      </c>
      <c r="M9" s="29" t="str">
        <f>"70,3350"</f>
        <v>70,3350</v>
      </c>
      <c r="N9" s="16" t="s">
        <v>251</v>
      </c>
    </row>
    <row r="11" spans="2:13" ht="15.75">
      <c r="B11" s="112" t="s">
        <v>18</v>
      </c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</row>
    <row r="12" spans="1:14" ht="12.75">
      <c r="A12" s="27">
        <v>1</v>
      </c>
      <c r="B12" s="16" t="s">
        <v>119</v>
      </c>
      <c r="C12" s="16" t="s">
        <v>120</v>
      </c>
      <c r="D12" s="16" t="s">
        <v>234</v>
      </c>
      <c r="E12" s="16" t="str">
        <f>"0,8212"</f>
        <v>0,8212</v>
      </c>
      <c r="F12" s="16" t="s">
        <v>35</v>
      </c>
      <c r="G12" s="16" t="s">
        <v>14</v>
      </c>
      <c r="H12" s="31" t="s">
        <v>29</v>
      </c>
      <c r="I12" s="32" t="s">
        <v>25</v>
      </c>
      <c r="J12" s="32" t="s">
        <v>25</v>
      </c>
      <c r="K12" s="30"/>
      <c r="L12" s="29" t="s">
        <v>29</v>
      </c>
      <c r="M12" s="29" t="str">
        <f>"82,1200"</f>
        <v>82,1200</v>
      </c>
      <c r="N12" s="16" t="s">
        <v>210</v>
      </c>
    </row>
    <row r="14" spans="2:13" ht="15.75">
      <c r="B14" s="112" t="s">
        <v>32</v>
      </c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112"/>
    </row>
    <row r="15" spans="1:14" ht="12.75">
      <c r="A15" s="27">
        <v>1</v>
      </c>
      <c r="B15" s="18" t="s">
        <v>121</v>
      </c>
      <c r="C15" s="18" t="s">
        <v>122</v>
      </c>
      <c r="D15" s="18" t="s">
        <v>235</v>
      </c>
      <c r="E15" s="18" t="str">
        <f>"0,7200"</f>
        <v>0,7200</v>
      </c>
      <c r="F15" s="18" t="s">
        <v>94</v>
      </c>
      <c r="G15" s="18" t="s">
        <v>14</v>
      </c>
      <c r="H15" s="38" t="s">
        <v>123</v>
      </c>
      <c r="I15" s="38" t="s">
        <v>124</v>
      </c>
      <c r="J15" s="38" t="s">
        <v>31</v>
      </c>
      <c r="K15" s="35"/>
      <c r="L15" s="34" t="s">
        <v>31</v>
      </c>
      <c r="M15" s="34" t="str">
        <f>"86,4000"</f>
        <v>86,4000</v>
      </c>
      <c r="N15" s="18" t="s">
        <v>252</v>
      </c>
    </row>
    <row r="16" spans="1:14" ht="12.75">
      <c r="A16" s="27">
        <v>2</v>
      </c>
      <c r="B16" s="19" t="s">
        <v>125</v>
      </c>
      <c r="C16" s="19" t="s">
        <v>126</v>
      </c>
      <c r="D16" s="19" t="s">
        <v>236</v>
      </c>
      <c r="E16" s="19" t="str">
        <f>"0,7228"</f>
        <v>0,7228</v>
      </c>
      <c r="F16" s="19" t="s">
        <v>35</v>
      </c>
      <c r="G16" s="19" t="s">
        <v>344</v>
      </c>
      <c r="H16" s="47" t="s">
        <v>124</v>
      </c>
      <c r="I16" s="47" t="s">
        <v>124</v>
      </c>
      <c r="J16" s="46" t="s">
        <v>124</v>
      </c>
      <c r="K16" s="44"/>
      <c r="L16" s="45">
        <v>117.5</v>
      </c>
      <c r="M16" s="45" t="str">
        <f>"84,9290"</f>
        <v>84,9290</v>
      </c>
      <c r="N16" s="19" t="s">
        <v>210</v>
      </c>
    </row>
    <row r="17" spans="1:14" ht="12.75">
      <c r="A17" s="27">
        <v>3</v>
      </c>
      <c r="B17" s="20" t="s">
        <v>127</v>
      </c>
      <c r="C17" s="20" t="s">
        <v>128</v>
      </c>
      <c r="D17" s="20" t="s">
        <v>237</v>
      </c>
      <c r="E17" s="20" t="str">
        <f>"0,7398"</f>
        <v>0,7398</v>
      </c>
      <c r="F17" s="20" t="s">
        <v>21</v>
      </c>
      <c r="G17" s="20" t="s">
        <v>14</v>
      </c>
      <c r="H17" s="39" t="s">
        <v>29</v>
      </c>
      <c r="I17" s="39" t="s">
        <v>30</v>
      </c>
      <c r="J17" s="41" t="s">
        <v>124</v>
      </c>
      <c r="K17" s="37"/>
      <c r="L17" s="36" t="s">
        <v>30</v>
      </c>
      <c r="M17" s="36" t="str">
        <f>"81,3780"</f>
        <v>81,3780</v>
      </c>
      <c r="N17" s="20" t="s">
        <v>210</v>
      </c>
    </row>
    <row r="19" spans="2:13" ht="15.75">
      <c r="B19" s="112" t="s">
        <v>129</v>
      </c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M19" s="112"/>
    </row>
    <row r="20" spans="1:14" ht="12.75">
      <c r="A20" s="27">
        <v>1</v>
      </c>
      <c r="B20" s="18" t="s">
        <v>130</v>
      </c>
      <c r="C20" s="18" t="s">
        <v>131</v>
      </c>
      <c r="D20" s="18" t="s">
        <v>238</v>
      </c>
      <c r="E20" s="18" t="str">
        <f>"0,6882"</f>
        <v>0,6882</v>
      </c>
      <c r="F20" s="18" t="s">
        <v>35</v>
      </c>
      <c r="G20" s="18" t="s">
        <v>343</v>
      </c>
      <c r="H20" s="38" t="s">
        <v>50</v>
      </c>
      <c r="I20" s="38" t="s">
        <v>132</v>
      </c>
      <c r="J20" s="40" t="s">
        <v>133</v>
      </c>
      <c r="K20" s="35"/>
      <c r="L20" s="34">
        <v>132.5</v>
      </c>
      <c r="M20" s="34" t="str">
        <f>"91,1865"</f>
        <v>91,1865</v>
      </c>
      <c r="N20" s="18" t="s">
        <v>210</v>
      </c>
    </row>
    <row r="21" spans="1:14" ht="12.75">
      <c r="A21" s="27">
        <v>1</v>
      </c>
      <c r="B21" s="20" t="s">
        <v>134</v>
      </c>
      <c r="C21" s="20" t="s">
        <v>135</v>
      </c>
      <c r="D21" s="20" t="s">
        <v>239</v>
      </c>
      <c r="E21" s="20" t="str">
        <f>"0,6981"</f>
        <v>0,6981</v>
      </c>
      <c r="F21" s="20" t="s">
        <v>13</v>
      </c>
      <c r="G21" s="20" t="s">
        <v>14</v>
      </c>
      <c r="H21" s="39" t="s">
        <v>133</v>
      </c>
      <c r="I21" s="39" t="s">
        <v>136</v>
      </c>
      <c r="J21" s="39" t="s">
        <v>44</v>
      </c>
      <c r="K21" s="37"/>
      <c r="L21" s="36" t="s">
        <v>44</v>
      </c>
      <c r="M21" s="36" t="str">
        <f>"104,7150"</f>
        <v>104,7150</v>
      </c>
      <c r="N21" s="20" t="s">
        <v>210</v>
      </c>
    </row>
    <row r="23" spans="2:13" ht="15.75">
      <c r="B23" s="112" t="s">
        <v>46</v>
      </c>
      <c r="C23" s="112"/>
      <c r="D23" s="112"/>
      <c r="E23" s="112"/>
      <c r="F23" s="112"/>
      <c r="G23" s="112"/>
      <c r="H23" s="112"/>
      <c r="I23" s="112"/>
      <c r="J23" s="112"/>
      <c r="K23" s="112"/>
      <c r="L23" s="112"/>
      <c r="M23" s="112"/>
    </row>
    <row r="24" spans="1:14" ht="12.75">
      <c r="A24" s="27">
        <v>1</v>
      </c>
      <c r="B24" s="18" t="s">
        <v>137</v>
      </c>
      <c r="C24" s="18" t="s">
        <v>138</v>
      </c>
      <c r="D24" s="18" t="s">
        <v>240</v>
      </c>
      <c r="E24" s="18" t="str">
        <f>"0,6410"</f>
        <v>0,6410</v>
      </c>
      <c r="F24" s="18" t="s">
        <v>35</v>
      </c>
      <c r="G24" s="18" t="s">
        <v>345</v>
      </c>
      <c r="H24" s="38" t="s">
        <v>139</v>
      </c>
      <c r="I24" s="40" t="s">
        <v>43</v>
      </c>
      <c r="J24" s="38" t="s">
        <v>43</v>
      </c>
      <c r="K24" s="35"/>
      <c r="L24" s="34" t="s">
        <v>43</v>
      </c>
      <c r="M24" s="34" t="str">
        <f>"89,7400"</f>
        <v>89,7400</v>
      </c>
      <c r="N24" s="18" t="s">
        <v>210</v>
      </c>
    </row>
    <row r="25" spans="1:14" ht="12.75">
      <c r="A25" s="27">
        <v>2</v>
      </c>
      <c r="B25" s="19" t="s">
        <v>140</v>
      </c>
      <c r="C25" s="19" t="s">
        <v>141</v>
      </c>
      <c r="D25" s="19" t="s">
        <v>241</v>
      </c>
      <c r="E25" s="19" t="str">
        <f>"0,6579"</f>
        <v>0,6579</v>
      </c>
      <c r="F25" s="19" t="s">
        <v>35</v>
      </c>
      <c r="G25" s="19" t="s">
        <v>14</v>
      </c>
      <c r="H25" s="46" t="s">
        <v>31</v>
      </c>
      <c r="I25" s="46" t="s">
        <v>50</v>
      </c>
      <c r="J25" s="46" t="s">
        <v>132</v>
      </c>
      <c r="K25" s="44"/>
      <c r="L25" s="45">
        <v>132.5</v>
      </c>
      <c r="M25" s="45" t="str">
        <f>"87,1717"</f>
        <v>87,1717</v>
      </c>
      <c r="N25" s="19" t="s">
        <v>210</v>
      </c>
    </row>
    <row r="26" spans="1:14" ht="12.75">
      <c r="A26" s="27">
        <v>3</v>
      </c>
      <c r="B26" s="19" t="s">
        <v>142</v>
      </c>
      <c r="C26" s="19" t="s">
        <v>143</v>
      </c>
      <c r="D26" s="19" t="s">
        <v>242</v>
      </c>
      <c r="E26" s="19" t="str">
        <f>"0,6487"</f>
        <v>0,6487</v>
      </c>
      <c r="F26" s="19" t="s">
        <v>144</v>
      </c>
      <c r="G26" s="19" t="s">
        <v>14</v>
      </c>
      <c r="H26" s="46" t="s">
        <v>31</v>
      </c>
      <c r="I26" s="46" t="s">
        <v>50</v>
      </c>
      <c r="J26" s="46" t="s">
        <v>132</v>
      </c>
      <c r="K26" s="44"/>
      <c r="L26" s="45">
        <v>132.5</v>
      </c>
      <c r="M26" s="45" t="str">
        <f>"85,9527"</f>
        <v>85,9527</v>
      </c>
      <c r="N26" s="19" t="s">
        <v>253</v>
      </c>
    </row>
    <row r="27" spans="1:14" ht="12.75">
      <c r="A27" s="27">
        <v>4</v>
      </c>
      <c r="B27" s="20" t="s">
        <v>145</v>
      </c>
      <c r="C27" s="20" t="s">
        <v>146</v>
      </c>
      <c r="D27" s="20" t="s">
        <v>243</v>
      </c>
      <c r="E27" s="20" t="str">
        <f>"0,6424"</f>
        <v>0,6424</v>
      </c>
      <c r="F27" s="20" t="s">
        <v>147</v>
      </c>
      <c r="G27" s="20" t="s">
        <v>14</v>
      </c>
      <c r="H27" s="39" t="s">
        <v>50</v>
      </c>
      <c r="I27" s="39" t="s">
        <v>132</v>
      </c>
      <c r="J27" s="41" t="s">
        <v>133</v>
      </c>
      <c r="K27" s="37"/>
      <c r="L27" s="36">
        <v>132.5</v>
      </c>
      <c r="M27" s="36" t="str">
        <f>"85,1180"</f>
        <v>85,1180</v>
      </c>
      <c r="N27" s="20" t="s">
        <v>254</v>
      </c>
    </row>
    <row r="29" spans="2:13" ht="15.75">
      <c r="B29" s="112" t="s">
        <v>51</v>
      </c>
      <c r="C29" s="112"/>
      <c r="D29" s="112"/>
      <c r="E29" s="112"/>
      <c r="F29" s="112"/>
      <c r="G29" s="112"/>
      <c r="H29" s="112"/>
      <c r="I29" s="112"/>
      <c r="J29" s="112"/>
      <c r="K29" s="112"/>
      <c r="L29" s="112"/>
      <c r="M29" s="112"/>
    </row>
    <row r="30" spans="1:14" ht="12.75">
      <c r="A30" s="27">
        <v>1</v>
      </c>
      <c r="B30" s="18" t="s">
        <v>148</v>
      </c>
      <c r="C30" s="18" t="s">
        <v>149</v>
      </c>
      <c r="D30" s="18" t="s">
        <v>244</v>
      </c>
      <c r="E30" s="18" t="str">
        <f>"0,6250"</f>
        <v>0,6250</v>
      </c>
      <c r="F30" s="18" t="s">
        <v>94</v>
      </c>
      <c r="G30" s="18" t="s">
        <v>14</v>
      </c>
      <c r="H30" s="38" t="s">
        <v>133</v>
      </c>
      <c r="I30" s="40" t="s">
        <v>136</v>
      </c>
      <c r="J30" s="40" t="s">
        <v>150</v>
      </c>
      <c r="K30" s="35"/>
      <c r="L30" s="34">
        <v>137.5</v>
      </c>
      <c r="M30" s="34" t="str">
        <f>"85,9375"</f>
        <v>85,9375</v>
      </c>
      <c r="N30" s="18" t="s">
        <v>210</v>
      </c>
    </row>
    <row r="31" spans="2:14" ht="12.75">
      <c r="B31" s="20" t="s">
        <v>151</v>
      </c>
      <c r="C31" s="20" t="s">
        <v>152</v>
      </c>
      <c r="D31" s="20" t="s">
        <v>245</v>
      </c>
      <c r="E31" s="20" t="str">
        <f>"0,6217"</f>
        <v>0,6217</v>
      </c>
      <c r="F31" s="20" t="s">
        <v>35</v>
      </c>
      <c r="G31" s="20" t="s">
        <v>14</v>
      </c>
      <c r="H31" s="41" t="s">
        <v>136</v>
      </c>
      <c r="I31" s="41" t="s">
        <v>136</v>
      </c>
      <c r="J31" s="41" t="s">
        <v>136</v>
      </c>
      <c r="K31" s="37"/>
      <c r="L31" s="36">
        <v>0</v>
      </c>
      <c r="M31" s="36" t="s">
        <v>249</v>
      </c>
      <c r="N31" s="20" t="s">
        <v>210</v>
      </c>
    </row>
    <row r="33" spans="2:13" ht="15.75">
      <c r="B33" s="112" t="s">
        <v>77</v>
      </c>
      <c r="C33" s="112"/>
      <c r="D33" s="112"/>
      <c r="E33" s="112"/>
      <c r="F33" s="112"/>
      <c r="G33" s="112"/>
      <c r="H33" s="112"/>
      <c r="I33" s="112"/>
      <c r="J33" s="112"/>
      <c r="K33" s="112"/>
      <c r="L33" s="112"/>
      <c r="M33" s="112"/>
    </row>
    <row r="34" spans="1:14" ht="12.75">
      <c r="A34" s="27">
        <v>1</v>
      </c>
      <c r="B34" s="16" t="s">
        <v>153</v>
      </c>
      <c r="C34" s="16" t="s">
        <v>154</v>
      </c>
      <c r="D34" s="16" t="s">
        <v>246</v>
      </c>
      <c r="E34" s="16" t="str">
        <f>"0,5903"</f>
        <v>0,5903</v>
      </c>
      <c r="F34" s="16" t="s">
        <v>144</v>
      </c>
      <c r="G34" s="16" t="s">
        <v>14</v>
      </c>
      <c r="H34" s="31" t="s">
        <v>139</v>
      </c>
      <c r="I34" s="31" t="s">
        <v>43</v>
      </c>
      <c r="J34" s="31" t="s">
        <v>150</v>
      </c>
      <c r="K34" s="30"/>
      <c r="L34" s="29">
        <v>147.5</v>
      </c>
      <c r="M34" s="29" t="str">
        <f>"87,0693"</f>
        <v>87,0693</v>
      </c>
      <c r="N34" s="16" t="s">
        <v>210</v>
      </c>
    </row>
    <row r="36" spans="2:3" ht="18">
      <c r="B36" s="21" t="s">
        <v>98</v>
      </c>
      <c r="C36" s="21"/>
    </row>
    <row r="37" spans="2:3" ht="15.75">
      <c r="B37" s="22" t="s">
        <v>105</v>
      </c>
      <c r="C37" s="22"/>
    </row>
    <row r="38" spans="2:3" ht="13.5">
      <c r="B38" s="24"/>
      <c r="C38" s="25"/>
    </row>
    <row r="39" spans="2:6" ht="13.5">
      <c r="B39" s="26" t="s">
        <v>100</v>
      </c>
      <c r="C39" s="26" t="s">
        <v>101</v>
      </c>
      <c r="D39" s="26" t="s">
        <v>102</v>
      </c>
      <c r="E39" s="26" t="s">
        <v>103</v>
      </c>
      <c r="F39" s="26" t="s">
        <v>104</v>
      </c>
    </row>
    <row r="40" spans="1:6" ht="12.75">
      <c r="A40" s="27">
        <v>1</v>
      </c>
      <c r="B40" s="23" t="s">
        <v>134</v>
      </c>
      <c r="C40" s="42" t="s">
        <v>99</v>
      </c>
      <c r="D40" s="43" t="s">
        <v>248</v>
      </c>
      <c r="E40" s="43" t="s">
        <v>44</v>
      </c>
      <c r="F40" s="43" t="s">
        <v>155</v>
      </c>
    </row>
    <row r="41" spans="1:6" ht="12.75">
      <c r="A41" s="27">
        <v>2</v>
      </c>
      <c r="B41" s="23" t="s">
        <v>137</v>
      </c>
      <c r="C41" s="42" t="s">
        <v>99</v>
      </c>
      <c r="D41" s="43" t="s">
        <v>247</v>
      </c>
      <c r="E41" s="43" t="s">
        <v>43</v>
      </c>
      <c r="F41" s="43" t="s">
        <v>156</v>
      </c>
    </row>
    <row r="42" spans="1:6" ht="12.75">
      <c r="A42" s="27">
        <v>3</v>
      </c>
      <c r="B42" s="23" t="s">
        <v>140</v>
      </c>
      <c r="C42" s="42" t="s">
        <v>99</v>
      </c>
      <c r="D42" s="43" t="s">
        <v>247</v>
      </c>
      <c r="E42" s="43" t="s">
        <v>132</v>
      </c>
      <c r="F42" s="43" t="s">
        <v>157</v>
      </c>
    </row>
  </sheetData>
  <sheetProtection/>
  <mergeCells count="20">
    <mergeCell ref="A3:A4"/>
    <mergeCell ref="N3:N4"/>
    <mergeCell ref="B5:M5"/>
    <mergeCell ref="B8:M8"/>
    <mergeCell ref="B11:M11"/>
    <mergeCell ref="B1:N2"/>
    <mergeCell ref="B3:B4"/>
    <mergeCell ref="C3:C4"/>
    <mergeCell ref="D3:D4"/>
    <mergeCell ref="E3:E4"/>
    <mergeCell ref="F3:F4"/>
    <mergeCell ref="B14:M14"/>
    <mergeCell ref="B19:M19"/>
    <mergeCell ref="B23:M23"/>
    <mergeCell ref="B29:M29"/>
    <mergeCell ref="B33:M33"/>
    <mergeCell ref="L3:L4"/>
    <mergeCell ref="M3:M4"/>
    <mergeCell ref="G3:G4"/>
    <mergeCell ref="H3:K3"/>
  </mergeCells>
  <printOptions/>
  <pageMargins left="0.7" right="0.7" top="0.75" bottom="0.75" header="0.3" footer="0.3"/>
  <pageSetup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0"/>
  <sheetViews>
    <sheetView workbookViewId="0" topLeftCell="A1">
      <selection activeCell="C45" sqref="C45"/>
    </sheetView>
  </sheetViews>
  <sheetFormatPr defaultColWidth="9.125" defaultRowHeight="12.75"/>
  <cols>
    <col min="1" max="1" width="9.125" style="33" customWidth="1"/>
    <col min="2" max="2" width="28.25390625" style="52" bestFit="1" customWidth="1"/>
    <col min="3" max="3" width="27.125" style="5" bestFit="1" customWidth="1"/>
    <col min="4" max="4" width="10.625" style="1" bestFit="1" customWidth="1"/>
    <col min="5" max="5" width="8.375" style="1" bestFit="1" customWidth="1"/>
    <col min="6" max="6" width="22.75390625" style="5" bestFit="1" customWidth="1"/>
    <col min="7" max="7" width="29.25390625" style="5" bestFit="1" customWidth="1"/>
    <col min="8" max="11" width="5.625" style="1" bestFit="1" customWidth="1"/>
    <col min="12" max="12" width="11.125" style="4" customWidth="1"/>
    <col min="13" max="13" width="8.625" style="1" bestFit="1" customWidth="1"/>
    <col min="14" max="14" width="16.75390625" style="5" customWidth="1"/>
    <col min="15" max="16384" width="9.125" style="1" customWidth="1"/>
  </cols>
  <sheetData>
    <row r="1" spans="2:14" ht="15" customHeight="1">
      <c r="B1" s="95" t="s">
        <v>354</v>
      </c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7"/>
    </row>
    <row r="2" spans="2:14" ht="114.75" customHeight="1" thickBot="1">
      <c r="B2" s="98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100"/>
    </row>
    <row r="3" spans="1:14" s="2" customFormat="1" ht="12.75" customHeight="1">
      <c r="A3" s="108" t="s">
        <v>206</v>
      </c>
      <c r="B3" s="101" t="s">
        <v>0</v>
      </c>
      <c r="C3" s="113" t="s">
        <v>207</v>
      </c>
      <c r="D3" s="103" t="s">
        <v>208</v>
      </c>
      <c r="E3" s="105" t="s">
        <v>9</v>
      </c>
      <c r="F3" s="105" t="s">
        <v>7</v>
      </c>
      <c r="G3" s="106" t="s">
        <v>209</v>
      </c>
      <c r="H3" s="105" t="s">
        <v>2</v>
      </c>
      <c r="I3" s="105"/>
      <c r="J3" s="105"/>
      <c r="K3" s="105"/>
      <c r="L3" s="105" t="s">
        <v>230</v>
      </c>
      <c r="M3" s="105" t="s">
        <v>6</v>
      </c>
      <c r="N3" s="110" t="s">
        <v>5</v>
      </c>
    </row>
    <row r="4" spans="1:14" s="2" customFormat="1" ht="21" customHeight="1" thickBot="1">
      <c r="A4" s="109"/>
      <c r="B4" s="102"/>
      <c r="C4" s="114"/>
      <c r="D4" s="104"/>
      <c r="E4" s="104"/>
      <c r="F4" s="104"/>
      <c r="G4" s="107"/>
      <c r="H4" s="3">
        <v>1</v>
      </c>
      <c r="I4" s="3">
        <v>2</v>
      </c>
      <c r="J4" s="3">
        <v>3</v>
      </c>
      <c r="K4" s="3" t="s">
        <v>8</v>
      </c>
      <c r="L4" s="104"/>
      <c r="M4" s="104"/>
      <c r="N4" s="111"/>
    </row>
    <row r="5" spans="2:13" ht="15.75">
      <c r="B5" s="120" t="s">
        <v>10</v>
      </c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</row>
    <row r="6" spans="1:14" ht="12.75">
      <c r="A6" s="33" t="s">
        <v>255</v>
      </c>
      <c r="B6" s="48" t="s">
        <v>11</v>
      </c>
      <c r="C6" s="7" t="s">
        <v>12</v>
      </c>
      <c r="D6" s="7" t="s">
        <v>330</v>
      </c>
      <c r="E6" s="6" t="str">
        <f>"1,3244"</f>
        <v>1,3244</v>
      </c>
      <c r="F6" s="7" t="s">
        <v>13</v>
      </c>
      <c r="G6" s="7" t="s">
        <v>14</v>
      </c>
      <c r="H6" s="31" t="s">
        <v>15</v>
      </c>
      <c r="I6" s="31" t="s">
        <v>16</v>
      </c>
      <c r="J6" s="31" t="s">
        <v>17</v>
      </c>
      <c r="K6" s="62"/>
      <c r="L6" s="61" t="s">
        <v>17</v>
      </c>
      <c r="M6" s="61" t="str">
        <f>"82,7750"</f>
        <v>82,7750</v>
      </c>
      <c r="N6" s="7" t="s">
        <v>260</v>
      </c>
    </row>
    <row r="8" spans="2:13" ht="15.75">
      <c r="B8" s="121" t="s">
        <v>18</v>
      </c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</row>
    <row r="9" spans="1:14" ht="12.75">
      <c r="A9" s="33" t="s">
        <v>255</v>
      </c>
      <c r="B9" s="48" t="s">
        <v>19</v>
      </c>
      <c r="C9" s="7" t="s">
        <v>20</v>
      </c>
      <c r="D9" s="7" t="s">
        <v>331</v>
      </c>
      <c r="E9" s="6" t="str">
        <f>"1,1007"</f>
        <v>1,1007</v>
      </c>
      <c r="F9" s="7" t="s">
        <v>21</v>
      </c>
      <c r="G9" s="7" t="s">
        <v>14</v>
      </c>
      <c r="H9" s="31" t="s">
        <v>22</v>
      </c>
      <c r="I9" s="31" t="s">
        <v>23</v>
      </c>
      <c r="J9" s="31" t="s">
        <v>24</v>
      </c>
      <c r="K9" s="31" t="s">
        <v>25</v>
      </c>
      <c r="L9" s="61" t="s">
        <v>24</v>
      </c>
      <c r="M9" s="61" t="str">
        <f>"107,3183"</f>
        <v>107,3183</v>
      </c>
      <c r="N9" s="7" t="s">
        <v>261</v>
      </c>
    </row>
    <row r="11" spans="2:13" ht="15.75">
      <c r="B11" s="121" t="s">
        <v>18</v>
      </c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</row>
    <row r="12" spans="1:14" ht="12.75">
      <c r="A12" s="33" t="s">
        <v>255</v>
      </c>
      <c r="B12" s="48" t="s">
        <v>26</v>
      </c>
      <c r="C12" s="7" t="s">
        <v>27</v>
      </c>
      <c r="D12" s="7" t="s">
        <v>332</v>
      </c>
      <c r="E12" s="6" t="str">
        <f>"0,8144"</f>
        <v>0,8144</v>
      </c>
      <c r="F12" s="7" t="s">
        <v>28</v>
      </c>
      <c r="G12" s="7" t="s">
        <v>14</v>
      </c>
      <c r="H12" s="31" t="s">
        <v>29</v>
      </c>
      <c r="I12" s="31" t="s">
        <v>30</v>
      </c>
      <c r="J12" s="31" t="s">
        <v>31</v>
      </c>
      <c r="K12" s="62"/>
      <c r="L12" s="61" t="s">
        <v>31</v>
      </c>
      <c r="M12" s="61" t="str">
        <f>"97,7280"</f>
        <v>97,7280</v>
      </c>
      <c r="N12" s="7" t="s">
        <v>210</v>
      </c>
    </row>
    <row r="14" spans="2:13" ht="15.75">
      <c r="B14" s="121" t="s">
        <v>32</v>
      </c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112"/>
    </row>
    <row r="15" spans="2:14" ht="12.75">
      <c r="B15" s="49" t="s">
        <v>33</v>
      </c>
      <c r="C15" s="9" t="s">
        <v>34</v>
      </c>
      <c r="D15" s="9" t="s">
        <v>333</v>
      </c>
      <c r="E15" s="8" t="str">
        <f>"0,7278"</f>
        <v>0,7278</v>
      </c>
      <c r="F15" s="9" t="s">
        <v>35</v>
      </c>
      <c r="G15" s="9" t="s">
        <v>14</v>
      </c>
      <c r="H15" s="69" t="s">
        <v>36</v>
      </c>
      <c r="I15" s="69" t="s">
        <v>36</v>
      </c>
      <c r="J15" s="69" t="s">
        <v>36</v>
      </c>
      <c r="K15" s="63"/>
      <c r="L15" s="64" t="s">
        <v>249</v>
      </c>
      <c r="M15" s="64" t="s">
        <v>249</v>
      </c>
      <c r="N15" s="9" t="s">
        <v>210</v>
      </c>
    </row>
    <row r="16" spans="1:14" ht="12.75">
      <c r="A16" s="33" t="s">
        <v>255</v>
      </c>
      <c r="B16" s="50" t="s">
        <v>37</v>
      </c>
      <c r="C16" s="11" t="s">
        <v>38</v>
      </c>
      <c r="D16" s="11" t="s">
        <v>227</v>
      </c>
      <c r="E16" s="10" t="str">
        <f>"0,7330"</f>
        <v>0,7330</v>
      </c>
      <c r="F16" s="11" t="s">
        <v>13</v>
      </c>
      <c r="G16" s="11" t="s">
        <v>14</v>
      </c>
      <c r="H16" s="70" t="s">
        <v>39</v>
      </c>
      <c r="I16" s="70" t="s">
        <v>39</v>
      </c>
      <c r="J16" s="46" t="s">
        <v>39</v>
      </c>
      <c r="K16" s="65"/>
      <c r="L16" s="66" t="s">
        <v>39</v>
      </c>
      <c r="M16" s="66" t="str">
        <f>"84,2950"</f>
        <v>84,2950</v>
      </c>
      <c r="N16" s="11" t="s">
        <v>210</v>
      </c>
    </row>
    <row r="17" spans="1:14" ht="12.75">
      <c r="A17" s="33" t="s">
        <v>255</v>
      </c>
      <c r="B17" s="51" t="s">
        <v>40</v>
      </c>
      <c r="C17" s="13" t="s">
        <v>41</v>
      </c>
      <c r="D17" s="13" t="s">
        <v>216</v>
      </c>
      <c r="E17" s="12" t="str">
        <f>"0,7193"</f>
        <v>0,7193</v>
      </c>
      <c r="F17" s="13" t="s">
        <v>42</v>
      </c>
      <c r="G17" s="13" t="s">
        <v>14</v>
      </c>
      <c r="H17" s="39" t="s">
        <v>43</v>
      </c>
      <c r="I17" s="39" t="s">
        <v>44</v>
      </c>
      <c r="J17" s="39" t="s">
        <v>45</v>
      </c>
      <c r="K17" s="68"/>
      <c r="L17" s="67" t="s">
        <v>45</v>
      </c>
      <c r="M17" s="67" t="str">
        <f>"112,0490"</f>
        <v>112,0490</v>
      </c>
      <c r="N17" s="13" t="s">
        <v>210</v>
      </c>
    </row>
    <row r="19" spans="2:13" ht="15.75">
      <c r="B19" s="121" t="s">
        <v>46</v>
      </c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M19" s="112"/>
    </row>
    <row r="20" spans="1:14" ht="12.75">
      <c r="A20" s="33" t="s">
        <v>255</v>
      </c>
      <c r="B20" s="48" t="s">
        <v>47</v>
      </c>
      <c r="C20" s="7" t="s">
        <v>48</v>
      </c>
      <c r="D20" s="7" t="s">
        <v>334</v>
      </c>
      <c r="E20" s="6" t="str">
        <f>"0,6417"</f>
        <v>0,6417</v>
      </c>
      <c r="F20" s="7" t="s">
        <v>35</v>
      </c>
      <c r="G20" s="7" t="s">
        <v>49</v>
      </c>
      <c r="H20" s="31" t="s">
        <v>31</v>
      </c>
      <c r="I20" s="71" t="s">
        <v>50</v>
      </c>
      <c r="J20" s="31" t="s">
        <v>50</v>
      </c>
      <c r="K20" s="62"/>
      <c r="L20" s="61" t="s">
        <v>50</v>
      </c>
      <c r="M20" s="61" t="str">
        <f>"81,8168"</f>
        <v>81,8168</v>
      </c>
      <c r="N20" s="7" t="s">
        <v>210</v>
      </c>
    </row>
    <row r="22" spans="2:13" ht="15.75">
      <c r="B22" s="121" t="s">
        <v>51</v>
      </c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</row>
    <row r="23" spans="1:14" ht="12.75">
      <c r="A23" s="33" t="s">
        <v>255</v>
      </c>
      <c r="B23" s="49" t="s">
        <v>52</v>
      </c>
      <c r="C23" s="9" t="s">
        <v>53</v>
      </c>
      <c r="D23" s="9" t="s">
        <v>335</v>
      </c>
      <c r="E23" s="8" t="str">
        <f>"0,6211"</f>
        <v>0,6211</v>
      </c>
      <c r="F23" s="9" t="s">
        <v>35</v>
      </c>
      <c r="G23" s="9" t="s">
        <v>54</v>
      </c>
      <c r="H23" s="38" t="s">
        <v>55</v>
      </c>
      <c r="I23" s="38" t="s">
        <v>56</v>
      </c>
      <c r="J23" s="38" t="s">
        <v>57</v>
      </c>
      <c r="K23" s="69" t="s">
        <v>58</v>
      </c>
      <c r="L23" s="64" t="s">
        <v>57</v>
      </c>
      <c r="M23" s="64" t="str">
        <f>"121,1145"</f>
        <v>121,1145</v>
      </c>
      <c r="N23" s="9" t="s">
        <v>210</v>
      </c>
    </row>
    <row r="24" spans="1:14" ht="12.75">
      <c r="A24" s="33" t="s">
        <v>256</v>
      </c>
      <c r="B24" s="50" t="s">
        <v>59</v>
      </c>
      <c r="C24" s="11" t="s">
        <v>60</v>
      </c>
      <c r="D24" s="11" t="s">
        <v>336</v>
      </c>
      <c r="E24" s="10" t="str">
        <f>"0,6118"</f>
        <v>0,6118</v>
      </c>
      <c r="F24" s="11" t="s">
        <v>28</v>
      </c>
      <c r="G24" s="11" t="s">
        <v>14</v>
      </c>
      <c r="H24" s="46" t="s">
        <v>61</v>
      </c>
      <c r="I24" s="70" t="s">
        <v>55</v>
      </c>
      <c r="J24" s="70" t="s">
        <v>62</v>
      </c>
      <c r="K24" s="65"/>
      <c r="L24" s="66" t="s">
        <v>61</v>
      </c>
      <c r="M24" s="66" t="str">
        <f>"104,0060"</f>
        <v>104,0060</v>
      </c>
      <c r="N24" s="11" t="s">
        <v>210</v>
      </c>
    </row>
    <row r="25" spans="1:14" ht="12.75">
      <c r="A25" s="33" t="s">
        <v>255</v>
      </c>
      <c r="B25" s="50" t="s">
        <v>63</v>
      </c>
      <c r="C25" s="11" t="s">
        <v>64</v>
      </c>
      <c r="D25" s="11" t="s">
        <v>326</v>
      </c>
      <c r="E25" s="10" t="str">
        <f>"0,6111"</f>
        <v>0,6111</v>
      </c>
      <c r="F25" s="11" t="s">
        <v>28</v>
      </c>
      <c r="G25" s="11" t="s">
        <v>14</v>
      </c>
      <c r="H25" s="46" t="s">
        <v>55</v>
      </c>
      <c r="I25" s="70" t="s">
        <v>56</v>
      </c>
      <c r="J25" s="70" t="s">
        <v>56</v>
      </c>
      <c r="K25" s="65"/>
      <c r="L25" s="66" t="s">
        <v>55</v>
      </c>
      <c r="M25" s="66" t="str">
        <f>"109,9980"</f>
        <v>109,9980</v>
      </c>
      <c r="N25" s="11" t="s">
        <v>210</v>
      </c>
    </row>
    <row r="26" spans="1:14" ht="12.75">
      <c r="A26" s="33" t="s">
        <v>256</v>
      </c>
      <c r="B26" s="50" t="s">
        <v>65</v>
      </c>
      <c r="C26" s="11" t="s">
        <v>66</v>
      </c>
      <c r="D26" s="11" t="s">
        <v>222</v>
      </c>
      <c r="E26" s="10" t="str">
        <f>"0,6186"</f>
        <v>0,6186</v>
      </c>
      <c r="F26" s="11" t="s">
        <v>35</v>
      </c>
      <c r="G26" s="11" t="s">
        <v>54</v>
      </c>
      <c r="H26" s="46" t="s">
        <v>45</v>
      </c>
      <c r="I26" s="46" t="s">
        <v>67</v>
      </c>
      <c r="J26" s="72" t="s">
        <v>61</v>
      </c>
      <c r="K26" s="65"/>
      <c r="L26" s="66" t="s">
        <v>61</v>
      </c>
      <c r="M26" s="66" t="str">
        <f>"105,1620"</f>
        <v>105,1620</v>
      </c>
      <c r="N26" s="11" t="s">
        <v>210</v>
      </c>
    </row>
    <row r="27" spans="1:14" ht="12.75">
      <c r="A27" s="33" t="s">
        <v>257</v>
      </c>
      <c r="B27" s="50" t="s">
        <v>68</v>
      </c>
      <c r="C27" s="11" t="s">
        <v>69</v>
      </c>
      <c r="D27" s="11" t="s">
        <v>337</v>
      </c>
      <c r="E27" s="10" t="str">
        <f>"0,6121"</f>
        <v>0,6121</v>
      </c>
      <c r="F27" s="11" t="s">
        <v>28</v>
      </c>
      <c r="G27" s="11" t="s">
        <v>14</v>
      </c>
      <c r="H27" s="46" t="s">
        <v>70</v>
      </c>
      <c r="I27" s="46" t="s">
        <v>61</v>
      </c>
      <c r="J27" s="70" t="s">
        <v>62</v>
      </c>
      <c r="K27" s="65"/>
      <c r="L27" s="66" t="s">
        <v>61</v>
      </c>
      <c r="M27" s="66" t="str">
        <f>"104,0570"</f>
        <v>104,0570</v>
      </c>
      <c r="N27" s="11" t="s">
        <v>210</v>
      </c>
    </row>
    <row r="28" spans="1:14" ht="12.75">
      <c r="A28" s="33" t="s">
        <v>255</v>
      </c>
      <c r="B28" s="50" t="s">
        <v>71</v>
      </c>
      <c r="C28" s="11" t="s">
        <v>72</v>
      </c>
      <c r="D28" s="11" t="s">
        <v>326</v>
      </c>
      <c r="E28" s="10" t="str">
        <f>"0,6111"</f>
        <v>0,6111</v>
      </c>
      <c r="F28" s="11" t="s">
        <v>35</v>
      </c>
      <c r="G28" s="11" t="s">
        <v>14</v>
      </c>
      <c r="H28" s="46" t="s">
        <v>73</v>
      </c>
      <c r="I28" s="46" t="s">
        <v>62</v>
      </c>
      <c r="J28" s="65"/>
      <c r="K28" s="65"/>
      <c r="L28" s="66" t="s">
        <v>62</v>
      </c>
      <c r="M28" s="66" t="str">
        <f>"116,2190"</f>
        <v>116,2190</v>
      </c>
      <c r="N28" s="11" t="s">
        <v>210</v>
      </c>
    </row>
    <row r="29" spans="1:14" ht="12.75">
      <c r="A29" s="33" t="s">
        <v>255</v>
      </c>
      <c r="B29" s="51" t="s">
        <v>74</v>
      </c>
      <c r="C29" s="13" t="s">
        <v>75</v>
      </c>
      <c r="D29" s="13" t="s">
        <v>23</v>
      </c>
      <c r="E29" s="12" t="str">
        <f>"0,6220"</f>
        <v>0,6220</v>
      </c>
      <c r="F29" s="13" t="s">
        <v>35</v>
      </c>
      <c r="G29" s="13" t="s">
        <v>14</v>
      </c>
      <c r="H29" s="39" t="s">
        <v>39</v>
      </c>
      <c r="I29" s="39" t="s">
        <v>76</v>
      </c>
      <c r="J29" s="39" t="s">
        <v>50</v>
      </c>
      <c r="K29" s="68"/>
      <c r="L29" s="67" t="s">
        <v>50</v>
      </c>
      <c r="M29" s="67" t="str">
        <f>"85,4908"</f>
        <v>85,4908</v>
      </c>
      <c r="N29" s="13" t="s">
        <v>210</v>
      </c>
    </row>
    <row r="31" spans="2:13" ht="15.75">
      <c r="B31" s="121" t="s">
        <v>77</v>
      </c>
      <c r="C31" s="112"/>
      <c r="D31" s="112"/>
      <c r="E31" s="112"/>
      <c r="F31" s="112"/>
      <c r="G31" s="112"/>
      <c r="H31" s="112"/>
      <c r="I31" s="112"/>
      <c r="J31" s="112"/>
      <c r="K31" s="112"/>
      <c r="L31" s="112"/>
      <c r="M31" s="112"/>
    </row>
    <row r="32" spans="1:14" ht="12.75">
      <c r="A32" s="33" t="s">
        <v>255</v>
      </c>
      <c r="B32" s="49" t="s">
        <v>78</v>
      </c>
      <c r="C32" s="9" t="s">
        <v>79</v>
      </c>
      <c r="D32" s="9" t="s">
        <v>338</v>
      </c>
      <c r="E32" s="8" t="str">
        <f>"0,5933"</f>
        <v>0,5933</v>
      </c>
      <c r="F32" s="9" t="s">
        <v>35</v>
      </c>
      <c r="G32" s="9" t="s">
        <v>14</v>
      </c>
      <c r="H32" s="38" t="s">
        <v>67</v>
      </c>
      <c r="I32" s="69" t="s">
        <v>80</v>
      </c>
      <c r="J32" s="69" t="s">
        <v>80</v>
      </c>
      <c r="K32" s="63"/>
      <c r="L32" s="64" t="s">
        <v>67</v>
      </c>
      <c r="M32" s="64" t="str">
        <f>"97,8945"</f>
        <v>97,8945</v>
      </c>
      <c r="N32" s="9" t="s">
        <v>210</v>
      </c>
    </row>
    <row r="33" spans="1:14" ht="12.75">
      <c r="A33" s="33" t="s">
        <v>255</v>
      </c>
      <c r="B33" s="50" t="s">
        <v>81</v>
      </c>
      <c r="C33" s="11" t="s">
        <v>82</v>
      </c>
      <c r="D33" s="11" t="s">
        <v>274</v>
      </c>
      <c r="E33" s="10" t="str">
        <f>"0,6006"</f>
        <v>0,6006</v>
      </c>
      <c r="F33" s="11" t="s">
        <v>21</v>
      </c>
      <c r="G33" s="11" t="s">
        <v>14</v>
      </c>
      <c r="H33" s="46" t="s">
        <v>83</v>
      </c>
      <c r="I33" s="46" t="s">
        <v>84</v>
      </c>
      <c r="J33" s="46" t="s">
        <v>85</v>
      </c>
      <c r="K33" s="65"/>
      <c r="L33" s="66" t="s">
        <v>85</v>
      </c>
      <c r="M33" s="66" t="str">
        <f>"138,1380"</f>
        <v>138,1380</v>
      </c>
      <c r="N33" s="11" t="s">
        <v>210</v>
      </c>
    </row>
    <row r="34" spans="1:14" ht="12.75">
      <c r="A34" s="33" t="s">
        <v>256</v>
      </c>
      <c r="B34" s="50" t="s">
        <v>86</v>
      </c>
      <c r="C34" s="11" t="s">
        <v>87</v>
      </c>
      <c r="D34" s="11" t="s">
        <v>339</v>
      </c>
      <c r="E34" s="10" t="str">
        <f>"0,5924"</f>
        <v>0,5924</v>
      </c>
      <c r="F34" s="11" t="s">
        <v>21</v>
      </c>
      <c r="G34" s="11" t="s">
        <v>14</v>
      </c>
      <c r="H34" s="46" t="s">
        <v>88</v>
      </c>
      <c r="I34" s="46" t="s">
        <v>73</v>
      </c>
      <c r="J34" s="46" t="s">
        <v>62</v>
      </c>
      <c r="K34" s="65"/>
      <c r="L34" s="66" t="s">
        <v>62</v>
      </c>
      <c r="M34" s="66" t="str">
        <f>"109,5940"</f>
        <v>109,5940</v>
      </c>
      <c r="N34" s="11" t="s">
        <v>210</v>
      </c>
    </row>
    <row r="35" spans="1:14" ht="12.75">
      <c r="A35" s="33" t="s">
        <v>257</v>
      </c>
      <c r="B35" s="51" t="s">
        <v>89</v>
      </c>
      <c r="C35" s="13" t="s">
        <v>90</v>
      </c>
      <c r="D35" s="13" t="s">
        <v>340</v>
      </c>
      <c r="E35" s="12" t="str">
        <f>"0,5941"</f>
        <v>0,5941</v>
      </c>
      <c r="F35" s="13" t="s">
        <v>21</v>
      </c>
      <c r="G35" s="13" t="s">
        <v>14</v>
      </c>
      <c r="H35" s="73" t="s">
        <v>44</v>
      </c>
      <c r="I35" s="39" t="s">
        <v>44</v>
      </c>
      <c r="J35" s="39" t="s">
        <v>45</v>
      </c>
      <c r="K35" s="68"/>
      <c r="L35" s="67" t="s">
        <v>45</v>
      </c>
      <c r="M35" s="67" t="str">
        <f>"92,0855"</f>
        <v>92,0855</v>
      </c>
      <c r="N35" s="13" t="s">
        <v>262</v>
      </c>
    </row>
    <row r="37" spans="2:13" ht="15.75">
      <c r="B37" s="121" t="s">
        <v>91</v>
      </c>
      <c r="C37" s="112"/>
      <c r="D37" s="112"/>
      <c r="E37" s="112"/>
      <c r="F37" s="112"/>
      <c r="G37" s="112"/>
      <c r="H37" s="112"/>
      <c r="I37" s="112"/>
      <c r="J37" s="112"/>
      <c r="K37" s="112"/>
      <c r="L37" s="112"/>
      <c r="M37" s="112"/>
    </row>
    <row r="38" spans="1:14" ht="12.75">
      <c r="A38" s="33" t="s">
        <v>255</v>
      </c>
      <c r="B38" s="48" t="s">
        <v>92</v>
      </c>
      <c r="C38" s="7" t="s">
        <v>93</v>
      </c>
      <c r="D38" s="7" t="s">
        <v>341</v>
      </c>
      <c r="E38" s="6" t="str">
        <f>"0,5852"</f>
        <v>0,5852</v>
      </c>
      <c r="F38" s="7" t="s">
        <v>94</v>
      </c>
      <c r="G38" s="7" t="s">
        <v>14</v>
      </c>
      <c r="H38" s="31" t="s">
        <v>83</v>
      </c>
      <c r="I38" s="71" t="s">
        <v>84</v>
      </c>
      <c r="J38" s="71" t="s">
        <v>84</v>
      </c>
      <c r="K38" s="62"/>
      <c r="L38" s="61" t="s">
        <v>83</v>
      </c>
      <c r="M38" s="61" t="str">
        <f>"128,7440"</f>
        <v>128,7440</v>
      </c>
      <c r="N38" s="7" t="s">
        <v>210</v>
      </c>
    </row>
    <row r="40" spans="2:13" ht="15.75">
      <c r="B40" s="121" t="s">
        <v>95</v>
      </c>
      <c r="C40" s="112"/>
      <c r="D40" s="112"/>
      <c r="E40" s="112"/>
      <c r="F40" s="112"/>
      <c r="G40" s="112"/>
      <c r="H40" s="112"/>
      <c r="I40" s="112"/>
      <c r="J40" s="112"/>
      <c r="K40" s="112"/>
      <c r="L40" s="112"/>
      <c r="M40" s="112"/>
    </row>
    <row r="41" spans="1:14" ht="12.75">
      <c r="A41" s="33" t="s">
        <v>255</v>
      </c>
      <c r="B41" s="48" t="s">
        <v>96</v>
      </c>
      <c r="C41" s="7" t="s">
        <v>97</v>
      </c>
      <c r="D41" s="7" t="s">
        <v>342</v>
      </c>
      <c r="E41" s="6" t="str">
        <f>"0,5615"</f>
        <v>0,5615</v>
      </c>
      <c r="F41" s="7" t="s">
        <v>13</v>
      </c>
      <c r="G41" s="7" t="s">
        <v>14</v>
      </c>
      <c r="H41" s="71" t="s">
        <v>43</v>
      </c>
      <c r="I41" s="71" t="s">
        <v>43</v>
      </c>
      <c r="J41" s="31" t="s">
        <v>43</v>
      </c>
      <c r="K41" s="62"/>
      <c r="L41" s="61" t="s">
        <v>43</v>
      </c>
      <c r="M41" s="61" t="str">
        <f>"78,6100"</f>
        <v>78,6100</v>
      </c>
      <c r="N41" s="7" t="s">
        <v>260</v>
      </c>
    </row>
    <row r="43" spans="2:3" ht="18">
      <c r="B43" s="53" t="s">
        <v>98</v>
      </c>
      <c r="C43" s="53"/>
    </row>
    <row r="44" spans="2:3" ht="15.75">
      <c r="B44" s="54" t="s">
        <v>105</v>
      </c>
      <c r="C44" s="54"/>
    </row>
    <row r="45" spans="2:3" ht="13.5">
      <c r="B45" s="55"/>
      <c r="C45" s="59"/>
    </row>
    <row r="46" spans="2:6" ht="13.5">
      <c r="B46" s="56" t="s">
        <v>100</v>
      </c>
      <c r="C46" s="60" t="s">
        <v>101</v>
      </c>
      <c r="D46" s="14" t="s">
        <v>102</v>
      </c>
      <c r="E46" s="14" t="s">
        <v>103</v>
      </c>
      <c r="F46" s="14" t="s">
        <v>104</v>
      </c>
    </row>
    <row r="47" spans="1:6" ht="12.75">
      <c r="A47" s="33" t="s">
        <v>255</v>
      </c>
      <c r="B47" s="57" t="s">
        <v>81</v>
      </c>
      <c r="C47" s="58" t="s">
        <v>99</v>
      </c>
      <c r="D47" s="33" t="s">
        <v>258</v>
      </c>
      <c r="E47" s="33" t="s">
        <v>85</v>
      </c>
      <c r="F47" s="33" t="s">
        <v>106</v>
      </c>
    </row>
    <row r="48" spans="1:6" ht="12.75">
      <c r="A48" s="33" t="s">
        <v>256</v>
      </c>
      <c r="B48" s="57" t="s">
        <v>92</v>
      </c>
      <c r="C48" s="58" t="s">
        <v>99</v>
      </c>
      <c r="D48" s="33" t="s">
        <v>36</v>
      </c>
      <c r="E48" s="33" t="s">
        <v>83</v>
      </c>
      <c r="F48" s="33" t="s">
        <v>107</v>
      </c>
    </row>
    <row r="49" spans="1:6" ht="12.75">
      <c r="A49" s="33" t="s">
        <v>257</v>
      </c>
      <c r="B49" s="57" t="s">
        <v>63</v>
      </c>
      <c r="C49" s="58" t="s">
        <v>99</v>
      </c>
      <c r="D49" s="33" t="s">
        <v>259</v>
      </c>
      <c r="E49" s="33" t="s">
        <v>55</v>
      </c>
      <c r="F49" s="33" t="s">
        <v>108</v>
      </c>
    </row>
    <row r="50" spans="4:5" ht="12.75">
      <c r="D50" s="33"/>
      <c r="E50" s="33"/>
    </row>
  </sheetData>
  <sheetProtection/>
  <mergeCells count="21">
    <mergeCell ref="B1:N2"/>
    <mergeCell ref="H3:K3"/>
    <mergeCell ref="B3:B4"/>
    <mergeCell ref="C3:C4"/>
    <mergeCell ref="D3:D4"/>
    <mergeCell ref="A3:A4"/>
    <mergeCell ref="N3:N4"/>
    <mergeCell ref="G3:G4"/>
    <mergeCell ref="F3:F4"/>
    <mergeCell ref="B5:M5"/>
    <mergeCell ref="B8:M8"/>
    <mergeCell ref="B11:M11"/>
    <mergeCell ref="E3:E4"/>
    <mergeCell ref="L3:L4"/>
    <mergeCell ref="M3:M4"/>
    <mergeCell ref="B14:M14"/>
    <mergeCell ref="B19:M19"/>
    <mergeCell ref="B22:M22"/>
    <mergeCell ref="B31:M31"/>
    <mergeCell ref="B37:M37"/>
    <mergeCell ref="B40:M40"/>
  </mergeCells>
  <printOptions/>
  <pageMargins left="0.1968503937007874" right="0.4724409448818898" top="0.4330708661417323" bottom="0.4724409448818898" header="0.5118110236220472" footer="0.5118110236220472"/>
  <pageSetup fitToHeight="100" fitToWidth="1" horizontalDpi="300" verticalDpi="300" orientation="landscape" scale="58"/>
  <headerFooter alignWithMargins="0">
    <oddFooter>&amp;L&amp;G&amp;R&amp;D&amp;T&amp;P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9"/>
  <sheetViews>
    <sheetView workbookViewId="0" topLeftCell="A1">
      <selection activeCell="F36" sqref="F36"/>
    </sheetView>
  </sheetViews>
  <sheetFormatPr defaultColWidth="9.125" defaultRowHeight="12.75"/>
  <cols>
    <col min="1" max="1" width="9.125" style="1" customWidth="1"/>
    <col min="2" max="2" width="24.125" style="4" customWidth="1"/>
    <col min="3" max="3" width="26.125" style="1" customWidth="1"/>
    <col min="4" max="4" width="10.625" style="1" bestFit="1" customWidth="1"/>
    <col min="5" max="5" width="8.375" style="1" bestFit="1" customWidth="1"/>
    <col min="6" max="6" width="22.75390625" style="5" bestFit="1" customWidth="1"/>
    <col min="7" max="7" width="26.00390625" style="5" bestFit="1" customWidth="1"/>
    <col min="8" max="10" width="4.625" style="1" bestFit="1" customWidth="1"/>
    <col min="11" max="11" width="7.875" style="4" bestFit="1" customWidth="1"/>
    <col min="12" max="12" width="7.625" style="1" bestFit="1" customWidth="1"/>
    <col min="13" max="13" width="15.375" style="5" bestFit="1" customWidth="1"/>
    <col min="14" max="16384" width="9.125" style="1" customWidth="1"/>
  </cols>
  <sheetData>
    <row r="1" spans="2:13" ht="15" customHeight="1">
      <c r="B1" s="95" t="s">
        <v>327</v>
      </c>
      <c r="C1" s="96"/>
      <c r="D1" s="96"/>
      <c r="E1" s="96"/>
      <c r="F1" s="96"/>
      <c r="G1" s="96"/>
      <c r="H1" s="96"/>
      <c r="I1" s="96"/>
      <c r="J1" s="96"/>
      <c r="K1" s="96"/>
      <c r="L1" s="96"/>
      <c r="M1" s="97"/>
    </row>
    <row r="2" spans="2:13" ht="108.75" customHeight="1" thickBot="1">
      <c r="B2" s="98"/>
      <c r="C2" s="99"/>
      <c r="D2" s="99"/>
      <c r="E2" s="99"/>
      <c r="F2" s="99"/>
      <c r="G2" s="99"/>
      <c r="H2" s="99"/>
      <c r="I2" s="99"/>
      <c r="J2" s="99"/>
      <c r="K2" s="99"/>
      <c r="L2" s="99"/>
      <c r="M2" s="100"/>
    </row>
    <row r="3" spans="1:13" s="2" customFormat="1" ht="12.75" customHeight="1">
      <c r="A3" s="108" t="s">
        <v>206</v>
      </c>
      <c r="B3" s="101" t="s">
        <v>0</v>
      </c>
      <c r="C3" s="113" t="s">
        <v>207</v>
      </c>
      <c r="D3" s="103" t="s">
        <v>208</v>
      </c>
      <c r="E3" s="105" t="s">
        <v>263</v>
      </c>
      <c r="F3" s="105" t="s">
        <v>7</v>
      </c>
      <c r="G3" s="106" t="s">
        <v>209</v>
      </c>
      <c r="H3" s="106" t="s">
        <v>3</v>
      </c>
      <c r="I3" s="119"/>
      <c r="J3" s="119"/>
      <c r="K3" s="105" t="s">
        <v>4</v>
      </c>
      <c r="L3" s="105" t="s">
        <v>6</v>
      </c>
      <c r="M3" s="110" t="s">
        <v>5</v>
      </c>
    </row>
    <row r="4" spans="1:13" s="2" customFormat="1" ht="21" customHeight="1" thickBot="1">
      <c r="A4" s="109"/>
      <c r="B4" s="102"/>
      <c r="C4" s="114"/>
      <c r="D4" s="104"/>
      <c r="E4" s="104"/>
      <c r="F4" s="104"/>
      <c r="G4" s="107"/>
      <c r="H4" s="3">
        <v>1</v>
      </c>
      <c r="I4" s="3">
        <v>2</v>
      </c>
      <c r="J4" s="3">
        <v>3</v>
      </c>
      <c r="K4" s="104"/>
      <c r="L4" s="104"/>
      <c r="M4" s="111"/>
    </row>
    <row r="5" spans="2:12" ht="15.75">
      <c r="B5" s="120" t="s">
        <v>322</v>
      </c>
      <c r="C5" s="94"/>
      <c r="D5" s="94"/>
      <c r="E5" s="94"/>
      <c r="F5" s="94"/>
      <c r="G5" s="94"/>
      <c r="H5" s="94"/>
      <c r="I5" s="94"/>
      <c r="J5" s="94"/>
      <c r="K5" s="94"/>
      <c r="L5" s="94"/>
    </row>
    <row r="6" spans="1:13" ht="12.75">
      <c r="A6" s="33" t="s">
        <v>255</v>
      </c>
      <c r="B6" s="48" t="s">
        <v>295</v>
      </c>
      <c r="C6" s="7" t="s">
        <v>296</v>
      </c>
      <c r="D6" s="7" t="s">
        <v>301</v>
      </c>
      <c r="E6" s="6" t="str">
        <f>"0,6641"</f>
        <v>0,6641</v>
      </c>
      <c r="F6" s="7" t="s">
        <v>28</v>
      </c>
      <c r="G6" s="7" t="s">
        <v>14</v>
      </c>
      <c r="H6" s="31" t="s">
        <v>323</v>
      </c>
      <c r="I6" s="31" t="s">
        <v>324</v>
      </c>
      <c r="J6" s="31" t="s">
        <v>298</v>
      </c>
      <c r="K6" s="61" t="s">
        <v>298</v>
      </c>
      <c r="L6" s="61" t="str">
        <f>"36,5255"</f>
        <v>36,5255</v>
      </c>
      <c r="M6" s="7" t="s">
        <v>210</v>
      </c>
    </row>
    <row r="8" spans="2:12" ht="15.75">
      <c r="B8" s="121" t="s">
        <v>51</v>
      </c>
      <c r="C8" s="112"/>
      <c r="D8" s="112"/>
      <c r="E8" s="112"/>
      <c r="F8" s="112"/>
      <c r="G8" s="112"/>
      <c r="H8" s="112"/>
      <c r="I8" s="112"/>
      <c r="J8" s="112"/>
      <c r="K8" s="112"/>
      <c r="L8" s="112"/>
    </row>
    <row r="9" spans="1:13" ht="12.75">
      <c r="A9" s="33" t="s">
        <v>255</v>
      </c>
      <c r="B9" s="48" t="s">
        <v>63</v>
      </c>
      <c r="C9" s="7" t="s">
        <v>64</v>
      </c>
      <c r="D9" s="7" t="s">
        <v>326</v>
      </c>
      <c r="E9" s="6" t="str">
        <f>"0,5838"</f>
        <v>0,5838</v>
      </c>
      <c r="F9" s="7" t="s">
        <v>28</v>
      </c>
      <c r="G9" s="7" t="s">
        <v>14</v>
      </c>
      <c r="H9" s="31" t="s">
        <v>323</v>
      </c>
      <c r="I9" s="71" t="s">
        <v>325</v>
      </c>
      <c r="J9" s="62"/>
      <c r="K9" s="61" t="s">
        <v>323</v>
      </c>
      <c r="L9" s="61" t="str">
        <f>"29,4819"</f>
        <v>29,4819</v>
      </c>
      <c r="M9" s="7" t="s">
        <v>210</v>
      </c>
    </row>
  </sheetData>
  <sheetProtection/>
  <mergeCells count="14">
    <mergeCell ref="G3:G4"/>
    <mergeCell ref="H3:J3"/>
    <mergeCell ref="K3:K4"/>
    <mergeCell ref="L3:L4"/>
    <mergeCell ref="M3:M4"/>
    <mergeCell ref="B5:L5"/>
    <mergeCell ref="B8:L8"/>
    <mergeCell ref="A3:A4"/>
    <mergeCell ref="B1:M2"/>
    <mergeCell ref="B3:B4"/>
    <mergeCell ref="C3:C4"/>
    <mergeCell ref="D3:D4"/>
    <mergeCell ref="E3:E4"/>
    <mergeCell ref="F3:F4"/>
  </mergeCells>
  <printOptions/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R6"/>
  <sheetViews>
    <sheetView workbookViewId="0" topLeftCell="A1">
      <selection activeCell="G20" sqref="G20"/>
    </sheetView>
  </sheetViews>
  <sheetFormatPr defaultColWidth="8.75390625" defaultRowHeight="12.75"/>
  <cols>
    <col min="1" max="1" width="8.75390625" style="0" customWidth="1"/>
    <col min="2" max="2" width="18.125" style="15" customWidth="1"/>
    <col min="3" max="3" width="26.625" style="15" customWidth="1"/>
    <col min="4" max="4" width="10.625" style="15" bestFit="1" customWidth="1"/>
    <col min="5" max="5" width="8.375" style="15" bestFit="1" customWidth="1"/>
    <col min="6" max="6" width="22.75390625" style="15" bestFit="1" customWidth="1"/>
    <col min="7" max="7" width="26.00390625" style="15" bestFit="1" customWidth="1"/>
    <col min="8" max="10" width="4.625" style="15" bestFit="1" customWidth="1"/>
    <col min="11" max="11" width="6.25390625" style="15" customWidth="1"/>
    <col min="12" max="15" width="4.625" style="15" bestFit="1" customWidth="1"/>
    <col min="16" max="16" width="7.875" style="15" bestFit="1" customWidth="1"/>
    <col min="17" max="17" width="7.625" style="15" bestFit="1" customWidth="1"/>
    <col min="18" max="18" width="15.375" style="15" bestFit="1" customWidth="1"/>
  </cols>
  <sheetData>
    <row r="1" spans="2:18" s="1" customFormat="1" ht="15" customHeight="1">
      <c r="B1" s="95" t="s">
        <v>358</v>
      </c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7"/>
    </row>
    <row r="2" spans="2:18" s="1" customFormat="1" ht="90" customHeight="1" thickBot="1">
      <c r="B2" s="98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100"/>
    </row>
    <row r="3" spans="1:18" s="2" customFormat="1" ht="12.75" customHeight="1">
      <c r="A3" s="108" t="s">
        <v>206</v>
      </c>
      <c r="B3" s="101" t="s">
        <v>0</v>
      </c>
      <c r="C3" s="113" t="s">
        <v>207</v>
      </c>
      <c r="D3" s="103" t="s">
        <v>208</v>
      </c>
      <c r="E3" s="105" t="s">
        <v>263</v>
      </c>
      <c r="F3" s="105" t="s">
        <v>7</v>
      </c>
      <c r="G3" s="106" t="s">
        <v>209</v>
      </c>
      <c r="H3" s="105" t="s">
        <v>293</v>
      </c>
      <c r="I3" s="105"/>
      <c r="J3" s="105"/>
      <c r="K3" s="105"/>
      <c r="L3" s="105" t="s">
        <v>294</v>
      </c>
      <c r="M3" s="105"/>
      <c r="N3" s="105"/>
      <c r="O3" s="105"/>
      <c r="P3" s="105" t="s">
        <v>4</v>
      </c>
      <c r="Q3" s="105" t="s">
        <v>6</v>
      </c>
      <c r="R3" s="110" t="s">
        <v>5</v>
      </c>
    </row>
    <row r="4" spans="1:18" s="2" customFormat="1" ht="21" customHeight="1" thickBot="1">
      <c r="A4" s="109"/>
      <c r="B4" s="102"/>
      <c r="C4" s="114"/>
      <c r="D4" s="104"/>
      <c r="E4" s="104"/>
      <c r="F4" s="104"/>
      <c r="G4" s="107"/>
      <c r="H4" s="3">
        <v>1</v>
      </c>
      <c r="I4" s="3">
        <v>2</v>
      </c>
      <c r="J4" s="3">
        <v>3</v>
      </c>
      <c r="K4" s="3" t="s">
        <v>8</v>
      </c>
      <c r="L4" s="3">
        <v>1</v>
      </c>
      <c r="M4" s="3">
        <v>2</v>
      </c>
      <c r="N4" s="3">
        <v>3</v>
      </c>
      <c r="O4" s="3" t="s">
        <v>8</v>
      </c>
      <c r="P4" s="104"/>
      <c r="Q4" s="104"/>
      <c r="R4" s="111"/>
    </row>
    <row r="5" spans="2:17" ht="15.75">
      <c r="B5" s="94" t="s">
        <v>129</v>
      </c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</row>
    <row r="6" spans="1:18" ht="12.75">
      <c r="A6" s="27">
        <v>1</v>
      </c>
      <c r="B6" s="16" t="s">
        <v>295</v>
      </c>
      <c r="C6" s="16" t="s">
        <v>296</v>
      </c>
      <c r="D6" s="16" t="s">
        <v>301</v>
      </c>
      <c r="E6" s="16" t="str">
        <f>"0,6641"</f>
        <v>0,6641</v>
      </c>
      <c r="F6" s="16" t="s">
        <v>28</v>
      </c>
      <c r="G6" s="16" t="s">
        <v>14</v>
      </c>
      <c r="H6" s="71" t="s">
        <v>297</v>
      </c>
      <c r="I6" s="31" t="s">
        <v>298</v>
      </c>
      <c r="J6" s="31" t="s">
        <v>299</v>
      </c>
      <c r="K6" s="62"/>
      <c r="L6" s="31" t="s">
        <v>177</v>
      </c>
      <c r="M6" s="31" t="s">
        <v>297</v>
      </c>
      <c r="N6" s="71" t="s">
        <v>178</v>
      </c>
      <c r="O6" s="62"/>
      <c r="P6" s="61" t="s">
        <v>300</v>
      </c>
      <c r="Q6" s="61" t="str">
        <f>"71,0587"</f>
        <v>71,0587</v>
      </c>
      <c r="R6" s="16" t="s">
        <v>210</v>
      </c>
    </row>
  </sheetData>
  <sheetProtection/>
  <mergeCells count="14">
    <mergeCell ref="G3:G4"/>
    <mergeCell ref="H3:K3"/>
    <mergeCell ref="L3:O3"/>
    <mergeCell ref="P3:P4"/>
    <mergeCell ref="Q3:Q4"/>
    <mergeCell ref="R3:R4"/>
    <mergeCell ref="B5:Q5"/>
    <mergeCell ref="A3:A4"/>
    <mergeCell ref="B1:R2"/>
    <mergeCell ref="B3:B4"/>
    <mergeCell ref="C3:C4"/>
    <mergeCell ref="D3:D4"/>
    <mergeCell ref="E3:E4"/>
    <mergeCell ref="F3:F4"/>
  </mergeCells>
  <printOptions/>
  <pageMargins left="0.7" right="0.7" top="0.75" bottom="0.75" header="0.3" footer="0.3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R9"/>
  <sheetViews>
    <sheetView workbookViewId="0" topLeftCell="A1">
      <selection activeCell="F23" sqref="F23"/>
    </sheetView>
  </sheetViews>
  <sheetFormatPr defaultColWidth="9.125" defaultRowHeight="12.75"/>
  <cols>
    <col min="1" max="1" width="9.125" style="1" customWidth="1"/>
    <col min="2" max="2" width="28.25390625" style="4" bestFit="1" customWidth="1"/>
    <col min="3" max="3" width="25.125" style="1" customWidth="1"/>
    <col min="4" max="4" width="10.625" style="1" bestFit="1" customWidth="1"/>
    <col min="5" max="5" width="8.375" style="1" bestFit="1" customWidth="1"/>
    <col min="6" max="6" width="22.75390625" style="5" bestFit="1" customWidth="1"/>
    <col min="7" max="7" width="26.00390625" style="5" bestFit="1" customWidth="1"/>
    <col min="8" max="10" width="4.625" style="1" bestFit="1" customWidth="1"/>
    <col min="11" max="11" width="5.75390625" style="1" customWidth="1"/>
    <col min="12" max="15" width="4.625" style="1" bestFit="1" customWidth="1"/>
    <col min="16" max="16" width="7.875" style="4" bestFit="1" customWidth="1"/>
    <col min="17" max="17" width="7.625" style="1" bestFit="1" customWidth="1"/>
    <col min="18" max="18" width="15.375" style="5" bestFit="1" customWidth="1"/>
    <col min="19" max="16384" width="9.125" style="1" customWidth="1"/>
  </cols>
  <sheetData>
    <row r="1" spans="2:18" ht="15" customHeight="1">
      <c r="B1" s="95" t="s">
        <v>359</v>
      </c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7"/>
    </row>
    <row r="2" spans="2:18" ht="87" customHeight="1" thickBot="1">
      <c r="B2" s="98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100"/>
    </row>
    <row r="3" spans="1:18" s="2" customFormat="1" ht="12.75" customHeight="1">
      <c r="A3" s="108" t="s">
        <v>206</v>
      </c>
      <c r="B3" s="101" t="s">
        <v>0</v>
      </c>
      <c r="C3" s="113" t="s">
        <v>207</v>
      </c>
      <c r="D3" s="103" t="s">
        <v>208</v>
      </c>
      <c r="E3" s="105" t="s">
        <v>263</v>
      </c>
      <c r="F3" s="105" t="s">
        <v>7</v>
      </c>
      <c r="G3" s="106" t="s">
        <v>209</v>
      </c>
      <c r="H3" s="105" t="s">
        <v>293</v>
      </c>
      <c r="I3" s="105"/>
      <c r="J3" s="105"/>
      <c r="K3" s="105"/>
      <c r="L3" s="105" t="s">
        <v>294</v>
      </c>
      <c r="M3" s="105"/>
      <c r="N3" s="105"/>
      <c r="O3" s="105"/>
      <c r="P3" s="105" t="s">
        <v>4</v>
      </c>
      <c r="Q3" s="105" t="s">
        <v>6</v>
      </c>
      <c r="R3" s="110" t="s">
        <v>5</v>
      </c>
    </row>
    <row r="4" spans="1:18" s="2" customFormat="1" ht="21" customHeight="1" thickBot="1">
      <c r="A4" s="109"/>
      <c r="B4" s="102"/>
      <c r="C4" s="114"/>
      <c r="D4" s="104"/>
      <c r="E4" s="104"/>
      <c r="F4" s="104"/>
      <c r="G4" s="107"/>
      <c r="H4" s="3">
        <v>1</v>
      </c>
      <c r="I4" s="3">
        <v>2</v>
      </c>
      <c r="J4" s="3">
        <v>3</v>
      </c>
      <c r="K4" s="3" t="s">
        <v>8</v>
      </c>
      <c r="L4" s="3">
        <v>1</v>
      </c>
      <c r="M4" s="3">
        <v>2</v>
      </c>
      <c r="N4" s="3">
        <v>3</v>
      </c>
      <c r="O4" s="3" t="s">
        <v>8</v>
      </c>
      <c r="P4" s="104"/>
      <c r="Q4" s="104"/>
      <c r="R4" s="111"/>
    </row>
    <row r="5" spans="2:17" ht="15.75">
      <c r="B5" s="120" t="s">
        <v>129</v>
      </c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</row>
    <row r="6" spans="1:18" ht="12.75">
      <c r="A6" s="33" t="s">
        <v>255</v>
      </c>
      <c r="B6" s="48" t="s">
        <v>302</v>
      </c>
      <c r="C6" s="7" t="s">
        <v>303</v>
      </c>
      <c r="D6" s="7" t="s">
        <v>308</v>
      </c>
      <c r="E6" s="6" t="str">
        <f>"0,6583"</f>
        <v>0,6583</v>
      </c>
      <c r="F6" s="7" t="s">
        <v>28</v>
      </c>
      <c r="G6" s="7" t="s">
        <v>14</v>
      </c>
      <c r="H6" s="31" t="s">
        <v>179</v>
      </c>
      <c r="I6" s="31" t="s">
        <v>281</v>
      </c>
      <c r="J6" s="71" t="s">
        <v>164</v>
      </c>
      <c r="K6" s="62"/>
      <c r="L6" s="31" t="s">
        <v>304</v>
      </c>
      <c r="M6" s="31" t="s">
        <v>297</v>
      </c>
      <c r="N6" s="31" t="s">
        <v>178</v>
      </c>
      <c r="O6" s="62"/>
      <c r="P6" s="61" t="s">
        <v>160</v>
      </c>
      <c r="Q6" s="61" t="str">
        <f>"88,8772"</f>
        <v>88,8772</v>
      </c>
      <c r="R6" s="7" t="s">
        <v>210</v>
      </c>
    </row>
    <row r="8" spans="2:17" ht="15.75">
      <c r="B8" s="121" t="s">
        <v>46</v>
      </c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</row>
    <row r="9" spans="1:18" ht="12.75">
      <c r="A9" s="33" t="s">
        <v>255</v>
      </c>
      <c r="B9" s="48" t="s">
        <v>305</v>
      </c>
      <c r="C9" s="7" t="s">
        <v>306</v>
      </c>
      <c r="D9" s="7" t="s">
        <v>309</v>
      </c>
      <c r="E9" s="6" t="str">
        <f>"0,6238"</f>
        <v>0,6238</v>
      </c>
      <c r="F9" s="7" t="s">
        <v>307</v>
      </c>
      <c r="G9" s="7" t="s">
        <v>14</v>
      </c>
      <c r="H9" s="71" t="s">
        <v>178</v>
      </c>
      <c r="I9" s="31" t="s">
        <v>178</v>
      </c>
      <c r="J9" s="71" t="s">
        <v>163</v>
      </c>
      <c r="K9" s="62"/>
      <c r="L9" s="31" t="s">
        <v>297</v>
      </c>
      <c r="M9" s="31" t="s">
        <v>298</v>
      </c>
      <c r="N9" s="71" t="s">
        <v>178</v>
      </c>
      <c r="O9" s="62"/>
      <c r="P9" s="61" t="s">
        <v>39</v>
      </c>
      <c r="Q9" s="61" t="str">
        <f>"71,7427"</f>
        <v>71,7427</v>
      </c>
      <c r="R9" s="7" t="s">
        <v>210</v>
      </c>
    </row>
  </sheetData>
  <sheetProtection/>
  <mergeCells count="15">
    <mergeCell ref="F3:F4"/>
    <mergeCell ref="G3:G4"/>
    <mergeCell ref="H3:K3"/>
    <mergeCell ref="L3:O3"/>
    <mergeCell ref="P3:P4"/>
    <mergeCell ref="Q3:Q4"/>
    <mergeCell ref="R3:R4"/>
    <mergeCell ref="B5:Q5"/>
    <mergeCell ref="B8:Q8"/>
    <mergeCell ref="A3:A4"/>
    <mergeCell ref="B1:R2"/>
    <mergeCell ref="B3:B4"/>
    <mergeCell ref="C3:C4"/>
    <mergeCell ref="D3:D4"/>
    <mergeCell ref="E3:E4"/>
  </mergeCells>
  <printOptions/>
  <pageMargins left="0.7" right="0.7" top="0.75" bottom="0.75" header="0.3" footer="0.3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7"/>
  <sheetViews>
    <sheetView workbookViewId="0" topLeftCell="A1">
      <selection activeCell="F24" sqref="F24"/>
    </sheetView>
  </sheetViews>
  <sheetFormatPr defaultColWidth="8.75390625" defaultRowHeight="12.75"/>
  <cols>
    <col min="1" max="1" width="7.625" style="27" customWidth="1"/>
    <col min="2" max="2" width="26.00390625" style="15" bestFit="1" customWidth="1"/>
    <col min="3" max="3" width="27.125" style="15" bestFit="1" customWidth="1"/>
    <col min="4" max="4" width="10.625" style="15" bestFit="1" customWidth="1"/>
    <col min="5" max="5" width="8.375" style="15" bestFit="1" customWidth="1"/>
    <col min="6" max="6" width="22.75390625" style="15" bestFit="1" customWidth="1"/>
    <col min="7" max="7" width="35.75390625" style="15" customWidth="1"/>
    <col min="8" max="10" width="5.625" style="15" bestFit="1" customWidth="1"/>
    <col min="11" max="11" width="4.625" style="15" bestFit="1" customWidth="1"/>
    <col min="12" max="12" width="11.625" style="15" customWidth="1"/>
    <col min="13" max="13" width="8.625" style="15" bestFit="1" customWidth="1"/>
    <col min="14" max="14" width="15.625" style="15" bestFit="1" customWidth="1"/>
  </cols>
  <sheetData>
    <row r="1" spans="1:14" s="1" customFormat="1" ht="15" customHeight="1">
      <c r="A1" s="33"/>
      <c r="B1" s="95" t="s">
        <v>348</v>
      </c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7"/>
    </row>
    <row r="2" spans="1:14" s="1" customFormat="1" ht="103.5" customHeight="1" thickBot="1">
      <c r="A2" s="33"/>
      <c r="B2" s="98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100"/>
    </row>
    <row r="3" spans="1:14" s="2" customFormat="1" ht="12.75" customHeight="1">
      <c r="A3" s="108" t="s">
        <v>206</v>
      </c>
      <c r="B3" s="101" t="s">
        <v>0</v>
      </c>
      <c r="C3" s="103" t="s">
        <v>207</v>
      </c>
      <c r="D3" s="103" t="s">
        <v>208</v>
      </c>
      <c r="E3" s="105" t="s">
        <v>9</v>
      </c>
      <c r="F3" s="105" t="s">
        <v>7</v>
      </c>
      <c r="G3" s="106" t="s">
        <v>209</v>
      </c>
      <c r="H3" s="105" t="s">
        <v>3</v>
      </c>
      <c r="I3" s="105"/>
      <c r="J3" s="105"/>
      <c r="K3" s="105"/>
      <c r="L3" s="105" t="s">
        <v>230</v>
      </c>
      <c r="M3" s="105" t="s">
        <v>6</v>
      </c>
      <c r="N3" s="110" t="s">
        <v>5</v>
      </c>
    </row>
    <row r="4" spans="1:14" s="2" customFormat="1" ht="21" customHeight="1" thickBot="1">
      <c r="A4" s="109"/>
      <c r="B4" s="102"/>
      <c r="C4" s="104"/>
      <c r="D4" s="104"/>
      <c r="E4" s="104"/>
      <c r="F4" s="104"/>
      <c r="G4" s="107"/>
      <c r="H4" s="3">
        <v>1</v>
      </c>
      <c r="I4" s="3">
        <v>2</v>
      </c>
      <c r="J4" s="3">
        <v>3</v>
      </c>
      <c r="K4" s="3" t="s">
        <v>8</v>
      </c>
      <c r="L4" s="104"/>
      <c r="M4" s="104"/>
      <c r="N4" s="111"/>
    </row>
    <row r="5" spans="2:13" ht="15.75">
      <c r="B5" s="94" t="s">
        <v>32</v>
      </c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</row>
    <row r="6" spans="1:14" ht="12.75">
      <c r="A6" s="27">
        <v>1</v>
      </c>
      <c r="B6" s="18" t="s">
        <v>187</v>
      </c>
      <c r="C6" s="18" t="s">
        <v>188</v>
      </c>
      <c r="D6" s="18" t="s">
        <v>216</v>
      </c>
      <c r="E6" s="18" t="str">
        <f>"0,7193"</f>
        <v>0,7193</v>
      </c>
      <c r="F6" s="18" t="s">
        <v>35</v>
      </c>
      <c r="G6" s="18" t="s">
        <v>211</v>
      </c>
      <c r="H6" s="38" t="s">
        <v>73</v>
      </c>
      <c r="I6" s="40" t="s">
        <v>62</v>
      </c>
      <c r="J6" s="38" t="s">
        <v>62</v>
      </c>
      <c r="K6" s="35"/>
      <c r="L6" s="34" t="s">
        <v>62</v>
      </c>
      <c r="M6" s="34" t="str">
        <f>"133,0705"</f>
        <v>133,0705</v>
      </c>
      <c r="N6" s="18" t="s">
        <v>210</v>
      </c>
    </row>
    <row r="7" spans="1:14" ht="12.75">
      <c r="A7" s="27">
        <v>1</v>
      </c>
      <c r="B7" s="20" t="s">
        <v>189</v>
      </c>
      <c r="C7" s="20" t="s">
        <v>190</v>
      </c>
      <c r="D7" s="20" t="s">
        <v>217</v>
      </c>
      <c r="E7" s="20" t="str">
        <f>"0,7437"</f>
        <v>0,7437</v>
      </c>
      <c r="F7" s="20" t="s">
        <v>35</v>
      </c>
      <c r="G7" s="20" t="s">
        <v>49</v>
      </c>
      <c r="H7" s="39" t="s">
        <v>70</v>
      </c>
      <c r="I7" s="39" t="s">
        <v>61</v>
      </c>
      <c r="J7" s="39" t="s">
        <v>191</v>
      </c>
      <c r="K7" s="37"/>
      <c r="L7" s="36">
        <v>182.5</v>
      </c>
      <c r="M7" s="36" t="str">
        <f>"135,7253"</f>
        <v>135,7253</v>
      </c>
      <c r="N7" s="20" t="s">
        <v>210</v>
      </c>
    </row>
    <row r="9" spans="2:13" ht="15.75">
      <c r="B9" s="112" t="s">
        <v>129</v>
      </c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</row>
    <row r="10" spans="1:14" ht="12.75">
      <c r="A10" s="27">
        <v>1</v>
      </c>
      <c r="B10" s="16" t="s">
        <v>192</v>
      </c>
      <c r="C10" s="16" t="s">
        <v>193</v>
      </c>
      <c r="D10" s="16" t="s">
        <v>218</v>
      </c>
      <c r="E10" s="16" t="str">
        <f>"0,6811"</f>
        <v>0,6811</v>
      </c>
      <c r="F10" s="16" t="s">
        <v>94</v>
      </c>
      <c r="G10" s="16" t="s">
        <v>14</v>
      </c>
      <c r="H10" s="31" t="s">
        <v>186</v>
      </c>
      <c r="I10" s="31" t="s">
        <v>194</v>
      </c>
      <c r="J10" s="31" t="s">
        <v>168</v>
      </c>
      <c r="K10" s="30"/>
      <c r="L10" s="29" t="s">
        <v>168</v>
      </c>
      <c r="M10" s="29" t="str">
        <f>"170,2750"</f>
        <v>170,2750</v>
      </c>
      <c r="N10" s="16" t="s">
        <v>213</v>
      </c>
    </row>
    <row r="12" spans="2:13" ht="15.75">
      <c r="B12" s="112" t="s">
        <v>46</v>
      </c>
      <c r="C12" s="112"/>
      <c r="D12" s="112"/>
      <c r="E12" s="112"/>
      <c r="F12" s="112"/>
      <c r="G12" s="112"/>
      <c r="H12" s="112"/>
      <c r="I12" s="112"/>
      <c r="J12" s="112"/>
      <c r="K12" s="112"/>
      <c r="L12" s="112"/>
      <c r="M12" s="112"/>
    </row>
    <row r="13" spans="1:14" ht="12.75">
      <c r="A13" s="27">
        <v>1</v>
      </c>
      <c r="B13" s="18" t="s">
        <v>195</v>
      </c>
      <c r="C13" s="18" t="s">
        <v>196</v>
      </c>
      <c r="D13" s="18" t="s">
        <v>219</v>
      </c>
      <c r="E13" s="18" t="str">
        <f>"0,6428"</f>
        <v>0,6428</v>
      </c>
      <c r="F13" s="18" t="s">
        <v>35</v>
      </c>
      <c r="G13" s="18" t="s">
        <v>212</v>
      </c>
      <c r="H13" s="38" t="s">
        <v>56</v>
      </c>
      <c r="I13" s="38" t="s">
        <v>197</v>
      </c>
      <c r="J13" s="38" t="s">
        <v>167</v>
      </c>
      <c r="K13" s="35"/>
      <c r="L13" s="34" t="s">
        <v>167</v>
      </c>
      <c r="M13" s="34" t="str">
        <f>"134,9880"</f>
        <v>134,9880</v>
      </c>
      <c r="N13" s="18" t="s">
        <v>210</v>
      </c>
    </row>
    <row r="14" spans="1:14" ht="12.75">
      <c r="A14" s="27">
        <v>1</v>
      </c>
      <c r="B14" s="20" t="s">
        <v>198</v>
      </c>
      <c r="C14" s="20" t="s">
        <v>199</v>
      </c>
      <c r="D14" s="20" t="s">
        <v>220</v>
      </c>
      <c r="E14" s="20" t="str">
        <f>"0,6475"</f>
        <v>0,6475</v>
      </c>
      <c r="F14" s="20" t="s">
        <v>94</v>
      </c>
      <c r="G14" s="20" t="s">
        <v>14</v>
      </c>
      <c r="H14" s="39" t="s">
        <v>83</v>
      </c>
      <c r="I14" s="39" t="s">
        <v>84</v>
      </c>
      <c r="J14" s="41" t="s">
        <v>85</v>
      </c>
      <c r="K14" s="37"/>
      <c r="L14" s="36" t="s">
        <v>84</v>
      </c>
      <c r="M14" s="36" t="str">
        <f>"145,6875"</f>
        <v>145,6875</v>
      </c>
      <c r="N14" s="20" t="s">
        <v>210</v>
      </c>
    </row>
    <row r="16" spans="2:13" ht="15.75">
      <c r="B16" s="112" t="s">
        <v>51</v>
      </c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112"/>
    </row>
    <row r="17" spans="1:14" ht="12.75">
      <c r="A17" s="27">
        <v>1</v>
      </c>
      <c r="B17" s="16" t="s">
        <v>200</v>
      </c>
      <c r="C17" s="16" t="s">
        <v>201</v>
      </c>
      <c r="D17" s="16" t="s">
        <v>221</v>
      </c>
      <c r="E17" s="16" t="str">
        <f>"0,6285"</f>
        <v>0,6285</v>
      </c>
      <c r="F17" s="16" t="s">
        <v>13</v>
      </c>
      <c r="G17" s="16" t="s">
        <v>14</v>
      </c>
      <c r="H17" s="31" t="s">
        <v>73</v>
      </c>
      <c r="I17" s="31" t="s">
        <v>62</v>
      </c>
      <c r="J17" s="31" t="s">
        <v>57</v>
      </c>
      <c r="K17" s="30"/>
      <c r="L17" s="29" t="s">
        <v>57</v>
      </c>
      <c r="M17" s="29" t="str">
        <f>"122,5575"</f>
        <v>122,5575</v>
      </c>
      <c r="N17" s="16" t="s">
        <v>210</v>
      </c>
    </row>
  </sheetData>
  <sheetProtection/>
  <mergeCells count="16">
    <mergeCell ref="A3:A4"/>
    <mergeCell ref="B1:N2"/>
    <mergeCell ref="B3:B4"/>
    <mergeCell ref="C3:C4"/>
    <mergeCell ref="D3:D4"/>
    <mergeCell ref="E3:E4"/>
    <mergeCell ref="F3:F4"/>
    <mergeCell ref="G3:G4"/>
    <mergeCell ref="H3:K3"/>
    <mergeCell ref="B16:M16"/>
    <mergeCell ref="L3:L4"/>
    <mergeCell ref="M3:M4"/>
    <mergeCell ref="N3:N4"/>
    <mergeCell ref="B5:M5"/>
    <mergeCell ref="B9:M9"/>
    <mergeCell ref="B12:M12"/>
  </mergeCells>
  <printOptions/>
  <pageMargins left="0.7" right="0.7" top="0.75" bottom="0.75" header="0.3" footer="0.3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N6"/>
  <sheetViews>
    <sheetView workbookViewId="0" topLeftCell="A1">
      <selection activeCell="F26" sqref="F26"/>
    </sheetView>
  </sheetViews>
  <sheetFormatPr defaultColWidth="8.75390625" defaultRowHeight="12.75"/>
  <cols>
    <col min="1" max="1" width="8.75390625" style="0" customWidth="1"/>
    <col min="2" max="2" width="26.00390625" style="15" bestFit="1" customWidth="1"/>
    <col min="3" max="3" width="27.00390625" style="15" customWidth="1"/>
    <col min="4" max="4" width="10.625" style="15" bestFit="1" customWidth="1"/>
    <col min="5" max="5" width="8.375" style="15" bestFit="1" customWidth="1"/>
    <col min="6" max="6" width="22.75390625" style="15" bestFit="1" customWidth="1"/>
    <col min="7" max="7" width="26.875" style="15" bestFit="1" customWidth="1"/>
    <col min="8" max="10" width="5.625" style="15" bestFit="1" customWidth="1"/>
    <col min="11" max="11" width="4.625" style="15" bestFit="1" customWidth="1"/>
    <col min="12" max="12" width="11.75390625" style="15" customWidth="1"/>
    <col min="13" max="13" width="8.625" style="15" bestFit="1" customWidth="1"/>
    <col min="14" max="14" width="15.375" style="15" bestFit="1" customWidth="1"/>
  </cols>
  <sheetData>
    <row r="1" spans="2:14" s="1" customFormat="1" ht="15" customHeight="1">
      <c r="B1" s="95" t="s">
        <v>349</v>
      </c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7"/>
    </row>
    <row r="2" spans="2:14" s="1" customFormat="1" ht="105" customHeight="1" thickBot="1">
      <c r="B2" s="98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100"/>
    </row>
    <row r="3" spans="1:14" s="2" customFormat="1" ht="12.75" customHeight="1">
      <c r="A3" s="108" t="s">
        <v>206</v>
      </c>
      <c r="B3" s="101" t="s">
        <v>0</v>
      </c>
      <c r="C3" s="103" t="s">
        <v>207</v>
      </c>
      <c r="D3" s="103" t="s">
        <v>208</v>
      </c>
      <c r="E3" s="105" t="s">
        <v>9</v>
      </c>
      <c r="F3" s="105" t="s">
        <v>7</v>
      </c>
      <c r="G3" s="106" t="s">
        <v>209</v>
      </c>
      <c r="H3" s="105" t="s">
        <v>3</v>
      </c>
      <c r="I3" s="105"/>
      <c r="J3" s="105"/>
      <c r="K3" s="105"/>
      <c r="L3" s="105" t="s">
        <v>230</v>
      </c>
      <c r="M3" s="105" t="s">
        <v>6</v>
      </c>
      <c r="N3" s="110" t="s">
        <v>5</v>
      </c>
    </row>
    <row r="4" spans="1:14" s="2" customFormat="1" ht="21" customHeight="1" thickBot="1">
      <c r="A4" s="109"/>
      <c r="B4" s="102"/>
      <c r="C4" s="104"/>
      <c r="D4" s="104"/>
      <c r="E4" s="104"/>
      <c r="F4" s="104"/>
      <c r="G4" s="107"/>
      <c r="H4" s="3">
        <v>1</v>
      </c>
      <c r="I4" s="3">
        <v>2</v>
      </c>
      <c r="J4" s="3">
        <v>3</v>
      </c>
      <c r="K4" s="3" t="s">
        <v>8</v>
      </c>
      <c r="L4" s="104"/>
      <c r="M4" s="104"/>
      <c r="N4" s="111"/>
    </row>
    <row r="5" spans="2:13" ht="15.75">
      <c r="B5" s="94" t="s">
        <v>51</v>
      </c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</row>
    <row r="6" spans="1:14" ht="12.75">
      <c r="A6" s="27">
        <v>1</v>
      </c>
      <c r="B6" s="16" t="s">
        <v>65</v>
      </c>
      <c r="C6" s="16" t="s">
        <v>66</v>
      </c>
      <c r="D6" s="16" t="s">
        <v>222</v>
      </c>
      <c r="E6" s="16" t="str">
        <f>"0,6186"</f>
        <v>0,6186</v>
      </c>
      <c r="F6" s="16" t="s">
        <v>35</v>
      </c>
      <c r="G6" s="16" t="s">
        <v>54</v>
      </c>
      <c r="H6" s="31" t="s">
        <v>83</v>
      </c>
      <c r="I6" s="31" t="s">
        <v>85</v>
      </c>
      <c r="J6" s="32" t="s">
        <v>186</v>
      </c>
      <c r="K6" s="30"/>
      <c r="L6" s="29" t="s">
        <v>85</v>
      </c>
      <c r="M6" s="29" t="str">
        <f>"142,2780"</f>
        <v>142,2780</v>
      </c>
      <c r="N6" s="16" t="s">
        <v>210</v>
      </c>
    </row>
  </sheetData>
  <sheetProtection/>
  <mergeCells count="13">
    <mergeCell ref="A3:A4"/>
    <mergeCell ref="L3:L4"/>
    <mergeCell ref="M3:M4"/>
    <mergeCell ref="N3:N4"/>
    <mergeCell ref="B5:M5"/>
    <mergeCell ref="B1:N2"/>
    <mergeCell ref="B3:B4"/>
    <mergeCell ref="C3:C4"/>
    <mergeCell ref="D3:D4"/>
    <mergeCell ref="E3:E4"/>
    <mergeCell ref="F3:F4"/>
    <mergeCell ref="G3:G4"/>
    <mergeCell ref="H3:K3"/>
  </mergeCells>
  <printOptions/>
  <pageMargins left="0.7" right="0.7" top="0.75" bottom="0.75" header="0.3" footer="0.3"/>
  <pageSetup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N6"/>
  <sheetViews>
    <sheetView workbookViewId="0" topLeftCell="A1">
      <selection activeCell="F17" sqref="F17"/>
    </sheetView>
  </sheetViews>
  <sheetFormatPr defaultColWidth="8.75390625" defaultRowHeight="12.75"/>
  <cols>
    <col min="1" max="1" width="8.75390625" style="0" customWidth="1"/>
    <col min="2" max="2" width="26.00390625" style="15" bestFit="1" customWidth="1"/>
    <col min="3" max="3" width="26.25390625" style="15" customWidth="1"/>
    <col min="4" max="4" width="10.625" style="15" bestFit="1" customWidth="1"/>
    <col min="5" max="5" width="8.375" style="15" bestFit="1" customWidth="1"/>
    <col min="6" max="6" width="22.75390625" style="15" bestFit="1" customWidth="1"/>
    <col min="7" max="7" width="26.00390625" style="15" bestFit="1" customWidth="1"/>
    <col min="8" max="10" width="5.625" style="15" bestFit="1" customWidth="1"/>
    <col min="11" max="11" width="4.625" style="15" bestFit="1" customWidth="1"/>
    <col min="12" max="12" width="11.75390625" style="15" customWidth="1"/>
    <col min="13" max="13" width="8.625" style="15" bestFit="1" customWidth="1"/>
    <col min="14" max="14" width="15.375" style="15" bestFit="1" customWidth="1"/>
  </cols>
  <sheetData>
    <row r="1" spans="2:14" s="1" customFormat="1" ht="15" customHeight="1">
      <c r="B1" s="95" t="s">
        <v>346</v>
      </c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7"/>
    </row>
    <row r="2" spans="2:14" s="1" customFormat="1" ht="108" customHeight="1" thickBot="1">
      <c r="B2" s="98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100"/>
    </row>
    <row r="3" spans="1:14" s="2" customFormat="1" ht="12.75" customHeight="1">
      <c r="A3" s="108" t="s">
        <v>206</v>
      </c>
      <c r="B3" s="101" t="s">
        <v>0</v>
      </c>
      <c r="C3" s="103" t="s">
        <v>207</v>
      </c>
      <c r="D3" s="103" t="s">
        <v>208</v>
      </c>
      <c r="E3" s="105" t="s">
        <v>9</v>
      </c>
      <c r="F3" s="105" t="s">
        <v>7</v>
      </c>
      <c r="G3" s="106" t="s">
        <v>209</v>
      </c>
      <c r="H3" s="105" t="s">
        <v>1</v>
      </c>
      <c r="I3" s="105"/>
      <c r="J3" s="105"/>
      <c r="K3" s="105"/>
      <c r="L3" s="105" t="s">
        <v>230</v>
      </c>
      <c r="M3" s="105" t="s">
        <v>6</v>
      </c>
      <c r="N3" s="110" t="s">
        <v>5</v>
      </c>
    </row>
    <row r="4" spans="1:14" s="2" customFormat="1" ht="25.5" customHeight="1" thickBot="1">
      <c r="A4" s="109"/>
      <c r="B4" s="102"/>
      <c r="C4" s="104"/>
      <c r="D4" s="104"/>
      <c r="E4" s="104"/>
      <c r="F4" s="104"/>
      <c r="G4" s="107"/>
      <c r="H4" s="3">
        <v>1</v>
      </c>
      <c r="I4" s="3">
        <v>2</v>
      </c>
      <c r="J4" s="3">
        <v>3</v>
      </c>
      <c r="K4" s="3" t="s">
        <v>8</v>
      </c>
      <c r="L4" s="104"/>
      <c r="M4" s="104"/>
      <c r="N4" s="111"/>
    </row>
    <row r="5" spans="2:13" ht="15.75">
      <c r="B5" s="94" t="s">
        <v>46</v>
      </c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</row>
    <row r="6" spans="1:14" ht="12.75">
      <c r="A6" s="27">
        <v>1</v>
      </c>
      <c r="B6" s="16" t="s">
        <v>204</v>
      </c>
      <c r="C6" s="16" t="s">
        <v>205</v>
      </c>
      <c r="D6" s="16" t="s">
        <v>215</v>
      </c>
      <c r="E6" s="16" t="str">
        <f>"0,6406"</f>
        <v>0,6406</v>
      </c>
      <c r="F6" s="16" t="s">
        <v>35</v>
      </c>
      <c r="G6" s="16" t="s">
        <v>14</v>
      </c>
      <c r="H6" s="28" t="s">
        <v>44</v>
      </c>
      <c r="I6" s="28" t="s">
        <v>45</v>
      </c>
      <c r="J6" s="28" t="s">
        <v>70</v>
      </c>
      <c r="K6" s="17"/>
      <c r="L6" s="29" t="s">
        <v>70</v>
      </c>
      <c r="M6" s="29" t="str">
        <f>"102,4960"</f>
        <v>102,4960</v>
      </c>
      <c r="N6" s="16" t="s">
        <v>210</v>
      </c>
    </row>
  </sheetData>
  <sheetProtection/>
  <mergeCells count="13">
    <mergeCell ref="A3:A4"/>
    <mergeCell ref="L3:L4"/>
    <mergeCell ref="M3:M4"/>
    <mergeCell ref="N3:N4"/>
    <mergeCell ref="B5:M5"/>
    <mergeCell ref="B1:N2"/>
    <mergeCell ref="B3:B4"/>
    <mergeCell ref="C3:C4"/>
    <mergeCell ref="D3:D4"/>
    <mergeCell ref="E3:E4"/>
    <mergeCell ref="F3:F4"/>
    <mergeCell ref="G3:G4"/>
    <mergeCell ref="H3:K3"/>
  </mergeCells>
  <printOptions/>
  <pageMargins left="0.7" right="0.7" top="0.75" bottom="0.75" header="0.3" footer="0.3"/>
  <pageSetup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R6"/>
  <sheetViews>
    <sheetView workbookViewId="0" topLeftCell="A1">
      <selection activeCell="G14" sqref="G14"/>
    </sheetView>
  </sheetViews>
  <sheetFormatPr defaultColWidth="8.75390625" defaultRowHeight="12.75"/>
  <cols>
    <col min="1" max="1" width="8.75390625" style="0" customWidth="1"/>
    <col min="2" max="2" width="24.75390625" style="15" customWidth="1"/>
    <col min="3" max="3" width="26.875" style="15" bestFit="1" customWidth="1"/>
    <col min="4" max="4" width="10.625" style="15" bestFit="1" customWidth="1"/>
    <col min="5" max="5" width="8.375" style="15" bestFit="1" customWidth="1"/>
    <col min="6" max="6" width="19.375" style="15" customWidth="1"/>
    <col min="7" max="7" width="26.00390625" style="15" bestFit="1" customWidth="1"/>
    <col min="8" max="11" width="4.625" style="15" bestFit="1" customWidth="1"/>
    <col min="12" max="13" width="5.625" style="15" bestFit="1" customWidth="1"/>
    <col min="14" max="14" width="5.25390625" style="15" customWidth="1"/>
    <col min="15" max="15" width="4.625" style="15" bestFit="1" customWidth="1"/>
    <col min="16" max="16" width="11.875" style="15" customWidth="1"/>
    <col min="17" max="17" width="8.625" style="15" bestFit="1" customWidth="1"/>
    <col min="18" max="18" width="15.375" style="15" bestFit="1" customWidth="1"/>
  </cols>
  <sheetData>
    <row r="1" spans="2:18" s="1" customFormat="1" ht="15" customHeight="1">
      <c r="B1" s="95" t="s">
        <v>347</v>
      </c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7"/>
    </row>
    <row r="2" spans="2:18" s="1" customFormat="1" ht="102.75" customHeight="1" thickBot="1">
      <c r="B2" s="98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100"/>
    </row>
    <row r="3" spans="1:18" s="2" customFormat="1" ht="12.75" customHeight="1">
      <c r="A3" s="108" t="s">
        <v>206</v>
      </c>
      <c r="B3" s="101" t="s">
        <v>0</v>
      </c>
      <c r="C3" s="103" t="s">
        <v>207</v>
      </c>
      <c r="D3" s="103" t="s">
        <v>208</v>
      </c>
      <c r="E3" s="105" t="s">
        <v>9</v>
      </c>
      <c r="F3" s="105" t="s">
        <v>7</v>
      </c>
      <c r="G3" s="106" t="s">
        <v>209</v>
      </c>
      <c r="H3" s="105" t="s">
        <v>2</v>
      </c>
      <c r="I3" s="105"/>
      <c r="J3" s="105"/>
      <c r="K3" s="105"/>
      <c r="L3" s="105" t="s">
        <v>3</v>
      </c>
      <c r="M3" s="105"/>
      <c r="N3" s="105"/>
      <c r="O3" s="105"/>
      <c r="P3" s="105" t="s">
        <v>230</v>
      </c>
      <c r="Q3" s="105" t="s">
        <v>6</v>
      </c>
      <c r="R3" s="110" t="s">
        <v>5</v>
      </c>
    </row>
    <row r="4" spans="1:18" s="2" customFormat="1" ht="21" customHeight="1" thickBot="1">
      <c r="A4" s="109"/>
      <c r="B4" s="102"/>
      <c r="C4" s="104"/>
      <c r="D4" s="104"/>
      <c r="E4" s="104"/>
      <c r="F4" s="104"/>
      <c r="G4" s="107"/>
      <c r="H4" s="3">
        <v>1</v>
      </c>
      <c r="I4" s="3">
        <v>2</v>
      </c>
      <c r="J4" s="3">
        <v>3</v>
      </c>
      <c r="K4" s="3" t="s">
        <v>8</v>
      </c>
      <c r="L4" s="3">
        <v>1</v>
      </c>
      <c r="M4" s="3">
        <v>2</v>
      </c>
      <c r="N4" s="3">
        <v>3</v>
      </c>
      <c r="O4" s="3" t="s">
        <v>8</v>
      </c>
      <c r="P4" s="104"/>
      <c r="Q4" s="104"/>
      <c r="R4" s="111"/>
    </row>
    <row r="5" spans="2:17" ht="15.75">
      <c r="B5" s="94" t="s">
        <v>32</v>
      </c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</row>
    <row r="6" spans="1:18" ht="12.75">
      <c r="A6" s="27">
        <v>1</v>
      </c>
      <c r="B6" s="16" t="s">
        <v>202</v>
      </c>
      <c r="C6" s="16" t="s">
        <v>203</v>
      </c>
      <c r="D6" s="16" t="s">
        <v>214</v>
      </c>
      <c r="E6" s="16" t="str">
        <f>"0,7271"</f>
        <v>0,7271</v>
      </c>
      <c r="F6" s="16" t="s">
        <v>35</v>
      </c>
      <c r="G6" s="16" t="s">
        <v>14</v>
      </c>
      <c r="H6" s="31" t="s">
        <v>178</v>
      </c>
      <c r="I6" s="31" t="s">
        <v>117</v>
      </c>
      <c r="J6" s="31" t="s">
        <v>179</v>
      </c>
      <c r="K6" s="30"/>
      <c r="L6" s="31" t="s">
        <v>29</v>
      </c>
      <c r="M6" s="32" t="s">
        <v>30</v>
      </c>
      <c r="N6" s="30"/>
      <c r="O6" s="30"/>
      <c r="P6" s="29" t="s">
        <v>61</v>
      </c>
      <c r="Q6" s="29" t="str">
        <f>"244,7419"</f>
        <v>244,7419</v>
      </c>
      <c r="R6" s="16" t="s">
        <v>210</v>
      </c>
    </row>
  </sheetData>
  <sheetProtection/>
  <mergeCells count="14">
    <mergeCell ref="L3:O3"/>
    <mergeCell ref="A3:A4"/>
    <mergeCell ref="P3:P4"/>
    <mergeCell ref="Q3:Q4"/>
    <mergeCell ref="R3:R4"/>
    <mergeCell ref="B5:Q5"/>
    <mergeCell ref="B1:R2"/>
    <mergeCell ref="B3:B4"/>
    <mergeCell ref="C3:C4"/>
    <mergeCell ref="D3:D4"/>
    <mergeCell ref="E3:E4"/>
    <mergeCell ref="F3:F4"/>
    <mergeCell ref="G3:G4"/>
    <mergeCell ref="H3:K3"/>
  </mergeCells>
  <printOptions/>
  <pageMargins left="0.7" right="0.7" top="0.75" bottom="0.75" header="0.3" footer="0.3"/>
  <pageSetup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V6"/>
  <sheetViews>
    <sheetView workbookViewId="0" topLeftCell="A1">
      <selection activeCell="B1" sqref="B1:V2"/>
    </sheetView>
  </sheetViews>
  <sheetFormatPr defaultColWidth="8.75390625" defaultRowHeight="12.75"/>
  <cols>
    <col min="1" max="1" width="8.75390625" style="0" customWidth="1"/>
    <col min="2" max="2" width="20.125" style="15" customWidth="1"/>
    <col min="3" max="3" width="25.375" style="15" customWidth="1"/>
    <col min="4" max="4" width="10.625" style="15" bestFit="1" customWidth="1"/>
    <col min="5" max="5" width="8.375" style="15" bestFit="1" customWidth="1"/>
    <col min="6" max="6" width="14.125" style="15" customWidth="1"/>
    <col min="7" max="7" width="31.125" style="15" bestFit="1" customWidth="1"/>
    <col min="8" max="10" width="5.625" style="15" bestFit="1" customWidth="1"/>
    <col min="11" max="11" width="4.625" style="15" bestFit="1" customWidth="1"/>
    <col min="12" max="14" width="5.625" style="15" bestFit="1" customWidth="1"/>
    <col min="15" max="15" width="4.625" style="15" bestFit="1" customWidth="1"/>
    <col min="16" max="18" width="5.625" style="15" bestFit="1" customWidth="1"/>
    <col min="19" max="19" width="4.625" style="15" bestFit="1" customWidth="1"/>
    <col min="20" max="20" width="7.875" style="15" bestFit="1" customWidth="1"/>
    <col min="21" max="21" width="8.625" style="15" bestFit="1" customWidth="1"/>
    <col min="22" max="22" width="15.375" style="15" bestFit="1" customWidth="1"/>
  </cols>
  <sheetData>
    <row r="1" spans="2:22" s="1" customFormat="1" ht="15" customHeight="1">
      <c r="B1" s="95" t="s">
        <v>328</v>
      </c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7"/>
    </row>
    <row r="2" spans="2:22" s="1" customFormat="1" ht="105" customHeight="1" thickBot="1">
      <c r="B2" s="98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100"/>
    </row>
    <row r="3" spans="1:22" s="2" customFormat="1" ht="12.75" customHeight="1">
      <c r="A3" s="108" t="s">
        <v>206</v>
      </c>
      <c r="B3" s="101" t="s">
        <v>0</v>
      </c>
      <c r="C3" s="103" t="s">
        <v>207</v>
      </c>
      <c r="D3" s="103" t="s">
        <v>208</v>
      </c>
      <c r="E3" s="105" t="s">
        <v>9</v>
      </c>
      <c r="F3" s="105" t="s">
        <v>7</v>
      </c>
      <c r="G3" s="106" t="s">
        <v>209</v>
      </c>
      <c r="H3" s="105" t="s">
        <v>1</v>
      </c>
      <c r="I3" s="105"/>
      <c r="J3" s="105"/>
      <c r="K3" s="105"/>
      <c r="L3" s="105" t="s">
        <v>2</v>
      </c>
      <c r="M3" s="105"/>
      <c r="N3" s="105"/>
      <c r="O3" s="105"/>
      <c r="P3" s="105" t="s">
        <v>3</v>
      </c>
      <c r="Q3" s="105"/>
      <c r="R3" s="105"/>
      <c r="S3" s="105"/>
      <c r="T3" s="105" t="s">
        <v>4</v>
      </c>
      <c r="U3" s="105" t="s">
        <v>6</v>
      </c>
      <c r="V3" s="110" t="s">
        <v>5</v>
      </c>
    </row>
    <row r="4" spans="1:22" s="2" customFormat="1" ht="21" customHeight="1" thickBot="1">
      <c r="A4" s="109"/>
      <c r="B4" s="102"/>
      <c r="C4" s="104"/>
      <c r="D4" s="104"/>
      <c r="E4" s="104"/>
      <c r="F4" s="104"/>
      <c r="G4" s="107"/>
      <c r="H4" s="3">
        <v>1</v>
      </c>
      <c r="I4" s="3">
        <v>2</v>
      </c>
      <c r="J4" s="3">
        <v>3</v>
      </c>
      <c r="K4" s="3" t="s">
        <v>8</v>
      </c>
      <c r="L4" s="3">
        <v>1</v>
      </c>
      <c r="M4" s="3">
        <v>2</v>
      </c>
      <c r="N4" s="3">
        <v>3</v>
      </c>
      <c r="O4" s="3" t="s">
        <v>8</v>
      </c>
      <c r="P4" s="3">
        <v>1</v>
      </c>
      <c r="Q4" s="3">
        <v>2</v>
      </c>
      <c r="R4" s="3">
        <v>3</v>
      </c>
      <c r="S4" s="3" t="s">
        <v>8</v>
      </c>
      <c r="T4" s="104"/>
      <c r="U4" s="104"/>
      <c r="V4" s="111"/>
    </row>
    <row r="5" spans="2:21" ht="15.75">
      <c r="B5" s="94" t="s">
        <v>91</v>
      </c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</row>
    <row r="6" spans="1:22" ht="12.75">
      <c r="A6" s="27">
        <v>1</v>
      </c>
      <c r="B6" s="16" t="s">
        <v>183</v>
      </c>
      <c r="C6" s="16" t="s">
        <v>184</v>
      </c>
      <c r="D6" s="16" t="s">
        <v>223</v>
      </c>
      <c r="E6" s="16" t="str">
        <f>"0,5748"</f>
        <v>0,5748</v>
      </c>
      <c r="F6" s="16" t="s">
        <v>35</v>
      </c>
      <c r="G6" s="16" t="s">
        <v>224</v>
      </c>
      <c r="H6" s="31" t="s">
        <v>55</v>
      </c>
      <c r="I6" s="32" t="s">
        <v>56</v>
      </c>
      <c r="J6" s="31" t="s">
        <v>56</v>
      </c>
      <c r="K6" s="30"/>
      <c r="L6" s="31" t="s">
        <v>31</v>
      </c>
      <c r="M6" s="31" t="s">
        <v>139</v>
      </c>
      <c r="N6" s="31" t="s">
        <v>43</v>
      </c>
      <c r="O6" s="30"/>
      <c r="P6" s="31" t="s">
        <v>55</v>
      </c>
      <c r="Q6" s="31" t="s">
        <v>58</v>
      </c>
      <c r="R6" s="31" t="s">
        <v>83</v>
      </c>
      <c r="S6" s="30"/>
      <c r="T6" s="29" t="s">
        <v>185</v>
      </c>
      <c r="U6" s="29" t="str">
        <f>"316,1400"</f>
        <v>316,1400</v>
      </c>
      <c r="V6" s="16" t="s">
        <v>210</v>
      </c>
    </row>
  </sheetData>
  <sheetProtection/>
  <mergeCells count="15">
    <mergeCell ref="H3:K3"/>
    <mergeCell ref="L3:O3"/>
    <mergeCell ref="P3:S3"/>
    <mergeCell ref="A3:A4"/>
    <mergeCell ref="T3:T4"/>
    <mergeCell ref="U3:U4"/>
    <mergeCell ref="V3:V4"/>
    <mergeCell ref="B5:U5"/>
    <mergeCell ref="B1:V2"/>
    <mergeCell ref="B3:B4"/>
    <mergeCell ref="C3:C4"/>
    <mergeCell ref="D3:D4"/>
    <mergeCell ref="E3:E4"/>
    <mergeCell ref="F3:F4"/>
    <mergeCell ref="G3:G4"/>
  </mergeCells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Tomchin</dc:creator>
  <cp:keywords/>
  <dc:description/>
  <cp:lastModifiedBy>Сергей Длужневский</cp:lastModifiedBy>
  <cp:lastPrinted>2015-07-16T19:10:53Z</cp:lastPrinted>
  <dcterms:created xsi:type="dcterms:W3CDTF">2002-06-16T13:36:44Z</dcterms:created>
  <dcterms:modified xsi:type="dcterms:W3CDTF">2016-04-01T07:10:52Z</dcterms:modified>
  <cp:category/>
  <cp:version/>
  <cp:contentType/>
  <cp:contentStatus/>
</cp:coreProperties>
</file>