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20" yWindow="160" windowWidth="11340" windowHeight="9440" firstSheet="6" activeTab="6"/>
  </bookViews>
  <sheets>
    <sheet name="Силовое двоеборье без экип." sheetId="1" r:id="rId1"/>
    <sheet name="Становая тяга без экипировки" sheetId="2" r:id="rId2"/>
    <sheet name="Жим лежа в односл. экипировке" sheetId="3" r:id="rId3"/>
    <sheet name="Жим лежа без экипировки" sheetId="4" r:id="rId4"/>
    <sheet name="Жим лежа SOFT экипировка" sheetId="5" r:id="rId5"/>
    <sheet name="Народный жим 1 вес" sheetId="6" r:id="rId6"/>
    <sheet name="Пауэрспорт" sheetId="7" r:id="rId7"/>
    <sheet name="Rolling Thunder" sheetId="8" r:id="rId8"/>
    <sheet name="Apollon's Axle" sheetId="9" r:id="rId9"/>
    <sheet name="Excalibur" sheetId="10" r:id="rId10"/>
    <sheet name="Grip Block" sheetId="11" r:id="rId11"/>
    <sheet name="HUB" sheetId="12" r:id="rId12"/>
    <sheet name="ЖД Любители" sheetId="13" r:id="rId13"/>
    <sheet name="Армейский жим" sheetId="14" r:id="rId14"/>
  </sheets>
  <definedNames/>
  <calcPr fullCalcOnLoad="1" refMode="R1C1"/>
</workbook>
</file>

<file path=xl/sharedStrings.xml><?xml version="1.0" encoding="utf-8"?>
<sst xmlns="http://schemas.openxmlformats.org/spreadsheetml/2006/main" count="1957" uniqueCount="613">
  <si>
    <t>ФИО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</si>
  <si>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</si>
  <si>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</si>
  <si>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</si>
  <si>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</si>
  <si>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</si>
  <si>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</si>
  <si>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</si>
  <si>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Wilks</t>
  </si>
  <si>
    <t>ВЕСОВАЯ КАТЕГОРИЯ   56</t>
  </si>
  <si>
    <t>Иванова Татьяна</t>
  </si>
  <si>
    <t>Juniors 20-23 (25.05.1993)/23</t>
  </si>
  <si>
    <t xml:space="preserve">Лично </t>
  </si>
  <si>
    <t>52,5</t>
  </si>
  <si>
    <t>57,5</t>
  </si>
  <si>
    <t>Ершова Виктория</t>
  </si>
  <si>
    <t>Open (21.08.1980)/35</t>
  </si>
  <si>
    <t>60,0</t>
  </si>
  <si>
    <t>65,0</t>
  </si>
  <si>
    <t>ВЕСОВАЯ КАТЕГОРИЯ   60</t>
  </si>
  <si>
    <t>Здирок Мария</t>
  </si>
  <si>
    <t>Juniors 20-23 (16.03.1994)/22</t>
  </si>
  <si>
    <t>55,0</t>
  </si>
  <si>
    <t>Ульянович Ольга</t>
  </si>
  <si>
    <t>Open (24.02.1984)/32</t>
  </si>
  <si>
    <t>45,0</t>
  </si>
  <si>
    <t>50,0</t>
  </si>
  <si>
    <t>ВЕСОВАЯ КАТЕГОРИЯ   67.5</t>
  </si>
  <si>
    <t>Вишневская Светлана</t>
  </si>
  <si>
    <t>Open (13.01.1992)/24</t>
  </si>
  <si>
    <t>70,0</t>
  </si>
  <si>
    <t>75,0</t>
  </si>
  <si>
    <t>77,5</t>
  </si>
  <si>
    <t>Демкив Наталия</t>
  </si>
  <si>
    <t>Open (26.07.1982)/33</t>
  </si>
  <si>
    <t>72,5</t>
  </si>
  <si>
    <t>ВЕСОВАЯ КАТЕГОРИЯ   75</t>
  </si>
  <si>
    <t>Чернина Элина</t>
  </si>
  <si>
    <t>Open (10.06.1987)/28</t>
  </si>
  <si>
    <t>82,5</t>
  </si>
  <si>
    <t>ВЕСОВАЯ КАТЕГОРИЯ   52</t>
  </si>
  <si>
    <t>Никитинский Иван</t>
  </si>
  <si>
    <t>Teenage 15-19 (07.07.2004)/11</t>
  </si>
  <si>
    <t xml:space="preserve">Тихвин/Ленинградская область </t>
  </si>
  <si>
    <t>22,5</t>
  </si>
  <si>
    <t>25,0</t>
  </si>
  <si>
    <t>26,0</t>
  </si>
  <si>
    <t>27,5</t>
  </si>
  <si>
    <t>Суетин Никита</t>
  </si>
  <si>
    <t>Teenage 15-19 (09.07.2001)/14</t>
  </si>
  <si>
    <t>Томилов Никити</t>
  </si>
  <si>
    <t>Teenage 15-19 (16.11.1999)/16</t>
  </si>
  <si>
    <t>80,0</t>
  </si>
  <si>
    <t>Лисник Александр</t>
  </si>
  <si>
    <t>Juniors 20-23 (30.06.1992)/23</t>
  </si>
  <si>
    <t>105,0</t>
  </si>
  <si>
    <t>110,0</t>
  </si>
  <si>
    <t>115,0</t>
  </si>
  <si>
    <t>Шефф Павел</t>
  </si>
  <si>
    <t>Juniors 20-23 (09.07.1993)/22</t>
  </si>
  <si>
    <t>120,0</t>
  </si>
  <si>
    <t>127,5</t>
  </si>
  <si>
    <t>137,5</t>
  </si>
  <si>
    <t>Приданников Никита</t>
  </si>
  <si>
    <t>Juniors 20-23 (18.06.1993)/22</t>
  </si>
  <si>
    <t xml:space="preserve">Курганинск/Краснодарский край </t>
  </si>
  <si>
    <t>130,0</t>
  </si>
  <si>
    <t>135,0</t>
  </si>
  <si>
    <t>Бучин Владимир</t>
  </si>
  <si>
    <t>Juniors 20-23 (12.11.1993)/22</t>
  </si>
  <si>
    <t>125,0</t>
  </si>
  <si>
    <t>Гринёв Роман</t>
  </si>
  <si>
    <t>Open (11.04.1984)/32</t>
  </si>
  <si>
    <t>140,0</t>
  </si>
  <si>
    <t>142,5</t>
  </si>
  <si>
    <t xml:space="preserve">Никитинский А. </t>
  </si>
  <si>
    <t>ВЕСОВАЯ КАТЕГОРИЯ   82.5</t>
  </si>
  <si>
    <t>Егоров Алексей</t>
  </si>
  <si>
    <t>Juniors 20-23 (03.07.1992)/23</t>
  </si>
  <si>
    <t xml:space="preserve">Рязань/Рязанская область </t>
  </si>
  <si>
    <t>147,5</t>
  </si>
  <si>
    <t>Хорcов Евгений</t>
  </si>
  <si>
    <t>Juniors 20-23 (27.04.1994)/22</t>
  </si>
  <si>
    <t>Хабаров Артём</t>
  </si>
  <si>
    <t>Open (08.02.1985)/31</t>
  </si>
  <si>
    <t>150,0</t>
  </si>
  <si>
    <t xml:space="preserve">Гринёв Р., Никитинский А </t>
  </si>
  <si>
    <t>Еганов Сергей</t>
  </si>
  <si>
    <t>Open (28.08.1984)/31</t>
  </si>
  <si>
    <t>Клюквин Дмитрий</t>
  </si>
  <si>
    <t>Open (08.06.1977)/38</t>
  </si>
  <si>
    <t xml:space="preserve">А 1 </t>
  </si>
  <si>
    <t>Комаров Эдуард</t>
  </si>
  <si>
    <t>Open (28.10.1991)/24</t>
  </si>
  <si>
    <t>Тучин Андрей</t>
  </si>
  <si>
    <t>Masters 40-44 (05.02.1974)/42</t>
  </si>
  <si>
    <t>122,5</t>
  </si>
  <si>
    <t>Карпов Василий</t>
  </si>
  <si>
    <t>Masters 50-54 (07.02.1964)/52</t>
  </si>
  <si>
    <t xml:space="preserve">Сертолово/Ленинградская область </t>
  </si>
  <si>
    <t>Михайлов Александр</t>
  </si>
  <si>
    <t>Masters 55-59 (09.12.1958)/57</t>
  </si>
  <si>
    <t>85,0</t>
  </si>
  <si>
    <t>90,0</t>
  </si>
  <si>
    <t>ВЕСОВАЯ КАТЕГОРИЯ   90</t>
  </si>
  <si>
    <t>Савченко Тимофей</t>
  </si>
  <si>
    <t>Juniors 20-23 (13.10.1993)/22</t>
  </si>
  <si>
    <t xml:space="preserve">Гатчина/Ленинградская область </t>
  </si>
  <si>
    <t>152,5</t>
  </si>
  <si>
    <t>157,5</t>
  </si>
  <si>
    <t>162,5</t>
  </si>
  <si>
    <t>Шелков Михаил</t>
  </si>
  <si>
    <t>Juniors 20-23 (29.11.1992)/23</t>
  </si>
  <si>
    <t xml:space="preserve">Вегетарианская сила </t>
  </si>
  <si>
    <t>Симошенко Алексей</t>
  </si>
  <si>
    <t>Juniors 20-23 (16.05.1994)/22</t>
  </si>
  <si>
    <t>Киселёв Сергей</t>
  </si>
  <si>
    <t>Open (27.05.1985)/31</t>
  </si>
  <si>
    <t>165,0</t>
  </si>
  <si>
    <t>175,0</t>
  </si>
  <si>
    <t>Кандауров Станислав</t>
  </si>
  <si>
    <t>Open (26.05.1990)/26</t>
  </si>
  <si>
    <t>160,0</t>
  </si>
  <si>
    <t>Карандашев Владимир</t>
  </si>
  <si>
    <t>Open (12.03.1972)/44</t>
  </si>
  <si>
    <t>145,0</t>
  </si>
  <si>
    <t xml:space="preserve">Самостоятельно </t>
  </si>
  <si>
    <t>Матвеев Виктор</t>
  </si>
  <si>
    <t>Open (02.08.1987)/28</t>
  </si>
  <si>
    <t>Педан Михаил</t>
  </si>
  <si>
    <t>Open (08.05.1989)/27</t>
  </si>
  <si>
    <t>100,0</t>
  </si>
  <si>
    <t>107,5</t>
  </si>
  <si>
    <t>Masters 40-44 (12.03.1972)/44</t>
  </si>
  <si>
    <t>ВЕСОВАЯ КАТЕГОРИЯ   100</t>
  </si>
  <si>
    <t>Дьячков Юрий</t>
  </si>
  <si>
    <t>Teenage 15-19 (03.10.1999)/16</t>
  </si>
  <si>
    <t>95,0</t>
  </si>
  <si>
    <t>Багаутдинов Богдан</t>
  </si>
  <si>
    <t>Juniors 20-23 (28.07.1995)/20</t>
  </si>
  <si>
    <t>185,0</t>
  </si>
  <si>
    <t>195,0</t>
  </si>
  <si>
    <t>200,0</t>
  </si>
  <si>
    <t>Рыбаков Анатолий</t>
  </si>
  <si>
    <t>Juniors 20-23 (17.03.1996)/20</t>
  </si>
  <si>
    <t>Никипелов Владислав</t>
  </si>
  <si>
    <t>Juniors 20-23 (27.07.1994)/21</t>
  </si>
  <si>
    <t>132,5</t>
  </si>
  <si>
    <t>Солнцев Иван</t>
  </si>
  <si>
    <t>Open (25.03.1974)/42</t>
  </si>
  <si>
    <t xml:space="preserve">Выборг/Ленинградская область </t>
  </si>
  <si>
    <t>192,5</t>
  </si>
  <si>
    <t>197,5</t>
  </si>
  <si>
    <t>Волков Андрей</t>
  </si>
  <si>
    <t>Open (29.09.1975)/40</t>
  </si>
  <si>
    <t>180,0</t>
  </si>
  <si>
    <t>190,0</t>
  </si>
  <si>
    <t>Сидько Михаил</t>
  </si>
  <si>
    <t>Open (29.08.1984)/31</t>
  </si>
  <si>
    <t>170,0</t>
  </si>
  <si>
    <t>Лилимберг Виталий</t>
  </si>
  <si>
    <t>Open (04.03.1991)/25</t>
  </si>
  <si>
    <t>Вяткин Вадим</t>
  </si>
  <si>
    <t>Open (09.04.1989)/27</t>
  </si>
  <si>
    <t>Masters 40-44 (25.03.1974)/42</t>
  </si>
  <si>
    <t>Masters 40-44 (29.09.1975)/40</t>
  </si>
  <si>
    <t>ВЕСОВАЯ КАТЕГОРИЯ   110</t>
  </si>
  <si>
    <t>Маркитантов Василий</t>
  </si>
  <si>
    <t>Open (21.02.1980)/36</t>
  </si>
  <si>
    <t xml:space="preserve">РООСФиС </t>
  </si>
  <si>
    <t>205,0</t>
  </si>
  <si>
    <t>Тимофеев Ян</t>
  </si>
  <si>
    <t>Open (14.02.1992)/24</t>
  </si>
  <si>
    <t>177,5</t>
  </si>
  <si>
    <t>182,5</t>
  </si>
  <si>
    <t>Бирюков Ильдар</t>
  </si>
  <si>
    <t>Open (24.11.1982)/33</t>
  </si>
  <si>
    <t>172,5</t>
  </si>
  <si>
    <t>Аниканов Иван</t>
  </si>
  <si>
    <t>Open (23.07.1982)/33</t>
  </si>
  <si>
    <t>167,5</t>
  </si>
  <si>
    <t>Фёдоров Андрей</t>
  </si>
  <si>
    <t>Masters 50-54 (16.10.1965)/50</t>
  </si>
  <si>
    <t>ВЕСОВАЯ КАТЕГОРИЯ   125</t>
  </si>
  <si>
    <t>Педченко Александр</t>
  </si>
  <si>
    <t>Juniors 20-23 (20.05.1993)/23</t>
  </si>
  <si>
    <t>215,0</t>
  </si>
  <si>
    <t>222,5</t>
  </si>
  <si>
    <t>227,5</t>
  </si>
  <si>
    <t>Золотов Анатолий</t>
  </si>
  <si>
    <t>Open (13.04.1972)/44</t>
  </si>
  <si>
    <t>202,5</t>
  </si>
  <si>
    <t>Пиликов Вячеслав</t>
  </si>
  <si>
    <t>Open (28.10.1980)/35</t>
  </si>
  <si>
    <t>Мамедов Сафалы</t>
  </si>
  <si>
    <t>Open (04.12.1989)/26</t>
  </si>
  <si>
    <t>Masters 40-44 (13.04.1972)/44</t>
  </si>
  <si>
    <t>Крылов Олег</t>
  </si>
  <si>
    <t>Masters 40-44 (04.11.1973)/42</t>
  </si>
  <si>
    <t>ВЕСОВАЯ КАТЕГОРИЯ   140</t>
  </si>
  <si>
    <t>Щигельский Вячеслав</t>
  </si>
  <si>
    <t>Open (04.09.1989)/26</t>
  </si>
  <si>
    <t>137,60</t>
  </si>
  <si>
    <t>207,5</t>
  </si>
  <si>
    <t>Безинских Максим</t>
  </si>
  <si>
    <t>Open (18.05.1986)/30</t>
  </si>
  <si>
    <t xml:space="preserve">Абсолютный зачёт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</si>
  <si>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</si>
  <si>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</si>
  <si>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</si>
  <si>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</si>
  <si>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</si>
  <si>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Юниоры 20 - 23 </t>
  </si>
  <si>
    <t xml:space="preserve">Открытая </t>
  </si>
  <si>
    <t xml:space="preserve">Мужчины </t>
  </si>
  <si>
    <t>132,8372</t>
  </si>
  <si>
    <t>123,3200</t>
  </si>
  <si>
    <t>104,4550</t>
  </si>
  <si>
    <t>122,5900</t>
  </si>
  <si>
    <t>119,7950</t>
  </si>
  <si>
    <t>117,2903</t>
  </si>
  <si>
    <t xml:space="preserve">Мастера 40 - 44 </t>
  </si>
  <si>
    <t>121,3916</t>
  </si>
  <si>
    <t>118,9323</t>
  </si>
  <si>
    <t>Фурманов Алексей</t>
  </si>
  <si>
    <t>Open (12.06.1987)/28</t>
  </si>
  <si>
    <t>230,0</t>
  </si>
  <si>
    <t>235,0</t>
  </si>
  <si>
    <t>242,5</t>
  </si>
  <si>
    <t>Романова Анна</t>
  </si>
  <si>
    <t>Open (16.10.1983)/32</t>
  </si>
  <si>
    <t>117,5</t>
  </si>
  <si>
    <t>Завьялова Елена</t>
  </si>
  <si>
    <t>Open (21.02.1992)/24</t>
  </si>
  <si>
    <t>Злыденная Татьяна</t>
  </si>
  <si>
    <t>Open (28.01.1987)/29</t>
  </si>
  <si>
    <t>Ошкин Денис</t>
  </si>
  <si>
    <t>Juniors 20-23 (29.02.1996)/20</t>
  </si>
  <si>
    <t xml:space="preserve">Пушкино/Московская область </t>
  </si>
  <si>
    <t>Баранов Михаил</t>
  </si>
  <si>
    <t>Juniors 20-23 (04.01.1994)/22</t>
  </si>
  <si>
    <t>Сметанюк Андрей</t>
  </si>
  <si>
    <t>Open (06.05.1981)/35</t>
  </si>
  <si>
    <t>Талеров Александр</t>
  </si>
  <si>
    <t>Open (08.06.1983)/32</t>
  </si>
  <si>
    <t>225,0</t>
  </si>
  <si>
    <t>237,5</t>
  </si>
  <si>
    <t>Грязев Антон</t>
  </si>
  <si>
    <t>Open (05.06.1987)/28</t>
  </si>
  <si>
    <t>210,0</t>
  </si>
  <si>
    <t>Белов Станислав</t>
  </si>
  <si>
    <t>Open (11.11.1990)/25</t>
  </si>
  <si>
    <t>220,0</t>
  </si>
  <si>
    <t>Павлюченко Андрей</t>
  </si>
  <si>
    <t>Open (20.04.1990)/26</t>
  </si>
  <si>
    <t xml:space="preserve">Отрадное/Ленинградская область </t>
  </si>
  <si>
    <t>Кобелев Павел</t>
  </si>
  <si>
    <t>Open (04.08.1989)/26</t>
  </si>
  <si>
    <t>280,0</t>
  </si>
  <si>
    <t>300,0</t>
  </si>
  <si>
    <t>320,0</t>
  </si>
  <si>
    <t>Холяпин Сергей</t>
  </si>
  <si>
    <t>Open (14.02.1975)/41</t>
  </si>
  <si>
    <t>Русаленко Антон</t>
  </si>
  <si>
    <t>Open (22.10.1987)/28</t>
  </si>
  <si>
    <t xml:space="preserve">Динамит </t>
  </si>
  <si>
    <t>232,5</t>
  </si>
  <si>
    <t>Ковалев Анатолий</t>
  </si>
  <si>
    <t>Open (01.08.1991)/24</t>
  </si>
  <si>
    <t>245,0</t>
  </si>
  <si>
    <t>Бекетов Павел</t>
  </si>
  <si>
    <t>Open (13.05.1989)/27</t>
  </si>
  <si>
    <t>Крылов Алексей</t>
  </si>
  <si>
    <t>Open (21.02.1988)/28</t>
  </si>
  <si>
    <t>Гусев Сергей</t>
  </si>
  <si>
    <t>Open (18.03.1987)/29</t>
  </si>
  <si>
    <t>290,0</t>
  </si>
  <si>
    <t>292,5</t>
  </si>
  <si>
    <t>Васильев Алексей</t>
  </si>
  <si>
    <t>Open (07.05.1971)/45</t>
  </si>
  <si>
    <t>Шушанян Самвел</t>
  </si>
  <si>
    <t>Open (16.04.1982)/34</t>
  </si>
  <si>
    <t>Шмарыкин Алексей</t>
  </si>
  <si>
    <t>Open (14.06.1979)/36</t>
  </si>
  <si>
    <t>Masters 45-49 (07.05.1971)/45</t>
  </si>
  <si>
    <t>Лузанов Александр</t>
  </si>
  <si>
    <t>Juniors 20-23 (30.09.1993)/22</t>
  </si>
  <si>
    <t>240,0</t>
  </si>
  <si>
    <t>250,0</t>
  </si>
  <si>
    <t>260,0</t>
  </si>
  <si>
    <t>Смирнов Игорь</t>
  </si>
  <si>
    <t>Masters 50-54 (21.04.1965)/51</t>
  </si>
  <si>
    <t>310,0</t>
  </si>
  <si>
    <t>325,0</t>
  </si>
  <si>
    <t>189,4500</t>
  </si>
  <si>
    <t>173,6930</t>
  </si>
  <si>
    <t>164,9760</t>
  </si>
  <si>
    <t>92,5</t>
  </si>
  <si>
    <t>97,5</t>
  </si>
  <si>
    <t>Зиновский Роман</t>
  </si>
  <si>
    <t>Open (08.03.1984)/32</t>
  </si>
  <si>
    <t>270,0</t>
  </si>
  <si>
    <t>460,0</t>
  </si>
  <si>
    <t>385,0</t>
  </si>
  <si>
    <t>Место</t>
  </si>
  <si>
    <t>Возрастная группа
Дата рождения/Возраст</t>
  </si>
  <si>
    <t>Собств. вес</t>
  </si>
  <si>
    <t>Город/область</t>
  </si>
  <si>
    <t>Результат</t>
  </si>
  <si>
    <t>Санкт-Петербург/Ленинградская область</t>
  </si>
  <si>
    <t xml:space="preserve">Санкт-Петербург/Ленинградская область </t>
  </si>
  <si>
    <t xml:space="preserve">Кингисепп/Ленинградская область </t>
  </si>
  <si>
    <t xml:space="preserve">Санкт Петербург/Ленинградская область </t>
  </si>
  <si>
    <t>Санкт-ПетербургЛенинградская область</t>
  </si>
  <si>
    <t>Санкт Петербург/Ленинградская область</t>
  </si>
  <si>
    <t>Колпино/Ленинградская область</t>
  </si>
  <si>
    <t>Филимонов И.</t>
  </si>
  <si>
    <t>Таранухин Г.</t>
  </si>
  <si>
    <t xml:space="preserve">Беляев В. </t>
  </si>
  <si>
    <t>Васильев Р.</t>
  </si>
  <si>
    <t>Астахов Д.</t>
  </si>
  <si>
    <t>Мамедяров А.</t>
  </si>
  <si>
    <t xml:space="preserve">Таранухин Г. </t>
  </si>
  <si>
    <t>Волков А.</t>
  </si>
  <si>
    <t>55,9</t>
  </si>
  <si>
    <t>62,5</t>
  </si>
  <si>
    <t>64,7</t>
  </si>
  <si>
    <t>66,5</t>
  </si>
  <si>
    <t>66,8</t>
  </si>
  <si>
    <t>66,3</t>
  </si>
  <si>
    <t>66,9</t>
  </si>
  <si>
    <t>73,8</t>
  </si>
  <si>
    <t>74,7</t>
  </si>
  <si>
    <t>81,2</t>
  </si>
  <si>
    <t>88,4</t>
  </si>
  <si>
    <t>87,9</t>
  </si>
  <si>
    <t>86,1</t>
  </si>
  <si>
    <t>92,0</t>
  </si>
  <si>
    <t>98,4</t>
  </si>
  <si>
    <t>93,1</t>
  </si>
  <si>
    <t>96,8</t>
  </si>
  <si>
    <t>99,0</t>
  </si>
  <si>
    <t>109,6</t>
  </si>
  <si>
    <t>103,3</t>
  </si>
  <si>
    <t>104,2</t>
  </si>
  <si>
    <t>121,3</t>
  </si>
  <si>
    <t>112,7</t>
  </si>
  <si>
    <t xml:space="preserve">100,0 </t>
  </si>
  <si>
    <t xml:space="preserve">140,0 </t>
  </si>
  <si>
    <t xml:space="preserve">110,0 </t>
  </si>
  <si>
    <t>122,4</t>
  </si>
  <si>
    <t>0</t>
  </si>
  <si>
    <t xml:space="preserve">Фурманов А. </t>
  </si>
  <si>
    <t>89,1</t>
  </si>
  <si>
    <t>Сосновый Бор/Ленинградская область</t>
  </si>
  <si>
    <t>Петергоф/Ленинградская область</t>
  </si>
  <si>
    <t xml:space="preserve">Всеволожск/Ленинградская область </t>
  </si>
  <si>
    <t>Витебск/Белоруссия</t>
  </si>
  <si>
    <t xml:space="preserve">Колпино/Ленинградская область </t>
  </si>
  <si>
    <t>55,7</t>
  </si>
  <si>
    <t>55,4</t>
  </si>
  <si>
    <t>59,0</t>
  </si>
  <si>
    <t>64,8</t>
  </si>
  <si>
    <t>73,1</t>
  </si>
  <si>
    <t>39,9</t>
  </si>
  <si>
    <t>56,7</t>
  </si>
  <si>
    <t>64,0</t>
  </si>
  <si>
    <t>74,1</t>
  </si>
  <si>
    <t>73,3</t>
  </si>
  <si>
    <t>71,1</t>
  </si>
  <si>
    <t>78,9</t>
  </si>
  <si>
    <t>80,3</t>
  </si>
  <si>
    <t>80,7</t>
  </si>
  <si>
    <t>80,4</t>
  </si>
  <si>
    <t>81,4</t>
  </si>
  <si>
    <t>81,3</t>
  </si>
  <si>
    <t>81,8</t>
  </si>
  <si>
    <t>88,8</t>
  </si>
  <si>
    <t>86,6</t>
  </si>
  <si>
    <t>86,7</t>
  </si>
  <si>
    <t>87,7</t>
  </si>
  <si>
    <t>86,8</t>
  </si>
  <si>
    <t>86,9</t>
  </si>
  <si>
    <t>87,0</t>
  </si>
  <si>
    <t>89,3</t>
  </si>
  <si>
    <t>91,3</t>
  </si>
  <si>
    <t>96,9</t>
  </si>
  <si>
    <t>97,9</t>
  </si>
  <si>
    <t>95,7</t>
  </si>
  <si>
    <t>99,7</t>
  </si>
  <si>
    <t>92,3</t>
  </si>
  <si>
    <t>99,6</t>
  </si>
  <si>
    <t>97,3</t>
  </si>
  <si>
    <t>97,1</t>
  </si>
  <si>
    <t>104,8</t>
  </si>
  <si>
    <t>107,4</t>
  </si>
  <si>
    <t>103,8</t>
  </si>
  <si>
    <t>103,1</t>
  </si>
  <si>
    <t>113,0</t>
  </si>
  <si>
    <t>120,7</t>
  </si>
  <si>
    <t>119,2</t>
  </si>
  <si>
    <t>115,3</t>
  </si>
  <si>
    <t>137,6</t>
  </si>
  <si>
    <t>130,9</t>
  </si>
  <si>
    <t>Рыбаков Д.</t>
  </si>
  <si>
    <t>Тимофеев О.</t>
  </si>
  <si>
    <t>Иванова А.</t>
  </si>
  <si>
    <t>Маркитантов В.</t>
  </si>
  <si>
    <t>Скворцов М.</t>
  </si>
  <si>
    <t>Беляев В.</t>
  </si>
  <si>
    <t>Смирнов О.</t>
  </si>
  <si>
    <t>Кульпин Н.</t>
  </si>
  <si>
    <t>Лилимберг В.</t>
  </si>
  <si>
    <t xml:space="preserve">Тимофеев О., Лахин С. </t>
  </si>
  <si>
    <t>Фёдоров А.</t>
  </si>
  <si>
    <t>Грахов Ю.</t>
  </si>
  <si>
    <t>1</t>
  </si>
  <si>
    <t>2</t>
  </si>
  <si>
    <t>3</t>
  </si>
  <si>
    <t>4</t>
  </si>
  <si>
    <t>5</t>
  </si>
  <si>
    <t xml:space="preserve">125,0 </t>
  </si>
  <si>
    <t xml:space="preserve">90,0 </t>
  </si>
  <si>
    <t>Gloss</t>
  </si>
  <si>
    <t>155,0</t>
  </si>
  <si>
    <t xml:space="preserve">Gloss </t>
  </si>
  <si>
    <t>97,2</t>
  </si>
  <si>
    <t>Вес</t>
  </si>
  <si>
    <t>Повторы</t>
  </si>
  <si>
    <t>0,7752</t>
  </si>
  <si>
    <t>Белов Андрей</t>
  </si>
  <si>
    <t>Masters 40-49 (22.02.1969)/47</t>
  </si>
  <si>
    <t>67,5</t>
  </si>
  <si>
    <t>Гринев Руслан</t>
  </si>
  <si>
    <t>Teen 13-19 (10.03.1980)/36</t>
  </si>
  <si>
    <t>0,6947</t>
  </si>
  <si>
    <t>1823,5875</t>
  </si>
  <si>
    <t>Гогунов Антон</t>
  </si>
  <si>
    <t>Open (03.01.1986)/30</t>
  </si>
  <si>
    <t>63,0</t>
  </si>
  <si>
    <t>Петров Никита</t>
  </si>
  <si>
    <t>Open (18.09.1988)/27</t>
  </si>
  <si>
    <t>0,6641</t>
  </si>
  <si>
    <t>1646,9680</t>
  </si>
  <si>
    <t>Морозов Владислав</t>
  </si>
  <si>
    <t>Open (17.04.1976)/40</t>
  </si>
  <si>
    <t>Плюто Алексей</t>
  </si>
  <si>
    <t>Open (19.07.1976)/39</t>
  </si>
  <si>
    <t>21,0</t>
  </si>
  <si>
    <t>Masters 40-49 (17.04.1976)/40</t>
  </si>
  <si>
    <t>Иванов Андрей</t>
  </si>
  <si>
    <t>Masters 40-49 (07.05.1968)/48</t>
  </si>
  <si>
    <t xml:space="preserve">Кировск/Ленинградская область </t>
  </si>
  <si>
    <t>Masters 50-59 (07.02.1964)/52</t>
  </si>
  <si>
    <t>Хорошун Максим</t>
  </si>
  <si>
    <t>Juniors 20-23 (25.01.1993)/23</t>
  </si>
  <si>
    <t>Masters 40-49 (12.03.1972)/44</t>
  </si>
  <si>
    <t>87,5</t>
  </si>
  <si>
    <t>Open (27.10.1979)/36</t>
  </si>
  <si>
    <t>Кузнецов Сергей</t>
  </si>
  <si>
    <t>Open (15.01.1983)/33</t>
  </si>
  <si>
    <t>Кучмистов Виктор</t>
  </si>
  <si>
    <t>Open (20.04.1983)/33</t>
  </si>
  <si>
    <t>Беляев Дмитрий</t>
  </si>
  <si>
    <t>Open (12.06.1984)/31</t>
  </si>
  <si>
    <t>1740,0</t>
  </si>
  <si>
    <t>2295,0</t>
  </si>
  <si>
    <t>4567,5</t>
  </si>
  <si>
    <t>3261,4234</t>
  </si>
  <si>
    <t>4070,0</t>
  </si>
  <si>
    <t>2456,8554</t>
  </si>
  <si>
    <t>3600,0</t>
  </si>
  <si>
    <t>2235,2399</t>
  </si>
  <si>
    <t>3300,0</t>
  </si>
  <si>
    <t>3040,0</t>
  </si>
  <si>
    <t>3150,0</t>
  </si>
  <si>
    <t>3010,0</t>
  </si>
  <si>
    <t>2400,0</t>
  </si>
  <si>
    <t>2600,0</t>
  </si>
  <si>
    <t>2640,0</t>
  </si>
  <si>
    <t>2200,0</t>
  </si>
  <si>
    <t>2205,0</t>
  </si>
  <si>
    <t>1725,0</t>
  </si>
  <si>
    <t>1732,5</t>
  </si>
  <si>
    <t>2887,5</t>
  </si>
  <si>
    <t>2800,0</t>
  </si>
  <si>
    <t>1620,0</t>
  </si>
  <si>
    <t>1472,5</t>
  </si>
  <si>
    <t xml:space="preserve">75,0 </t>
  </si>
  <si>
    <t xml:space="preserve">Кучмистов В. </t>
  </si>
  <si>
    <t>67,4</t>
  </si>
  <si>
    <t>71,5</t>
  </si>
  <si>
    <t>79,8</t>
  </si>
  <si>
    <t>76,7</t>
  </si>
  <si>
    <t>84,2</t>
  </si>
  <si>
    <t>94,5</t>
  </si>
  <si>
    <t>99,3</t>
  </si>
  <si>
    <t>Тоннаж</t>
  </si>
  <si>
    <t>2625,0</t>
  </si>
  <si>
    <t>2480,0</t>
  </si>
  <si>
    <t>24</t>
  </si>
  <si>
    <t>35</t>
  </si>
  <si>
    <t>63</t>
  </si>
  <si>
    <t>23</t>
  </si>
  <si>
    <t>30</t>
  </si>
  <si>
    <t>21</t>
  </si>
  <si>
    <t>19</t>
  </si>
  <si>
    <t>27</t>
  </si>
  <si>
    <t>40</t>
  </si>
  <si>
    <t>32</t>
  </si>
  <si>
    <t>44</t>
  </si>
  <si>
    <t>26</t>
  </si>
  <si>
    <t>22</t>
  </si>
  <si>
    <t>28</t>
  </si>
  <si>
    <t xml:space="preserve">п.Шуя/Карелия </t>
  </si>
  <si>
    <t>Армейский жим</t>
  </si>
  <si>
    <t xml:space="preserve">Петрозаводск/Карелия </t>
  </si>
  <si>
    <t>0, 6641</t>
  </si>
  <si>
    <t>94,6343</t>
  </si>
  <si>
    <t>Поплевкин Леонид</t>
  </si>
  <si>
    <t>Open (21.06.1988)/27</t>
  </si>
  <si>
    <t>Марцынковский Дмитрий</t>
  </si>
  <si>
    <t>Open (12.07.1980)/35</t>
  </si>
  <si>
    <t>102,5</t>
  </si>
  <si>
    <t>78,1</t>
  </si>
  <si>
    <t>88,7</t>
  </si>
  <si>
    <t>Сестрорецк/Ленинградская область</t>
  </si>
  <si>
    <t xml:space="preserve">Поплевкин А. </t>
  </si>
  <si>
    <t xml:space="preserve">Грахов Ю. </t>
  </si>
  <si>
    <t>Кунавина Наталия</t>
  </si>
  <si>
    <t>Open (15.03.1991)/25</t>
  </si>
  <si>
    <t>Белугин Иван</t>
  </si>
  <si>
    <t>Open (25.04.1988)/28</t>
  </si>
  <si>
    <t>Щербаков Максим</t>
  </si>
  <si>
    <t>Open (10.01.1986)/30</t>
  </si>
  <si>
    <t>Суховаров Дмитрий</t>
  </si>
  <si>
    <t>Open (05.05.1988)/28</t>
  </si>
  <si>
    <t>ВЕСОВАЯ КАТЕГОРИЯ   90+</t>
  </si>
  <si>
    <t>Маликов Александр</t>
  </si>
  <si>
    <t>Master 40+ (21.12.1972)/43</t>
  </si>
  <si>
    <t>Грахов Юлий</t>
  </si>
  <si>
    <t>Master 40+ (17.08.1963)/52</t>
  </si>
  <si>
    <t>Кубок Санкт-Петербурга IPL                                                                                                                              Excalibur
29 мая 2016 г.</t>
  </si>
  <si>
    <t>Рек.</t>
  </si>
  <si>
    <t>69,0</t>
  </si>
  <si>
    <t>84,6</t>
  </si>
  <si>
    <t>87,3</t>
  </si>
  <si>
    <t>96,7</t>
  </si>
  <si>
    <t>93,5</t>
  </si>
  <si>
    <t>Курнашов К.</t>
  </si>
  <si>
    <t xml:space="preserve">Абаев В. </t>
  </si>
  <si>
    <t>ВЕСОВАЯ КАТЕГОРИЯ   80</t>
  </si>
  <si>
    <t>43,0</t>
  </si>
  <si>
    <t>48,0</t>
  </si>
  <si>
    <t>53,0</t>
  </si>
  <si>
    <t>73,0</t>
  </si>
  <si>
    <t>Кравченко Альберт</t>
  </si>
  <si>
    <t>Master 40+ (06.08.1965)/50</t>
  </si>
  <si>
    <t>58,0</t>
  </si>
  <si>
    <t>97,7</t>
  </si>
  <si>
    <t>Кубок Санкт-Петербурга  IPL                                                                                                          Two handed pinch grip block
29 мая 2016 г.</t>
  </si>
  <si>
    <t>31,0</t>
  </si>
  <si>
    <t>Open (17.08.1963)/52</t>
  </si>
  <si>
    <t>23,5</t>
  </si>
  <si>
    <t>Кубок Санкт-Петербурга IPL                                                                                                                     HUB
29 мая 2016 г.</t>
  </si>
  <si>
    <t>Абаев В.</t>
  </si>
  <si>
    <t>Карманов Евгений</t>
  </si>
  <si>
    <t>Open (04.11.1987)/28</t>
  </si>
  <si>
    <t>Бальчитис Имант</t>
  </si>
  <si>
    <t>Open (25.08.1987)/28</t>
  </si>
  <si>
    <t>Ройгас Александр</t>
  </si>
  <si>
    <t>Open (14.01.1986)/30</t>
  </si>
  <si>
    <t>78,6</t>
  </si>
  <si>
    <t>99,9</t>
  </si>
  <si>
    <t>93,0</t>
  </si>
  <si>
    <t>Всеволожск/Ленинградская область</t>
  </si>
  <si>
    <t>Поплевкин А.</t>
  </si>
  <si>
    <t>Кубок Санкт-Петербурга  IPL                                                                                                                 Apollon's Axle
29 мая 2016 г.</t>
  </si>
  <si>
    <t>Писаренко Владислав</t>
  </si>
  <si>
    <t>Junior (01.03.1996)/20</t>
  </si>
  <si>
    <t xml:space="preserve">Барнаул/Алтайский край </t>
  </si>
  <si>
    <t>33,0</t>
  </si>
  <si>
    <t>45,5</t>
  </si>
  <si>
    <t>ВЕСОВАЯ КАТЕГОРИЯ   100+</t>
  </si>
  <si>
    <t>Open (30.10.1984)/31</t>
  </si>
  <si>
    <t>74,8</t>
  </si>
  <si>
    <t>Кубок Санкт-Петербурга IPL                                                                                                         Rolling Thunder
29 мая 2016 г.</t>
  </si>
  <si>
    <t>Михайлова О.</t>
  </si>
  <si>
    <t>Жим лежа на максимум</t>
  </si>
  <si>
    <t>Жим лежа многоповтор</t>
  </si>
  <si>
    <t>Субботин Сергей</t>
  </si>
  <si>
    <t>Open (27.06.1984)/32</t>
  </si>
  <si>
    <t>69,7</t>
  </si>
  <si>
    <t>5355,1731</t>
  </si>
  <si>
    <t>Кубок Санкт-Петербурга  IPL                                                                                                                                        Жимовое двоеборье Любители
.
29 мая 2016 г.</t>
  </si>
  <si>
    <t>1470,0</t>
  </si>
  <si>
    <t>37</t>
  </si>
  <si>
    <t>4608,3672</t>
  </si>
  <si>
    <t>1665,0</t>
  </si>
  <si>
    <t>Жим  на максимум</t>
  </si>
  <si>
    <t>Жим  многоповторный</t>
  </si>
  <si>
    <t>Кубок Санкт-Петербурга IPL                                                                                                                                              Силовое двоеборье без экипировки
29 мая 2016 г.</t>
  </si>
  <si>
    <t xml:space="preserve">  </t>
  </si>
  <si>
    <t>Кубок Санкт-Петербурга IPL                                                                                                                                       Становая тяга без экипировки
29 мая 2016 г.</t>
  </si>
  <si>
    <t xml:space="preserve"> </t>
  </si>
  <si>
    <t>Кубок Санкт-Петербурга IPL                                                                                                                          Жим лежа в однослойной экипировке
29 мая 2016 г.</t>
  </si>
  <si>
    <t>Кубок Санкт-Петербурга IPL                                                                                                                                               Жим лежа без экипировки
29 мая 2016 г.</t>
  </si>
  <si>
    <t>Кубок Санкт-Петербурга IPL                                                                                                                                 Жим лежа в SOFT экипировке
29 мая 2016 г.</t>
  </si>
  <si>
    <t>Кубок Санкт-Петербурга  IPL                                                                                                                               Народный жим (1 вес)
29 мая 2016 г.</t>
  </si>
  <si>
    <t>Кубок Санкт-Петербурга IPL                                                                                                                                        Пауэрспорт
29 мая 2016 г.</t>
  </si>
  <si>
    <t>Подъем на бицепс</t>
  </si>
  <si>
    <t xml:space="preserve">   </t>
  </si>
  <si>
    <t>Кубок Санкт-Петербурга IPL                                                                                                                                                 Жимовое двоеборье                                                                                                                                                                     Армейский жим
29 мая 2016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</si>
</sst>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50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3" xfId="0" applyNumberFormat="1" applyBorder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9" fillId="0" borderId="0" xfId="0" applyNumberFormat="1" applyFont="1" applyAlignment="1">
      <alignment horizontal="left" indent="1"/>
    </xf>
    <xf numFmtId="49" fontId="9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4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inden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2" fontId="0" fillId="0" borderId="0" xfId="0" applyNumberFormat="1" applyAlignment="1">
      <alignment/>
    </xf>
    <xf numFmtId="49" fontId="2" fillId="0" borderId="1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49" fontId="48" fillId="0" borderId="11" xfId="0" applyNumberFormat="1" applyFont="1" applyBorder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49" fontId="49" fillId="0" borderId="14" xfId="0" applyNumberFormat="1" applyFont="1" applyBorder="1" applyAlignment="1">
      <alignment horizontal="center"/>
    </xf>
    <xf numFmtId="49" fontId="48" fillId="0" borderId="14" xfId="0" applyNumberFormat="1" applyFont="1" applyBorder="1" applyAlignment="1">
      <alignment horizontal="center"/>
    </xf>
    <xf numFmtId="49" fontId="48" fillId="0" borderId="13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indent="1"/>
    </xf>
    <xf numFmtId="49" fontId="4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left" vertical="center"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left"/>
    </xf>
    <xf numFmtId="49" fontId="48" fillId="0" borderId="11" xfId="0" applyNumberFormat="1" applyFont="1" applyFill="1" applyBorder="1" applyAlignment="1">
      <alignment horizontal="center"/>
    </xf>
    <xf numFmtId="49" fontId="48" fillId="0" borderId="12" xfId="0" applyNumberFormat="1" applyFont="1" applyFill="1" applyBorder="1" applyAlignment="1">
      <alignment horizontal="center"/>
    </xf>
    <xf numFmtId="49" fontId="48" fillId="0" borderId="13" xfId="0" applyNumberFormat="1" applyFont="1" applyFill="1" applyBorder="1" applyAlignment="1">
      <alignment horizontal="center"/>
    </xf>
    <xf numFmtId="49" fontId="48" fillId="0" borderId="14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34" borderId="14" xfId="0" applyNumberFormat="1" applyFill="1" applyBorder="1" applyAlignment="1">
      <alignment horizontal="left"/>
    </xf>
    <xf numFmtId="49" fontId="0" fillId="34" borderId="13" xfId="0" applyNumberForma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9" fontId="0" fillId="34" borderId="17" xfId="0" applyNumberForma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49" fontId="2" fillId="34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0" fillId="0" borderId="18" xfId="0" applyNumberFormat="1" applyFill="1" applyBorder="1" applyAlignment="1">
      <alignment horizontal="left"/>
    </xf>
    <xf numFmtId="49" fontId="0" fillId="34" borderId="18" xfId="0" applyNumberFormat="1" applyFill="1" applyBorder="1" applyAlignment="1">
      <alignment horizontal="left"/>
    </xf>
    <xf numFmtId="49" fontId="11" fillId="34" borderId="18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center"/>
    </xf>
    <xf numFmtId="49" fontId="48" fillId="0" borderId="1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5" xfId="0" applyNumberFormat="1" applyBorder="1" applyAlignment="1">
      <alignment/>
    </xf>
    <xf numFmtId="49" fontId="4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29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D32" sqref="D31:D32"/>
    </sheetView>
  </sheetViews>
  <sheetFormatPr defaultColWidth="8.75390625" defaultRowHeight="12.75"/>
  <cols>
    <col min="1" max="1" width="9.125" style="31" customWidth="1"/>
    <col min="2" max="2" width="24.75390625" style="12" bestFit="1" customWidth="1"/>
    <col min="3" max="3" width="26.25390625" style="12" bestFit="1" customWidth="1"/>
    <col min="4" max="4" width="10.125" style="12" bestFit="1" customWidth="1"/>
    <col min="5" max="5" width="8.25390625" style="12" bestFit="1" customWidth="1"/>
    <col min="6" max="6" width="16.25390625" style="12" customWidth="1"/>
    <col min="7" max="7" width="35.625" style="12" customWidth="1"/>
    <col min="8" max="10" width="5.625" style="12" bestFit="1" customWidth="1"/>
    <col min="11" max="11" width="4.25390625" style="12" bestFit="1" customWidth="1"/>
    <col min="12" max="14" width="5.625" style="12" bestFit="1" customWidth="1"/>
    <col min="15" max="15" width="4.25390625" style="12" bestFit="1" customWidth="1"/>
    <col min="16" max="16" width="7.75390625" style="12" bestFit="1" customWidth="1"/>
    <col min="17" max="17" width="8.625" style="12" bestFit="1" customWidth="1"/>
    <col min="18" max="18" width="28.00390625" style="12" bestFit="1" customWidth="1"/>
  </cols>
  <sheetData>
    <row r="1" spans="1:18" s="1" customFormat="1" ht="15" customHeight="1">
      <c r="A1" s="30"/>
      <c r="B1" s="115" t="s">
        <v>601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7"/>
    </row>
    <row r="2" spans="1:18" s="1" customFormat="1" ht="102.75" customHeight="1" thickBot="1">
      <c r="A2" s="30"/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</row>
    <row r="3" spans="1:18" s="2" customFormat="1" ht="12.75" customHeight="1">
      <c r="A3" s="125" t="s">
        <v>304</v>
      </c>
      <c r="B3" s="121" t="s">
        <v>0</v>
      </c>
      <c r="C3" s="123" t="s">
        <v>305</v>
      </c>
      <c r="D3" s="123" t="s">
        <v>306</v>
      </c>
      <c r="E3" s="125" t="s">
        <v>8</v>
      </c>
      <c r="F3" s="125" t="s">
        <v>6</v>
      </c>
      <c r="G3" s="125" t="s">
        <v>307</v>
      </c>
      <c r="H3" s="125" t="s">
        <v>1</v>
      </c>
      <c r="I3" s="125"/>
      <c r="J3" s="125"/>
      <c r="K3" s="125"/>
      <c r="L3" s="125" t="s">
        <v>2</v>
      </c>
      <c r="M3" s="125"/>
      <c r="N3" s="125"/>
      <c r="O3" s="125"/>
      <c r="P3" s="125" t="s">
        <v>3</v>
      </c>
      <c r="Q3" s="125" t="s">
        <v>5</v>
      </c>
      <c r="R3" s="126" t="s">
        <v>4</v>
      </c>
    </row>
    <row r="4" spans="1:18" s="2" customFormat="1" ht="21" customHeight="1" thickBot="1">
      <c r="A4" s="124"/>
      <c r="B4" s="122"/>
      <c r="C4" s="124"/>
      <c r="D4" s="130"/>
      <c r="E4" s="124"/>
      <c r="F4" s="124"/>
      <c r="G4" s="124"/>
      <c r="H4" s="3">
        <v>1</v>
      </c>
      <c r="I4" s="3">
        <v>2</v>
      </c>
      <c r="J4" s="3">
        <v>3</v>
      </c>
      <c r="K4" s="3" t="s">
        <v>7</v>
      </c>
      <c r="L4" s="3">
        <v>1</v>
      </c>
      <c r="M4" s="3">
        <v>2</v>
      </c>
      <c r="N4" s="3">
        <v>3</v>
      </c>
      <c r="O4" s="3" t="s">
        <v>7</v>
      </c>
      <c r="P4" s="124"/>
      <c r="Q4" s="124"/>
      <c r="R4" s="127"/>
    </row>
    <row r="5" spans="2:17" ht="15.75">
      <c r="B5" s="129" t="s">
        <v>19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8" ht="12.75">
      <c r="A6" s="31">
        <v>1</v>
      </c>
      <c r="B6" s="13" t="s">
        <v>23</v>
      </c>
      <c r="C6" s="13" t="s">
        <v>24</v>
      </c>
      <c r="D6" s="13" t="s">
        <v>17</v>
      </c>
      <c r="E6" s="13" t="str">
        <f>"1,1149"</f>
        <v>1,1149</v>
      </c>
      <c r="F6" s="13" t="s">
        <v>12</v>
      </c>
      <c r="G6" s="13" t="s">
        <v>310</v>
      </c>
      <c r="H6" s="49" t="s">
        <v>26</v>
      </c>
      <c r="I6" s="34"/>
      <c r="J6" s="34"/>
      <c r="K6" s="34"/>
      <c r="L6" s="49" t="s">
        <v>39</v>
      </c>
      <c r="M6" s="49" t="s">
        <v>297</v>
      </c>
      <c r="N6" s="49" t="s">
        <v>298</v>
      </c>
      <c r="O6" s="34"/>
      <c r="P6" s="33">
        <v>147.5</v>
      </c>
      <c r="Q6" s="33" t="str">
        <f>"164,4477"</f>
        <v>164,4477</v>
      </c>
      <c r="R6" s="13" t="s">
        <v>126</v>
      </c>
    </row>
    <row r="8" spans="2:17" ht="15.75">
      <c r="B8" s="128" t="s">
        <v>27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spans="2:18" ht="12.75">
      <c r="B9" s="13" t="s">
        <v>239</v>
      </c>
      <c r="C9" s="13" t="s">
        <v>240</v>
      </c>
      <c r="D9" s="13" t="s">
        <v>330</v>
      </c>
      <c r="E9" s="13" t="str">
        <f>"0,7766"</f>
        <v>0,7766</v>
      </c>
      <c r="F9" s="13" t="s">
        <v>12</v>
      </c>
      <c r="G9" s="13" t="s">
        <v>309</v>
      </c>
      <c r="H9" s="59" t="s">
        <v>131</v>
      </c>
      <c r="I9" s="59" t="s">
        <v>131</v>
      </c>
      <c r="J9" s="34"/>
      <c r="K9" s="34"/>
      <c r="L9" s="34"/>
      <c r="M9" s="34"/>
      <c r="N9" s="34"/>
      <c r="O9" s="34"/>
      <c r="P9" s="33">
        <v>0</v>
      </c>
      <c r="Q9" s="33" t="s">
        <v>351</v>
      </c>
      <c r="R9" s="13" t="s">
        <v>319</v>
      </c>
    </row>
    <row r="11" spans="2:17" ht="15.75">
      <c r="B11" s="128" t="s">
        <v>134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18" ht="12.75">
      <c r="A12" s="31">
        <v>1</v>
      </c>
      <c r="B12" s="13" t="s">
        <v>261</v>
      </c>
      <c r="C12" s="13" t="s">
        <v>262</v>
      </c>
      <c r="D12" s="13" t="s">
        <v>338</v>
      </c>
      <c r="E12" s="13" t="str">
        <f>"0,6126"</f>
        <v>0,6126</v>
      </c>
      <c r="F12" s="13" t="s">
        <v>12</v>
      </c>
      <c r="G12" s="13" t="s">
        <v>314</v>
      </c>
      <c r="H12" s="49" t="s">
        <v>66</v>
      </c>
      <c r="I12" s="49" t="s">
        <v>73</v>
      </c>
      <c r="J12" s="49" t="s">
        <v>85</v>
      </c>
      <c r="K12" s="34"/>
      <c r="L12" s="49" t="s">
        <v>226</v>
      </c>
      <c r="M12" s="49" t="s">
        <v>227</v>
      </c>
      <c r="N12" s="59" t="s">
        <v>246</v>
      </c>
      <c r="O12" s="34"/>
      <c r="P12" s="33" t="s">
        <v>303</v>
      </c>
      <c r="Q12" s="33" t="str">
        <f>"235,8510"</f>
        <v>235,8510</v>
      </c>
      <c r="R12" s="13" t="s">
        <v>126</v>
      </c>
    </row>
    <row r="14" spans="2:17" ht="15.75">
      <c r="B14" s="128" t="s">
        <v>183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</row>
    <row r="15" spans="1:18" ht="12.75">
      <c r="A15" s="31">
        <v>1</v>
      </c>
      <c r="B15" s="13" t="s">
        <v>299</v>
      </c>
      <c r="C15" s="13" t="s">
        <v>300</v>
      </c>
      <c r="D15" s="13" t="s">
        <v>350</v>
      </c>
      <c r="E15" s="13" t="str">
        <f>"0,5724"</f>
        <v>0,5724</v>
      </c>
      <c r="F15" s="13" t="s">
        <v>12</v>
      </c>
      <c r="G15" s="13" t="s">
        <v>312</v>
      </c>
      <c r="H15" s="49" t="s">
        <v>155</v>
      </c>
      <c r="I15" s="49" t="s">
        <v>140</v>
      </c>
      <c r="J15" s="49" t="s">
        <v>156</v>
      </c>
      <c r="K15" s="34"/>
      <c r="L15" s="49" t="s">
        <v>289</v>
      </c>
      <c r="M15" s="49" t="s">
        <v>301</v>
      </c>
      <c r="N15" s="59" t="s">
        <v>258</v>
      </c>
      <c r="O15" s="34"/>
      <c r="P15" s="33" t="s">
        <v>302</v>
      </c>
      <c r="Q15" s="33" t="str">
        <f>"263,3040"</f>
        <v>263,3040</v>
      </c>
      <c r="R15" s="13" t="s">
        <v>126</v>
      </c>
    </row>
    <row r="30" ht="12.75">
      <c r="G30" s="12" t="s">
        <v>602</v>
      </c>
    </row>
  </sheetData>
  <sheetProtection/>
  <mergeCells count="17"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A3:A4"/>
    <mergeCell ref="B14:Q14"/>
    <mergeCell ref="P3:P4"/>
    <mergeCell ref="Q3:Q4"/>
    <mergeCell ref="R3:R4"/>
    <mergeCell ref="B5:Q5"/>
    <mergeCell ref="B8:Q8"/>
    <mergeCell ref="B11:Q11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3" sqref="A3:L4"/>
    </sheetView>
  </sheetViews>
  <sheetFormatPr defaultColWidth="8.75390625" defaultRowHeight="12.75"/>
  <cols>
    <col min="1" max="1" width="9.125" style="31" customWidth="1"/>
    <col min="2" max="2" width="24.75390625" style="12" bestFit="1" customWidth="1"/>
    <col min="3" max="3" width="27.25390625" style="12" customWidth="1"/>
    <col min="4" max="4" width="8.75390625" style="12" customWidth="1"/>
    <col min="5" max="5" width="21.75390625" style="12" bestFit="1" customWidth="1"/>
    <col min="6" max="6" width="36.375" style="12" customWidth="1"/>
    <col min="7" max="8" width="4.625" style="12" bestFit="1" customWidth="1"/>
    <col min="9" max="9" width="5.625" style="12" bestFit="1" customWidth="1"/>
    <col min="10" max="10" width="4.875" style="12" customWidth="1"/>
    <col min="11" max="11" width="11.625" style="32" customWidth="1"/>
    <col min="12" max="12" width="24.375" style="12" bestFit="1" customWidth="1"/>
  </cols>
  <sheetData>
    <row r="1" spans="1:12" s="1" customFormat="1" ht="15" customHeight="1">
      <c r="A1" s="30"/>
      <c r="B1" s="115" t="s">
        <v>542</v>
      </c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2" s="1" customFormat="1" ht="105" customHeight="1" thickBot="1">
      <c r="A2" s="30"/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s="2" customFormat="1" ht="12.75" customHeight="1">
      <c r="A3" s="125" t="s">
        <v>304</v>
      </c>
      <c r="B3" s="121" t="s">
        <v>0</v>
      </c>
      <c r="C3" s="123" t="s">
        <v>305</v>
      </c>
      <c r="D3" s="123" t="s">
        <v>306</v>
      </c>
      <c r="E3" s="125" t="s">
        <v>6</v>
      </c>
      <c r="F3" s="125" t="s">
        <v>307</v>
      </c>
      <c r="G3" s="138" t="s">
        <v>2</v>
      </c>
      <c r="H3" s="138"/>
      <c r="I3" s="138"/>
      <c r="J3" s="139"/>
      <c r="K3" s="131" t="s">
        <v>308</v>
      </c>
      <c r="L3" s="126" t="s">
        <v>4</v>
      </c>
    </row>
    <row r="4" spans="1:12" s="2" customFormat="1" ht="21" customHeight="1" thickBot="1">
      <c r="A4" s="124"/>
      <c r="B4" s="122"/>
      <c r="C4" s="124"/>
      <c r="D4" s="130"/>
      <c r="E4" s="124"/>
      <c r="F4" s="124"/>
      <c r="G4" s="3" t="s">
        <v>416</v>
      </c>
      <c r="H4" s="3" t="s">
        <v>417</v>
      </c>
      <c r="I4" s="3" t="s">
        <v>418</v>
      </c>
      <c r="J4" s="3" t="s">
        <v>543</v>
      </c>
      <c r="K4" s="132"/>
      <c r="L4" s="127"/>
    </row>
    <row r="5" spans="2:11" ht="15.75">
      <c r="B5" s="129" t="s">
        <v>36</v>
      </c>
      <c r="C5" s="129"/>
      <c r="D5" s="129"/>
      <c r="E5" s="129"/>
      <c r="F5" s="129"/>
      <c r="G5" s="129"/>
      <c r="H5" s="129"/>
      <c r="I5" s="129"/>
      <c r="J5" s="129"/>
      <c r="K5" s="129"/>
    </row>
    <row r="6" spans="1:12" ht="12.75">
      <c r="A6" s="31">
        <v>1</v>
      </c>
      <c r="B6" s="13" t="s">
        <v>529</v>
      </c>
      <c r="C6" s="13" t="s">
        <v>530</v>
      </c>
      <c r="D6" s="13" t="s">
        <v>544</v>
      </c>
      <c r="E6" s="13" t="s">
        <v>12</v>
      </c>
      <c r="F6" s="13" t="s">
        <v>309</v>
      </c>
      <c r="G6" s="49" t="s">
        <v>25</v>
      </c>
      <c r="H6" s="49" t="s">
        <v>26</v>
      </c>
      <c r="I6" s="59" t="s">
        <v>17</v>
      </c>
      <c r="J6" s="34"/>
      <c r="K6" s="35">
        <v>50</v>
      </c>
      <c r="L6" s="13" t="s">
        <v>126</v>
      </c>
    </row>
    <row r="8" spans="2:11" ht="15.75">
      <c r="B8" s="128" t="s">
        <v>104</v>
      </c>
      <c r="C8" s="128"/>
      <c r="D8" s="128"/>
      <c r="E8" s="128"/>
      <c r="F8" s="128"/>
      <c r="G8" s="128"/>
      <c r="H8" s="128"/>
      <c r="I8" s="128"/>
      <c r="J8" s="128"/>
      <c r="K8" s="128"/>
    </row>
    <row r="9" spans="1:12" ht="12.75">
      <c r="A9" s="31">
        <v>1</v>
      </c>
      <c r="B9" s="20" t="s">
        <v>531</v>
      </c>
      <c r="C9" s="20" t="s">
        <v>532</v>
      </c>
      <c r="D9" s="20" t="s">
        <v>545</v>
      </c>
      <c r="E9" s="20" t="s">
        <v>12</v>
      </c>
      <c r="F9" s="20" t="s">
        <v>309</v>
      </c>
      <c r="G9" s="50" t="s">
        <v>31</v>
      </c>
      <c r="H9" s="55" t="s">
        <v>103</v>
      </c>
      <c r="I9" s="50" t="s">
        <v>103</v>
      </c>
      <c r="J9" s="37"/>
      <c r="K9" s="38">
        <v>90</v>
      </c>
      <c r="L9" s="20" t="s">
        <v>549</v>
      </c>
    </row>
    <row r="10" spans="1:12" ht="12.75">
      <c r="A10" s="31">
        <v>2</v>
      </c>
      <c r="B10" s="22" t="s">
        <v>533</v>
      </c>
      <c r="C10" s="22" t="s">
        <v>534</v>
      </c>
      <c r="D10" s="22" t="s">
        <v>546</v>
      </c>
      <c r="E10" s="22" t="s">
        <v>12</v>
      </c>
      <c r="F10" s="22" t="s">
        <v>309</v>
      </c>
      <c r="G10" s="52" t="s">
        <v>30</v>
      </c>
      <c r="H10" s="52" t="s">
        <v>103</v>
      </c>
      <c r="I10" s="54" t="s">
        <v>137</v>
      </c>
      <c r="J10" s="42"/>
      <c r="K10" s="44">
        <v>90</v>
      </c>
      <c r="L10" s="22" t="s">
        <v>126</v>
      </c>
    </row>
    <row r="12" spans="2:11" ht="15.75">
      <c r="B12" s="128" t="s">
        <v>134</v>
      </c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12" ht="12.75">
      <c r="A13" s="31">
        <v>1</v>
      </c>
      <c r="B13" s="13" t="s">
        <v>535</v>
      </c>
      <c r="C13" s="13" t="s">
        <v>536</v>
      </c>
      <c r="D13" s="13" t="s">
        <v>547</v>
      </c>
      <c r="E13" s="13" t="s">
        <v>12</v>
      </c>
      <c r="F13" s="13" t="s">
        <v>310</v>
      </c>
      <c r="G13" s="49" t="s">
        <v>18</v>
      </c>
      <c r="H13" s="49" t="s">
        <v>52</v>
      </c>
      <c r="I13" s="59" t="s">
        <v>131</v>
      </c>
      <c r="J13" s="34"/>
      <c r="K13" s="35">
        <v>80</v>
      </c>
      <c r="L13" s="13" t="s">
        <v>126</v>
      </c>
    </row>
    <row r="15" spans="2:11" ht="15.75">
      <c r="B15" s="128" t="s">
        <v>183</v>
      </c>
      <c r="C15" s="128"/>
      <c r="D15" s="128"/>
      <c r="E15" s="128"/>
      <c r="F15" s="128"/>
      <c r="G15" s="128"/>
      <c r="H15" s="128"/>
      <c r="I15" s="128"/>
      <c r="J15" s="128"/>
      <c r="K15" s="128"/>
    </row>
    <row r="16" spans="1:12" ht="12.75">
      <c r="A16" s="31">
        <v>1</v>
      </c>
      <c r="B16" s="13" t="s">
        <v>192</v>
      </c>
      <c r="C16" s="13" t="s">
        <v>193</v>
      </c>
      <c r="D16" s="13" t="s">
        <v>400</v>
      </c>
      <c r="E16" s="13" t="s">
        <v>169</v>
      </c>
      <c r="F16" s="13" t="s">
        <v>309</v>
      </c>
      <c r="G16" s="49" t="s">
        <v>30</v>
      </c>
      <c r="H16" s="49" t="s">
        <v>31</v>
      </c>
      <c r="I16" s="49" t="s">
        <v>52</v>
      </c>
      <c r="J16" s="49" t="s">
        <v>103</v>
      </c>
      <c r="K16" s="35">
        <v>90</v>
      </c>
      <c r="L16" s="13" t="s">
        <v>415</v>
      </c>
    </row>
    <row r="18" spans="2:11" ht="15.75">
      <c r="B18" s="128" t="s">
        <v>537</v>
      </c>
      <c r="C18" s="128"/>
      <c r="D18" s="128"/>
      <c r="E18" s="128"/>
      <c r="F18" s="128"/>
      <c r="G18" s="128"/>
      <c r="H18" s="128"/>
      <c r="I18" s="128"/>
      <c r="J18" s="128"/>
      <c r="K18" s="128"/>
    </row>
    <row r="19" spans="1:12" ht="12.75">
      <c r="A19" s="31">
        <v>1</v>
      </c>
      <c r="B19" s="20" t="s">
        <v>538</v>
      </c>
      <c r="C19" s="20" t="s">
        <v>539</v>
      </c>
      <c r="D19" s="20" t="s">
        <v>397</v>
      </c>
      <c r="E19" s="20" t="s">
        <v>12</v>
      </c>
      <c r="F19" s="20" t="s">
        <v>310</v>
      </c>
      <c r="G19" s="50" t="s">
        <v>30</v>
      </c>
      <c r="H19" s="50" t="s">
        <v>102</v>
      </c>
      <c r="I19" s="55" t="s">
        <v>103</v>
      </c>
      <c r="J19" s="37"/>
      <c r="K19" s="38">
        <v>85</v>
      </c>
      <c r="L19" s="20" t="s">
        <v>550</v>
      </c>
    </row>
    <row r="20" spans="1:12" ht="12.75">
      <c r="A20" s="31">
        <v>2</v>
      </c>
      <c r="B20" s="22" t="s">
        <v>540</v>
      </c>
      <c r="C20" s="22" t="s">
        <v>541</v>
      </c>
      <c r="D20" s="22" t="s">
        <v>548</v>
      </c>
      <c r="E20" s="22" t="s">
        <v>169</v>
      </c>
      <c r="F20" s="22" t="s">
        <v>309</v>
      </c>
      <c r="G20" s="52" t="s">
        <v>30</v>
      </c>
      <c r="H20" s="52" t="s">
        <v>31</v>
      </c>
      <c r="I20" s="52" t="s">
        <v>52</v>
      </c>
      <c r="J20" s="42"/>
      <c r="K20" s="44">
        <v>80</v>
      </c>
      <c r="L20" s="22" t="s">
        <v>126</v>
      </c>
    </row>
  </sheetData>
  <sheetProtection/>
  <mergeCells count="15">
    <mergeCell ref="B18:K18"/>
    <mergeCell ref="B1:L2"/>
    <mergeCell ref="B3:B4"/>
    <mergeCell ref="C3:C4"/>
    <mergeCell ref="D3:D4"/>
    <mergeCell ref="E3:E4"/>
    <mergeCell ref="F3:F4"/>
    <mergeCell ref="G3:J3"/>
    <mergeCell ref="K3:K4"/>
    <mergeCell ref="A3:A4"/>
    <mergeCell ref="L3:L4"/>
    <mergeCell ref="B5:K5"/>
    <mergeCell ref="B8:K8"/>
    <mergeCell ref="B12:K12"/>
    <mergeCell ref="B15:K15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F24" sqref="F24"/>
    </sheetView>
  </sheetViews>
  <sheetFormatPr defaultColWidth="8.75390625" defaultRowHeight="12.75"/>
  <cols>
    <col min="1" max="1" width="9.125" style="31" customWidth="1"/>
    <col min="2" max="2" width="24.75390625" style="12" bestFit="1" customWidth="1"/>
    <col min="3" max="3" width="28.75390625" style="12" customWidth="1"/>
    <col min="4" max="4" width="10.125" style="12" bestFit="1" customWidth="1"/>
    <col min="5" max="5" width="21.75390625" style="12" bestFit="1" customWidth="1"/>
    <col min="6" max="6" width="36.375" style="12" customWidth="1"/>
    <col min="7" max="9" width="4.625" style="12" bestFit="1" customWidth="1"/>
    <col min="10" max="10" width="4.375" style="12" customWidth="1"/>
    <col min="11" max="11" width="12.375" style="32" customWidth="1"/>
    <col min="12" max="12" width="16.125" style="12" bestFit="1" customWidth="1"/>
  </cols>
  <sheetData>
    <row r="1" spans="1:12" s="1" customFormat="1" ht="15" customHeight="1">
      <c r="A1" s="30"/>
      <c r="B1" s="115" t="s">
        <v>560</v>
      </c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2" s="1" customFormat="1" ht="106.5" customHeight="1" thickBot="1">
      <c r="A2" s="30"/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s="2" customFormat="1" ht="12.75" customHeight="1">
      <c r="A3" s="125" t="s">
        <v>304</v>
      </c>
      <c r="B3" s="121" t="s">
        <v>0</v>
      </c>
      <c r="C3" s="123" t="s">
        <v>305</v>
      </c>
      <c r="D3" s="123" t="s">
        <v>306</v>
      </c>
      <c r="E3" s="125" t="s">
        <v>6</v>
      </c>
      <c r="F3" s="125" t="s">
        <v>307</v>
      </c>
      <c r="G3" s="138" t="s">
        <v>2</v>
      </c>
      <c r="H3" s="138"/>
      <c r="I3" s="138"/>
      <c r="J3" s="139"/>
      <c r="K3" s="131" t="s">
        <v>308</v>
      </c>
      <c r="L3" s="126" t="s">
        <v>4</v>
      </c>
    </row>
    <row r="4" spans="1:12" s="2" customFormat="1" ht="21" customHeight="1" thickBot="1">
      <c r="A4" s="124"/>
      <c r="B4" s="122"/>
      <c r="C4" s="124"/>
      <c r="D4" s="130"/>
      <c r="E4" s="124"/>
      <c r="F4" s="124"/>
      <c r="G4" s="3" t="s">
        <v>416</v>
      </c>
      <c r="H4" s="3" t="s">
        <v>417</v>
      </c>
      <c r="I4" s="3" t="s">
        <v>418</v>
      </c>
      <c r="J4" s="3" t="s">
        <v>543</v>
      </c>
      <c r="K4" s="132"/>
      <c r="L4" s="127"/>
    </row>
    <row r="5" spans="2:11" ht="15.75">
      <c r="B5" s="129" t="s">
        <v>551</v>
      </c>
      <c r="C5" s="129"/>
      <c r="D5" s="129"/>
      <c r="E5" s="129"/>
      <c r="F5" s="129"/>
      <c r="G5" s="129"/>
      <c r="H5" s="129"/>
      <c r="I5" s="129"/>
      <c r="J5" s="129"/>
      <c r="K5" s="129"/>
    </row>
    <row r="6" spans="1:12" ht="12.75">
      <c r="A6" s="31">
        <v>1</v>
      </c>
      <c r="B6" s="13" t="s">
        <v>437</v>
      </c>
      <c r="C6" s="13" t="s">
        <v>438</v>
      </c>
      <c r="D6" s="13" t="s">
        <v>491</v>
      </c>
      <c r="E6" s="13" t="s">
        <v>12</v>
      </c>
      <c r="F6" s="13" t="s">
        <v>516</v>
      </c>
      <c r="G6" s="33" t="s">
        <v>552</v>
      </c>
      <c r="H6" s="33" t="s">
        <v>553</v>
      </c>
      <c r="I6" s="33" t="s">
        <v>554</v>
      </c>
      <c r="J6" s="34"/>
      <c r="K6" s="35">
        <v>53</v>
      </c>
      <c r="L6" s="13" t="s">
        <v>126</v>
      </c>
    </row>
    <row r="8" spans="2:11" ht="15.75">
      <c r="B8" s="128" t="s">
        <v>134</v>
      </c>
      <c r="C8" s="128"/>
      <c r="D8" s="128"/>
      <c r="E8" s="128"/>
      <c r="F8" s="128"/>
      <c r="G8" s="128"/>
      <c r="H8" s="128"/>
      <c r="I8" s="128"/>
      <c r="J8" s="128"/>
      <c r="K8" s="128"/>
    </row>
    <row r="9" spans="1:12" ht="12.75">
      <c r="A9" s="31">
        <v>1</v>
      </c>
      <c r="B9" s="13" t="s">
        <v>535</v>
      </c>
      <c r="C9" s="13" t="s">
        <v>536</v>
      </c>
      <c r="D9" s="13" t="s">
        <v>547</v>
      </c>
      <c r="E9" s="13" t="s">
        <v>12</v>
      </c>
      <c r="F9" s="13" t="s">
        <v>309</v>
      </c>
      <c r="G9" s="33" t="s">
        <v>554</v>
      </c>
      <c r="H9" s="33" t="s">
        <v>439</v>
      </c>
      <c r="I9" s="34" t="s">
        <v>555</v>
      </c>
      <c r="J9" s="34"/>
      <c r="K9" s="35">
        <v>63</v>
      </c>
      <c r="L9" s="13" t="s">
        <v>126</v>
      </c>
    </row>
    <row r="11" spans="2:11" ht="15.75">
      <c r="B11" s="128" t="s">
        <v>537</v>
      </c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12" ht="12.75">
      <c r="A12" s="31">
        <v>1</v>
      </c>
      <c r="B12" s="13" t="s">
        <v>556</v>
      </c>
      <c r="C12" s="13" t="s">
        <v>557</v>
      </c>
      <c r="D12" s="13" t="s">
        <v>559</v>
      </c>
      <c r="E12" s="13" t="s">
        <v>12</v>
      </c>
      <c r="F12" s="13" t="s">
        <v>314</v>
      </c>
      <c r="G12" s="33" t="s">
        <v>554</v>
      </c>
      <c r="H12" s="33" t="s">
        <v>439</v>
      </c>
      <c r="I12" s="33" t="s">
        <v>555</v>
      </c>
      <c r="J12" s="34"/>
      <c r="K12" s="35">
        <v>73</v>
      </c>
      <c r="L12" s="13" t="s">
        <v>126</v>
      </c>
    </row>
    <row r="14" spans="1:11" s="1" customFormat="1" ht="15.75">
      <c r="A14" s="30"/>
      <c r="B14" s="136" t="s">
        <v>183</v>
      </c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2" s="1" customFormat="1" ht="12.75">
      <c r="A15" s="30" t="s">
        <v>416</v>
      </c>
      <c r="B15" s="111" t="s">
        <v>192</v>
      </c>
      <c r="C15" s="8" t="s">
        <v>193</v>
      </c>
      <c r="D15" s="8" t="s">
        <v>400</v>
      </c>
      <c r="E15" s="8" t="s">
        <v>169</v>
      </c>
      <c r="F15" s="8" t="s">
        <v>309</v>
      </c>
      <c r="G15" s="33" t="s">
        <v>553</v>
      </c>
      <c r="H15" s="33" t="s">
        <v>558</v>
      </c>
      <c r="I15" s="33" t="s">
        <v>555</v>
      </c>
      <c r="J15" s="34"/>
      <c r="K15" s="35">
        <v>73</v>
      </c>
      <c r="L15" s="13" t="s">
        <v>415</v>
      </c>
    </row>
  </sheetData>
  <sheetProtection/>
  <mergeCells count="14">
    <mergeCell ref="A3:A4"/>
    <mergeCell ref="G3:J3"/>
    <mergeCell ref="B1:L2"/>
    <mergeCell ref="B3:B4"/>
    <mergeCell ref="C3:C4"/>
    <mergeCell ref="D3:D4"/>
    <mergeCell ref="F3:F4"/>
    <mergeCell ref="K3:K4"/>
    <mergeCell ref="L3:L4"/>
    <mergeCell ref="E3:E4"/>
    <mergeCell ref="B14:K14"/>
    <mergeCell ref="B5:K5"/>
    <mergeCell ref="B8:K8"/>
    <mergeCell ref="B11:K11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3" sqref="A3:L4"/>
    </sheetView>
  </sheetViews>
  <sheetFormatPr defaultColWidth="8.75390625" defaultRowHeight="12.75"/>
  <cols>
    <col min="1" max="1" width="8.75390625" style="0" customWidth="1"/>
    <col min="2" max="2" width="24.75390625" style="12" bestFit="1" customWidth="1"/>
    <col min="3" max="3" width="28.875" style="12" customWidth="1"/>
    <col min="4" max="4" width="10.125" style="12" bestFit="1" customWidth="1"/>
    <col min="5" max="5" width="21.75390625" style="12" bestFit="1" customWidth="1"/>
    <col min="6" max="6" width="36.375" style="12" customWidth="1"/>
    <col min="7" max="9" width="4.625" style="12" bestFit="1" customWidth="1"/>
    <col min="10" max="10" width="5.375" style="12" customWidth="1"/>
    <col min="11" max="11" width="12.875" style="12" customWidth="1"/>
    <col min="12" max="12" width="24.375" style="12" bestFit="1" customWidth="1"/>
  </cols>
  <sheetData>
    <row r="1" spans="2:12" s="1" customFormat="1" ht="15" customHeight="1">
      <c r="B1" s="115" t="s">
        <v>564</v>
      </c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2:12" s="1" customFormat="1" ht="103.5" customHeight="1" thickBot="1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s="2" customFormat="1" ht="12.75" customHeight="1">
      <c r="A3" s="125" t="s">
        <v>304</v>
      </c>
      <c r="B3" s="121" t="s">
        <v>0</v>
      </c>
      <c r="C3" s="123" t="s">
        <v>305</v>
      </c>
      <c r="D3" s="123" t="s">
        <v>306</v>
      </c>
      <c r="E3" s="125" t="s">
        <v>6</v>
      </c>
      <c r="F3" s="125" t="s">
        <v>307</v>
      </c>
      <c r="G3" s="138" t="s">
        <v>2</v>
      </c>
      <c r="H3" s="138"/>
      <c r="I3" s="138"/>
      <c r="J3" s="139"/>
      <c r="K3" s="131" t="s">
        <v>308</v>
      </c>
      <c r="L3" s="126" t="s">
        <v>4</v>
      </c>
    </row>
    <row r="4" spans="1:12" s="2" customFormat="1" ht="21" customHeight="1" thickBot="1">
      <c r="A4" s="124"/>
      <c r="B4" s="122"/>
      <c r="C4" s="124"/>
      <c r="D4" s="130"/>
      <c r="E4" s="124"/>
      <c r="F4" s="124"/>
      <c r="G4" s="3" t="s">
        <v>416</v>
      </c>
      <c r="H4" s="3" t="s">
        <v>417</v>
      </c>
      <c r="I4" s="3" t="s">
        <v>418</v>
      </c>
      <c r="J4" s="3" t="s">
        <v>543</v>
      </c>
      <c r="K4" s="132"/>
      <c r="L4" s="127"/>
    </row>
    <row r="5" spans="2:11" ht="15.75">
      <c r="B5" s="129" t="s">
        <v>134</v>
      </c>
      <c r="C5" s="129"/>
      <c r="D5" s="129"/>
      <c r="E5" s="129"/>
      <c r="F5" s="129"/>
      <c r="G5" s="129"/>
      <c r="H5" s="129"/>
      <c r="I5" s="129"/>
      <c r="J5" s="129"/>
      <c r="K5" s="129"/>
    </row>
    <row r="6" spans="1:12" ht="12.75">
      <c r="A6" s="31">
        <v>1</v>
      </c>
      <c r="B6" s="20" t="s">
        <v>535</v>
      </c>
      <c r="C6" s="20" t="s">
        <v>536</v>
      </c>
      <c r="D6" s="20" t="s">
        <v>547</v>
      </c>
      <c r="E6" s="20" t="s">
        <v>12</v>
      </c>
      <c r="F6" s="20" t="s">
        <v>310</v>
      </c>
      <c r="G6" s="50" t="s">
        <v>448</v>
      </c>
      <c r="H6" s="50" t="s">
        <v>46</v>
      </c>
      <c r="I6" s="37" t="s">
        <v>561</v>
      </c>
      <c r="J6" s="37"/>
      <c r="K6" s="36" t="s">
        <v>46</v>
      </c>
      <c r="L6" s="20" t="s">
        <v>126</v>
      </c>
    </row>
    <row r="7" spans="1:12" ht="12.75">
      <c r="A7" s="31">
        <v>2</v>
      </c>
      <c r="B7" s="22" t="s">
        <v>540</v>
      </c>
      <c r="C7" s="22" t="s">
        <v>562</v>
      </c>
      <c r="D7" s="22" t="s">
        <v>548</v>
      </c>
      <c r="E7" s="22" t="s">
        <v>169</v>
      </c>
      <c r="F7" s="22" t="s">
        <v>309</v>
      </c>
      <c r="G7" s="52" t="s">
        <v>448</v>
      </c>
      <c r="H7" s="42" t="s">
        <v>563</v>
      </c>
      <c r="I7" s="42" t="s">
        <v>563</v>
      </c>
      <c r="J7" s="42"/>
      <c r="K7" s="43" t="s">
        <v>448</v>
      </c>
      <c r="L7" s="22" t="s">
        <v>126</v>
      </c>
    </row>
    <row r="9" spans="2:11" ht="15.75">
      <c r="B9" s="128" t="s">
        <v>537</v>
      </c>
      <c r="C9" s="128"/>
      <c r="D9" s="128"/>
      <c r="E9" s="128"/>
      <c r="F9" s="128"/>
      <c r="G9" s="128"/>
      <c r="H9" s="128"/>
      <c r="I9" s="128"/>
      <c r="J9" s="128"/>
      <c r="K9" s="128"/>
    </row>
    <row r="10" spans="2:12" ht="12.75">
      <c r="B10" s="13" t="s">
        <v>538</v>
      </c>
      <c r="C10" s="13" t="s">
        <v>539</v>
      </c>
      <c r="D10" s="13" t="s">
        <v>397</v>
      </c>
      <c r="E10" s="13" t="s">
        <v>12</v>
      </c>
      <c r="F10" s="13" t="s">
        <v>310</v>
      </c>
      <c r="G10" s="59" t="s">
        <v>448</v>
      </c>
      <c r="H10" s="59" t="s">
        <v>448</v>
      </c>
      <c r="I10" s="59" t="s">
        <v>448</v>
      </c>
      <c r="J10" s="34"/>
      <c r="K10" s="33">
        <v>0</v>
      </c>
      <c r="L10" s="13" t="s">
        <v>565</v>
      </c>
    </row>
  </sheetData>
  <sheetProtection/>
  <mergeCells count="12">
    <mergeCell ref="G3:J3"/>
    <mergeCell ref="K3:K4"/>
    <mergeCell ref="L3:L4"/>
    <mergeCell ref="B5:K5"/>
    <mergeCell ref="B9:K9"/>
    <mergeCell ref="A3:A4"/>
    <mergeCell ref="B1:L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"/>
  <sheetViews>
    <sheetView workbookViewId="0" topLeftCell="A1">
      <selection activeCell="B16" sqref="B15:B16"/>
    </sheetView>
  </sheetViews>
  <sheetFormatPr defaultColWidth="8.75390625" defaultRowHeight="12.75"/>
  <cols>
    <col min="1" max="1" width="8.75390625" style="0" customWidth="1"/>
    <col min="2" max="2" width="21.625" style="0" customWidth="1"/>
    <col min="3" max="3" width="28.375" style="0" customWidth="1"/>
    <col min="4" max="4" width="12.00390625" style="0" customWidth="1"/>
    <col min="5" max="5" width="14.25390625" style="0" customWidth="1"/>
    <col min="6" max="6" width="36.25390625" style="0" customWidth="1"/>
    <col min="7" max="7" width="7.125" style="0" customWidth="1"/>
    <col min="8" max="8" width="6.875" style="0" customWidth="1"/>
    <col min="9" max="9" width="6.00390625" style="0" customWidth="1"/>
    <col min="10" max="10" width="6.125" style="0" customWidth="1"/>
    <col min="11" max="11" width="8.75390625" style="0" customWidth="1"/>
    <col min="12" max="12" width="0.2421875" style="0" customWidth="1"/>
    <col min="13" max="13" width="8.75390625" style="0" customWidth="1"/>
    <col min="14" max="14" width="7.00390625" style="0" customWidth="1"/>
    <col min="15" max="16" width="8.75390625" style="0" customWidth="1"/>
    <col min="17" max="17" width="17.00390625" style="0" customWidth="1"/>
  </cols>
  <sheetData>
    <row r="1" spans="2:17" ht="12.75" customHeight="1">
      <c r="B1" s="115" t="s">
        <v>594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7"/>
    </row>
    <row r="2" spans="2:17" ht="106.5" customHeight="1" thickBot="1">
      <c r="B2" s="148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</row>
    <row r="3" spans="1:17" ht="15" customHeight="1">
      <c r="A3" s="125" t="s">
        <v>304</v>
      </c>
      <c r="B3" s="121" t="s">
        <v>0</v>
      </c>
      <c r="C3" s="123" t="s">
        <v>305</v>
      </c>
      <c r="D3" s="123" t="s">
        <v>306</v>
      </c>
      <c r="E3" s="125" t="s">
        <v>6</v>
      </c>
      <c r="F3" s="125" t="s">
        <v>307</v>
      </c>
      <c r="G3" s="125" t="s">
        <v>588</v>
      </c>
      <c r="H3" s="125"/>
      <c r="I3" s="125"/>
      <c r="J3" s="125"/>
      <c r="K3" s="125" t="s">
        <v>589</v>
      </c>
      <c r="L3" s="125"/>
      <c r="M3" s="125"/>
      <c r="N3" s="125"/>
      <c r="O3" s="125" t="s">
        <v>3</v>
      </c>
      <c r="P3" s="125" t="s">
        <v>5</v>
      </c>
      <c r="Q3" s="126" t="s">
        <v>4</v>
      </c>
    </row>
    <row r="4" spans="1:17" ht="15" customHeight="1" thickBot="1">
      <c r="A4" s="124"/>
      <c r="B4" s="122"/>
      <c r="C4" s="124"/>
      <c r="D4" s="130"/>
      <c r="E4" s="124"/>
      <c r="F4" s="124"/>
      <c r="G4" s="3">
        <v>1</v>
      </c>
      <c r="H4" s="3">
        <v>2</v>
      </c>
      <c r="I4" s="3">
        <v>3</v>
      </c>
      <c r="J4" s="3" t="s">
        <v>7</v>
      </c>
      <c r="K4" s="142" t="s">
        <v>427</v>
      </c>
      <c r="L4" s="143"/>
      <c r="M4" s="142" t="s">
        <v>428</v>
      </c>
      <c r="N4" s="143"/>
      <c r="O4" s="124"/>
      <c r="P4" s="124"/>
      <c r="Q4" s="127"/>
    </row>
    <row r="5" spans="2:17" ht="15.75">
      <c r="B5" s="140" t="s">
        <v>36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5"/>
    </row>
    <row r="6" spans="1:17" ht="12.75">
      <c r="A6" s="31">
        <v>1</v>
      </c>
      <c r="B6" s="62" t="s">
        <v>590</v>
      </c>
      <c r="C6" s="8" t="s">
        <v>591</v>
      </c>
      <c r="D6" s="8" t="s">
        <v>592</v>
      </c>
      <c r="E6" s="8" t="s">
        <v>12</v>
      </c>
      <c r="F6" s="8" t="s">
        <v>309</v>
      </c>
      <c r="G6" s="49" t="s">
        <v>55</v>
      </c>
      <c r="H6" s="49" t="s">
        <v>56</v>
      </c>
      <c r="I6" s="89" t="s">
        <v>57</v>
      </c>
      <c r="J6" s="84"/>
      <c r="K6" s="144" t="s">
        <v>30</v>
      </c>
      <c r="L6" s="145"/>
      <c r="M6" s="144" t="s">
        <v>505</v>
      </c>
      <c r="N6" s="145"/>
      <c r="O6" s="83" t="s">
        <v>595</v>
      </c>
      <c r="P6" s="83" t="s">
        <v>593</v>
      </c>
      <c r="Q6" s="8" t="s">
        <v>126</v>
      </c>
    </row>
  </sheetData>
  <sheetProtection/>
  <mergeCells count="17">
    <mergeCell ref="K6:L6"/>
    <mergeCell ref="M6:N6"/>
    <mergeCell ref="B1:Q2"/>
    <mergeCell ref="B3:B4"/>
    <mergeCell ref="C3:C4"/>
    <mergeCell ref="D3:D4"/>
    <mergeCell ref="E3:E4"/>
    <mergeCell ref="F3:F4"/>
    <mergeCell ref="G3:J3"/>
    <mergeCell ref="K3:N3"/>
    <mergeCell ref="A3:A4"/>
    <mergeCell ref="P3:P4"/>
    <mergeCell ref="Q3:Q4"/>
    <mergeCell ref="K4:L4"/>
    <mergeCell ref="M4:N4"/>
    <mergeCell ref="B5:P5"/>
    <mergeCell ref="O3:O4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O15" sqref="O15"/>
    </sheetView>
  </sheetViews>
  <sheetFormatPr defaultColWidth="8.75390625" defaultRowHeight="12.75"/>
  <cols>
    <col min="1" max="1" width="8.75390625" style="0" customWidth="1"/>
    <col min="2" max="2" width="29.75390625" style="0" customWidth="1"/>
    <col min="3" max="3" width="28.125" style="0" customWidth="1"/>
    <col min="4" max="4" width="8.75390625" style="0" customWidth="1"/>
    <col min="5" max="5" width="15.625" style="0" customWidth="1"/>
    <col min="6" max="6" width="37.125" style="0" customWidth="1"/>
    <col min="7" max="7" width="6.625" style="0" customWidth="1"/>
    <col min="8" max="8" width="6.125" style="0" customWidth="1"/>
    <col min="9" max="9" width="6.875" style="0" customWidth="1"/>
    <col min="10" max="10" width="5.25390625" style="0" customWidth="1"/>
    <col min="11" max="11" width="9.875" style="0" customWidth="1"/>
    <col min="12" max="12" width="10.125" style="0" customWidth="1"/>
    <col min="13" max="13" width="8.75390625" style="0" customWidth="1"/>
    <col min="14" max="14" width="10.125" style="0" customWidth="1"/>
    <col min="15" max="15" width="17.875" style="0" customWidth="1"/>
  </cols>
  <sheetData>
    <row r="1" spans="2:15" ht="12.75">
      <c r="B1" s="115" t="s">
        <v>612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</row>
    <row r="2" spans="2:15" ht="135" customHeight="1" thickBot="1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15" customHeight="1">
      <c r="A3" s="125" t="s">
        <v>304</v>
      </c>
      <c r="B3" s="121" t="s">
        <v>0</v>
      </c>
      <c r="C3" s="123" t="s">
        <v>305</v>
      </c>
      <c r="D3" s="123" t="s">
        <v>306</v>
      </c>
      <c r="E3" s="125" t="s">
        <v>6</v>
      </c>
      <c r="F3" s="125" t="s">
        <v>307</v>
      </c>
      <c r="G3" s="125" t="s">
        <v>599</v>
      </c>
      <c r="H3" s="125"/>
      <c r="I3" s="125"/>
      <c r="J3" s="125"/>
      <c r="K3" s="125" t="s">
        <v>600</v>
      </c>
      <c r="L3" s="125"/>
      <c r="M3" s="125" t="s">
        <v>3</v>
      </c>
      <c r="N3" s="125" t="s">
        <v>5</v>
      </c>
      <c r="O3" s="126" t="s">
        <v>4</v>
      </c>
    </row>
    <row r="4" spans="1:15" ht="15" customHeight="1" thickBot="1">
      <c r="A4" s="124"/>
      <c r="B4" s="122"/>
      <c r="C4" s="124"/>
      <c r="D4" s="130"/>
      <c r="E4" s="124"/>
      <c r="F4" s="124"/>
      <c r="G4" s="3">
        <v>1</v>
      </c>
      <c r="H4" s="3">
        <v>2</v>
      </c>
      <c r="I4" s="3">
        <v>3</v>
      </c>
      <c r="J4" s="3" t="s">
        <v>7</v>
      </c>
      <c r="K4" s="113" t="s">
        <v>427</v>
      </c>
      <c r="L4" s="113" t="s">
        <v>428</v>
      </c>
      <c r="M4" s="124"/>
      <c r="N4" s="124"/>
      <c r="O4" s="127"/>
    </row>
    <row r="5" spans="2:15" ht="15.75">
      <c r="B5" s="140" t="s">
        <v>36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5"/>
    </row>
    <row r="6" spans="1:15" ht="12.75">
      <c r="A6" s="31">
        <v>1</v>
      </c>
      <c r="B6" s="62" t="s">
        <v>521</v>
      </c>
      <c r="C6" s="8" t="s">
        <v>522</v>
      </c>
      <c r="D6" s="8" t="s">
        <v>525</v>
      </c>
      <c r="E6" s="8" t="s">
        <v>12</v>
      </c>
      <c r="F6" s="8" t="s">
        <v>309</v>
      </c>
      <c r="G6" s="49" t="s">
        <v>137</v>
      </c>
      <c r="H6" s="49" t="s">
        <v>523</v>
      </c>
      <c r="I6" s="49" t="s">
        <v>55</v>
      </c>
      <c r="J6" s="84"/>
      <c r="K6" s="114" t="s">
        <v>25</v>
      </c>
      <c r="L6" s="114" t="s">
        <v>596</v>
      </c>
      <c r="M6" s="83" t="s">
        <v>598</v>
      </c>
      <c r="N6" s="83" t="s">
        <v>597</v>
      </c>
      <c r="O6" s="8" t="s">
        <v>126</v>
      </c>
    </row>
    <row r="8" spans="2:15" ht="15.75">
      <c r="B8" s="4"/>
      <c r="C8" s="1"/>
      <c r="D8" s="1"/>
      <c r="E8" s="10"/>
      <c r="F8" s="5"/>
      <c r="G8" s="1"/>
      <c r="H8" s="1"/>
      <c r="I8" s="1"/>
      <c r="J8" s="1"/>
      <c r="K8" s="1"/>
      <c r="L8" s="1"/>
      <c r="M8" s="4"/>
      <c r="N8" s="1"/>
      <c r="O8" s="5"/>
    </row>
    <row r="9" spans="2:15" ht="15.75">
      <c r="B9" s="4"/>
      <c r="C9" s="1"/>
      <c r="D9" s="1"/>
      <c r="E9" s="10"/>
      <c r="F9" s="5"/>
      <c r="G9" s="1"/>
      <c r="H9" s="1"/>
      <c r="I9" s="1"/>
      <c r="J9" s="1"/>
      <c r="K9" s="1"/>
      <c r="L9" s="1"/>
      <c r="M9" s="4"/>
      <c r="N9" s="1"/>
      <c r="O9" s="5"/>
    </row>
    <row r="10" spans="2:15" ht="15.75">
      <c r="B10" s="4"/>
      <c r="C10" s="1"/>
      <c r="D10" s="1"/>
      <c r="E10" s="10"/>
      <c r="F10" s="5"/>
      <c r="G10" s="1"/>
      <c r="H10" s="1"/>
      <c r="I10" s="1"/>
      <c r="J10" s="1"/>
      <c r="K10" s="1"/>
      <c r="L10" s="1"/>
      <c r="M10" s="4"/>
      <c r="N10" s="1"/>
      <c r="O10" s="5"/>
    </row>
    <row r="11" spans="2:15" ht="15.75">
      <c r="B11" s="4"/>
      <c r="C11" s="1"/>
      <c r="D11" s="1"/>
      <c r="E11" s="10"/>
      <c r="F11" s="5"/>
      <c r="G11" s="1"/>
      <c r="H11" s="1"/>
      <c r="I11" s="1"/>
      <c r="J11" s="1"/>
      <c r="K11" s="1"/>
      <c r="L11" s="1"/>
      <c r="M11" s="4"/>
      <c r="N11" s="1"/>
      <c r="O11" s="5"/>
    </row>
    <row r="12" spans="2:15" ht="15.75">
      <c r="B12" s="4"/>
      <c r="C12" s="1"/>
      <c r="D12" s="1"/>
      <c r="E12" s="10"/>
      <c r="F12" s="5" t="s">
        <v>611</v>
      </c>
      <c r="G12" s="1"/>
      <c r="H12" s="1"/>
      <c r="I12" s="1"/>
      <c r="J12" s="1"/>
      <c r="K12" s="1"/>
      <c r="L12" s="1"/>
      <c r="M12" s="4"/>
      <c r="N12" s="1"/>
      <c r="O12" s="5"/>
    </row>
    <row r="13" spans="2:15" ht="15.75">
      <c r="B13" s="4"/>
      <c r="C13" s="1"/>
      <c r="D13" s="1"/>
      <c r="E13" s="10"/>
      <c r="F13" s="5"/>
      <c r="G13" s="1"/>
      <c r="H13" s="1"/>
      <c r="I13" s="1"/>
      <c r="J13" s="1"/>
      <c r="K13" s="1"/>
      <c r="L13" s="1"/>
      <c r="M13" s="4"/>
      <c r="N13" s="1"/>
      <c r="O13" s="5"/>
    </row>
  </sheetData>
  <sheetProtection/>
  <mergeCells count="13">
    <mergeCell ref="B1:O2"/>
    <mergeCell ref="B3:B4"/>
    <mergeCell ref="C3:C4"/>
    <mergeCell ref="D3:D4"/>
    <mergeCell ref="E3:E4"/>
    <mergeCell ref="F3:F4"/>
    <mergeCell ref="G3:J3"/>
    <mergeCell ref="K3:L3"/>
    <mergeCell ref="A3:A4"/>
    <mergeCell ref="N3:N4"/>
    <mergeCell ref="O3:O4"/>
    <mergeCell ref="B5:N5"/>
    <mergeCell ref="M3:M4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21">
      <selection activeCell="D64" sqref="D64"/>
    </sheetView>
  </sheetViews>
  <sheetFormatPr defaultColWidth="8.75390625" defaultRowHeight="12.75"/>
  <cols>
    <col min="1" max="1" width="7.625" style="31" customWidth="1"/>
    <col min="2" max="2" width="24.75390625" style="27" bestFit="1" customWidth="1"/>
    <col min="3" max="3" width="26.625" style="12" bestFit="1" customWidth="1"/>
    <col min="4" max="4" width="10.125" style="12" bestFit="1" customWidth="1"/>
    <col min="5" max="5" width="8.25390625" style="12" bestFit="1" customWidth="1"/>
    <col min="6" max="6" width="21.75390625" style="12" bestFit="1" customWidth="1"/>
    <col min="7" max="7" width="35.625" style="12" customWidth="1"/>
    <col min="8" max="8" width="6.625" style="12" bestFit="1" customWidth="1"/>
    <col min="9" max="10" width="5.625" style="12" bestFit="1" customWidth="1"/>
    <col min="11" max="11" width="4.25390625" style="12" bestFit="1" customWidth="1"/>
    <col min="12" max="12" width="11.25390625" style="32" customWidth="1"/>
    <col min="13" max="13" width="8.625" style="12" bestFit="1" customWidth="1"/>
    <col min="14" max="14" width="28.00390625" style="12" bestFit="1" customWidth="1"/>
  </cols>
  <sheetData>
    <row r="1" spans="1:14" s="1" customFormat="1" ht="15" customHeight="1">
      <c r="A1" s="30"/>
      <c r="B1" s="115" t="s">
        <v>603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</row>
    <row r="2" spans="1:14" s="1" customFormat="1" ht="103.5" customHeight="1" thickBot="1">
      <c r="A2" s="30"/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</row>
    <row r="3" spans="1:14" s="2" customFormat="1" ht="12.75" customHeight="1">
      <c r="A3" s="125" t="s">
        <v>304</v>
      </c>
      <c r="B3" s="121" t="s">
        <v>0</v>
      </c>
      <c r="C3" s="123" t="s">
        <v>305</v>
      </c>
      <c r="D3" s="123" t="s">
        <v>306</v>
      </c>
      <c r="E3" s="125" t="s">
        <v>8</v>
      </c>
      <c r="F3" s="125" t="s">
        <v>6</v>
      </c>
      <c r="G3" s="125" t="s">
        <v>307</v>
      </c>
      <c r="H3" s="125" t="s">
        <v>2</v>
      </c>
      <c r="I3" s="125"/>
      <c r="J3" s="125"/>
      <c r="K3" s="125"/>
      <c r="L3" s="131" t="s">
        <v>308</v>
      </c>
      <c r="M3" s="125" t="s">
        <v>5</v>
      </c>
      <c r="N3" s="126" t="s">
        <v>4</v>
      </c>
    </row>
    <row r="4" spans="1:14" s="2" customFormat="1" ht="21" customHeight="1" thickBot="1">
      <c r="A4" s="124"/>
      <c r="B4" s="122"/>
      <c r="C4" s="124"/>
      <c r="D4" s="130"/>
      <c r="E4" s="124"/>
      <c r="F4" s="124"/>
      <c r="G4" s="124"/>
      <c r="H4" s="3">
        <v>1</v>
      </c>
      <c r="I4" s="3">
        <v>2</v>
      </c>
      <c r="J4" s="3">
        <v>3</v>
      </c>
      <c r="K4" s="3" t="s">
        <v>7</v>
      </c>
      <c r="L4" s="132"/>
      <c r="M4" s="124"/>
      <c r="N4" s="127"/>
    </row>
    <row r="5" spans="2:13" ht="15.75">
      <c r="B5" s="129" t="s">
        <v>9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4" ht="12.75">
      <c r="A6" s="31">
        <v>1</v>
      </c>
      <c r="B6" s="23" t="s">
        <v>229</v>
      </c>
      <c r="C6" s="13" t="s">
        <v>230</v>
      </c>
      <c r="D6" s="13" t="s">
        <v>324</v>
      </c>
      <c r="E6" s="13" t="str">
        <f>"1,1783"</f>
        <v>1,1783</v>
      </c>
      <c r="F6" s="13" t="s">
        <v>12</v>
      </c>
      <c r="G6" s="13" t="s">
        <v>309</v>
      </c>
      <c r="H6" s="49" t="s">
        <v>56</v>
      </c>
      <c r="I6" s="49" t="s">
        <v>57</v>
      </c>
      <c r="J6" s="49" t="s">
        <v>231</v>
      </c>
      <c r="K6" s="34"/>
      <c r="L6" s="35">
        <v>117.5</v>
      </c>
      <c r="M6" s="33" t="str">
        <f>"138,4503"</f>
        <v>138,4503</v>
      </c>
      <c r="N6" s="13" t="s">
        <v>316</v>
      </c>
    </row>
    <row r="8" spans="2:13" ht="15.75">
      <c r="B8" s="128" t="s">
        <v>27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</row>
    <row r="9" spans="1:14" ht="12.75">
      <c r="A9" s="31">
        <v>1</v>
      </c>
      <c r="B9" s="24" t="s">
        <v>33</v>
      </c>
      <c r="C9" s="20" t="s">
        <v>34</v>
      </c>
      <c r="D9" s="20" t="s">
        <v>325</v>
      </c>
      <c r="E9" s="20" t="str">
        <f>"1,0805"</f>
        <v>1,0805</v>
      </c>
      <c r="F9" s="20" t="s">
        <v>12</v>
      </c>
      <c r="G9" s="20" t="s">
        <v>309</v>
      </c>
      <c r="H9" s="50" t="s">
        <v>70</v>
      </c>
      <c r="I9" s="50" t="s">
        <v>62</v>
      </c>
      <c r="J9" s="50" t="s">
        <v>125</v>
      </c>
      <c r="K9" s="37"/>
      <c r="L9" s="38">
        <v>145</v>
      </c>
      <c r="M9" s="36" t="str">
        <f>"156,6725"</f>
        <v>156,6725</v>
      </c>
      <c r="N9" s="20" t="s">
        <v>317</v>
      </c>
    </row>
    <row r="10" spans="1:14" ht="12.75">
      <c r="A10" s="31">
        <v>2</v>
      </c>
      <c r="B10" s="25" t="s">
        <v>232</v>
      </c>
      <c r="C10" s="21" t="s">
        <v>233</v>
      </c>
      <c r="D10" s="21" t="s">
        <v>326</v>
      </c>
      <c r="E10" s="21" t="str">
        <f>"1,0527"</f>
        <v>1,0527</v>
      </c>
      <c r="F10" s="21" t="s">
        <v>12</v>
      </c>
      <c r="G10" s="21" t="s">
        <v>309</v>
      </c>
      <c r="H10" s="51" t="s">
        <v>60</v>
      </c>
      <c r="I10" s="51" t="s">
        <v>70</v>
      </c>
      <c r="J10" s="51" t="s">
        <v>61</v>
      </c>
      <c r="K10" s="40"/>
      <c r="L10" s="41">
        <v>127.5</v>
      </c>
      <c r="M10" s="39" t="str">
        <f>"134,2193"</f>
        <v>134,2193</v>
      </c>
      <c r="N10" s="21" t="s">
        <v>126</v>
      </c>
    </row>
    <row r="11" spans="1:14" ht="12.75">
      <c r="A11" s="31">
        <v>3</v>
      </c>
      <c r="B11" s="26" t="s">
        <v>234</v>
      </c>
      <c r="C11" s="22" t="s">
        <v>235</v>
      </c>
      <c r="D11" s="22" t="s">
        <v>327</v>
      </c>
      <c r="E11" s="22" t="str">
        <f>"1,0317"</f>
        <v>1,0317</v>
      </c>
      <c r="F11" s="22" t="s">
        <v>12</v>
      </c>
      <c r="G11" s="22" t="s">
        <v>309</v>
      </c>
      <c r="H11" s="54" t="s">
        <v>131</v>
      </c>
      <c r="I11" s="52" t="s">
        <v>56</v>
      </c>
      <c r="J11" s="54" t="s">
        <v>57</v>
      </c>
      <c r="K11" s="42"/>
      <c r="L11" s="44">
        <v>110</v>
      </c>
      <c r="M11" s="43" t="str">
        <f>"113,4870"</f>
        <v>113,4870</v>
      </c>
      <c r="N11" s="22" t="s">
        <v>318</v>
      </c>
    </row>
    <row r="13" spans="2:13" ht="15.75">
      <c r="B13" s="128" t="s">
        <v>27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</row>
    <row r="14" spans="1:14" ht="12.75">
      <c r="A14" s="31">
        <v>1</v>
      </c>
      <c r="B14" s="24" t="s">
        <v>53</v>
      </c>
      <c r="C14" s="20" t="s">
        <v>54</v>
      </c>
      <c r="D14" s="20" t="s">
        <v>328</v>
      </c>
      <c r="E14" s="20" t="str">
        <f>"0,7775"</f>
        <v>0,7775</v>
      </c>
      <c r="F14" s="20" t="s">
        <v>12</v>
      </c>
      <c r="G14" s="20" t="s">
        <v>310</v>
      </c>
      <c r="H14" s="50" t="s">
        <v>155</v>
      </c>
      <c r="I14" s="50" t="s">
        <v>191</v>
      </c>
      <c r="J14" s="55" t="s">
        <v>170</v>
      </c>
      <c r="K14" s="37"/>
      <c r="L14" s="38">
        <v>202.5</v>
      </c>
      <c r="M14" s="36" t="str">
        <f>"157,4437"</f>
        <v>157,4437</v>
      </c>
      <c r="N14" s="20" t="s">
        <v>126</v>
      </c>
    </row>
    <row r="15" spans="1:14" ht="12.75">
      <c r="A15" s="31">
        <v>2</v>
      </c>
      <c r="B15" s="25" t="s">
        <v>236</v>
      </c>
      <c r="C15" s="21" t="s">
        <v>237</v>
      </c>
      <c r="D15" s="21" t="s">
        <v>329</v>
      </c>
      <c r="E15" s="21" t="str">
        <f>"0,7823"</f>
        <v>0,7823</v>
      </c>
      <c r="F15" s="21" t="s">
        <v>12</v>
      </c>
      <c r="G15" s="21" t="s">
        <v>238</v>
      </c>
      <c r="H15" s="51" t="s">
        <v>118</v>
      </c>
      <c r="I15" s="51" t="s">
        <v>119</v>
      </c>
      <c r="J15" s="51" t="s">
        <v>140</v>
      </c>
      <c r="K15" s="40"/>
      <c r="L15" s="41">
        <v>185</v>
      </c>
      <c r="M15" s="39" t="str">
        <f>"144,7255"</f>
        <v>144,7255</v>
      </c>
      <c r="N15" s="21" t="s">
        <v>126</v>
      </c>
    </row>
    <row r="16" spans="1:14" ht="12.75">
      <c r="A16" s="31">
        <v>3</v>
      </c>
      <c r="B16" s="26" t="s">
        <v>239</v>
      </c>
      <c r="C16" s="22" t="s">
        <v>240</v>
      </c>
      <c r="D16" s="22" t="s">
        <v>330</v>
      </c>
      <c r="E16" s="22" t="str">
        <f>"0,7766"</f>
        <v>0,7766</v>
      </c>
      <c r="F16" s="22" t="s">
        <v>12</v>
      </c>
      <c r="G16" s="22" t="s">
        <v>309</v>
      </c>
      <c r="H16" s="54" t="s">
        <v>159</v>
      </c>
      <c r="I16" s="52" t="s">
        <v>159</v>
      </c>
      <c r="J16" s="56" t="s">
        <v>174</v>
      </c>
      <c r="K16" s="42"/>
      <c r="L16" s="44">
        <v>182.5</v>
      </c>
      <c r="M16" s="43" t="str">
        <f>"141,7295"</f>
        <v>141,7295</v>
      </c>
      <c r="N16" s="22" t="s">
        <v>319</v>
      </c>
    </row>
    <row r="18" spans="2:13" ht="15.75">
      <c r="B18" s="128" t="s">
        <v>36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</row>
    <row r="19" spans="1:14" ht="12.75">
      <c r="A19" s="31">
        <v>1</v>
      </c>
      <c r="B19" s="24" t="s">
        <v>58</v>
      </c>
      <c r="C19" s="20" t="s">
        <v>59</v>
      </c>
      <c r="D19" s="20" t="s">
        <v>331</v>
      </c>
      <c r="E19" s="20" t="str">
        <f>"0,7207"</f>
        <v>0,7207</v>
      </c>
      <c r="F19" s="20" t="s">
        <v>12</v>
      </c>
      <c r="G19" s="20" t="s">
        <v>309</v>
      </c>
      <c r="H19" s="50" t="s">
        <v>155</v>
      </c>
      <c r="I19" s="50" t="s">
        <v>156</v>
      </c>
      <c r="J19" s="50" t="s">
        <v>142</v>
      </c>
      <c r="K19" s="37"/>
      <c r="L19" s="38">
        <v>200</v>
      </c>
      <c r="M19" s="36" t="str">
        <f>"144,1400"</f>
        <v>144,1400</v>
      </c>
      <c r="N19" s="20" t="s">
        <v>320</v>
      </c>
    </row>
    <row r="20" spans="1:14" ht="12.75">
      <c r="A20" s="31">
        <v>1</v>
      </c>
      <c r="B20" s="26" t="s">
        <v>241</v>
      </c>
      <c r="C20" s="22" t="s">
        <v>242</v>
      </c>
      <c r="D20" s="22" t="s">
        <v>332</v>
      </c>
      <c r="E20" s="22" t="str">
        <f>"0,7146"</f>
        <v>0,7146</v>
      </c>
      <c r="F20" s="22" t="s">
        <v>12</v>
      </c>
      <c r="G20" s="22" t="s">
        <v>311</v>
      </c>
      <c r="H20" s="52" t="s">
        <v>186</v>
      </c>
      <c r="I20" s="54" t="s">
        <v>187</v>
      </c>
      <c r="J20" s="54" t="s">
        <v>187</v>
      </c>
      <c r="K20" s="42"/>
      <c r="L20" s="44">
        <v>215</v>
      </c>
      <c r="M20" s="43" t="str">
        <f>"153,6390"</f>
        <v>153,6390</v>
      </c>
      <c r="N20" s="22" t="s">
        <v>126</v>
      </c>
    </row>
    <row r="22" spans="2:13" ht="15.75">
      <c r="B22" s="128" t="s">
        <v>76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</row>
    <row r="23" spans="1:14" ht="12.75">
      <c r="A23" s="31">
        <v>1</v>
      </c>
      <c r="B23" s="24" t="s">
        <v>77</v>
      </c>
      <c r="C23" s="20" t="s">
        <v>78</v>
      </c>
      <c r="D23" s="20" t="s">
        <v>52</v>
      </c>
      <c r="E23" s="20" t="str">
        <f>"0,6827"</f>
        <v>0,6827</v>
      </c>
      <c r="F23" s="20" t="s">
        <v>12</v>
      </c>
      <c r="G23" s="20" t="s">
        <v>79</v>
      </c>
      <c r="H23" s="50" t="s">
        <v>156</v>
      </c>
      <c r="I23" s="50" t="s">
        <v>152</v>
      </c>
      <c r="J23" s="55" t="s">
        <v>191</v>
      </c>
      <c r="K23" s="37"/>
      <c r="L23" s="38">
        <v>197.5</v>
      </c>
      <c r="M23" s="36" t="str">
        <f>"134,8332"</f>
        <v>134,8332</v>
      </c>
      <c r="N23" s="20" t="s">
        <v>126</v>
      </c>
    </row>
    <row r="24" spans="1:14" ht="12.75">
      <c r="A24" s="31">
        <v>1</v>
      </c>
      <c r="B24" s="26" t="s">
        <v>243</v>
      </c>
      <c r="C24" s="22" t="s">
        <v>244</v>
      </c>
      <c r="D24" s="22" t="s">
        <v>333</v>
      </c>
      <c r="E24" s="22" t="str">
        <f>"0,6764"</f>
        <v>0,6764</v>
      </c>
      <c r="F24" s="22" t="s">
        <v>12</v>
      </c>
      <c r="G24" s="22" t="s">
        <v>309</v>
      </c>
      <c r="H24" s="52" t="s">
        <v>245</v>
      </c>
      <c r="I24" s="54" t="s">
        <v>227</v>
      </c>
      <c r="J24" s="54" t="s">
        <v>246</v>
      </c>
      <c r="K24" s="42"/>
      <c r="L24" s="44">
        <v>225</v>
      </c>
      <c r="M24" s="43" t="str">
        <f>"152,1900"</f>
        <v>152,1900</v>
      </c>
      <c r="N24" s="22" t="s">
        <v>317</v>
      </c>
    </row>
    <row r="26" spans="2:13" ht="15.75">
      <c r="B26" s="128" t="s">
        <v>104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</row>
    <row r="27" spans="1:14" ht="12.75">
      <c r="A27" s="31">
        <v>1</v>
      </c>
      <c r="B27" s="24" t="s">
        <v>247</v>
      </c>
      <c r="C27" s="20" t="s">
        <v>248</v>
      </c>
      <c r="D27" s="20" t="s">
        <v>334</v>
      </c>
      <c r="E27" s="20" t="str">
        <f>"0,6444"</f>
        <v>0,6444</v>
      </c>
      <c r="F27" s="20" t="s">
        <v>12</v>
      </c>
      <c r="G27" s="20" t="s">
        <v>310</v>
      </c>
      <c r="H27" s="50" t="s">
        <v>249</v>
      </c>
      <c r="I27" s="50" t="s">
        <v>245</v>
      </c>
      <c r="J27" s="55" t="s">
        <v>228</v>
      </c>
      <c r="K27" s="37"/>
      <c r="L27" s="38">
        <v>225</v>
      </c>
      <c r="M27" s="36" t="str">
        <f>"144,9900"</f>
        <v>144,9900</v>
      </c>
      <c r="N27" s="20" t="s">
        <v>320</v>
      </c>
    </row>
    <row r="28" spans="1:14" ht="12.75">
      <c r="A28" s="31">
        <v>2</v>
      </c>
      <c r="B28" s="25" t="s">
        <v>250</v>
      </c>
      <c r="C28" s="21" t="s">
        <v>251</v>
      </c>
      <c r="D28" s="21" t="s">
        <v>335</v>
      </c>
      <c r="E28" s="21" t="str">
        <f>"0,6463"</f>
        <v>0,6463</v>
      </c>
      <c r="F28" s="21" t="s">
        <v>12</v>
      </c>
      <c r="G28" s="21" t="s">
        <v>43</v>
      </c>
      <c r="H28" s="51" t="s">
        <v>141</v>
      </c>
      <c r="I28" s="51" t="s">
        <v>203</v>
      </c>
      <c r="J28" s="51" t="s">
        <v>252</v>
      </c>
      <c r="K28" s="40"/>
      <c r="L28" s="41">
        <v>220</v>
      </c>
      <c r="M28" s="39" t="str">
        <f>"142,1860"</f>
        <v>142,1860</v>
      </c>
      <c r="N28" s="21" t="s">
        <v>75</v>
      </c>
    </row>
    <row r="29" spans="1:14" ht="12.75">
      <c r="A29" s="31">
        <v>3</v>
      </c>
      <c r="B29" s="26" t="s">
        <v>253</v>
      </c>
      <c r="C29" s="22" t="s">
        <v>254</v>
      </c>
      <c r="D29" s="22" t="s">
        <v>336</v>
      </c>
      <c r="E29" s="22" t="str">
        <f>"0,6536"</f>
        <v>0,6536</v>
      </c>
      <c r="F29" s="22" t="s">
        <v>12</v>
      </c>
      <c r="G29" s="22" t="s">
        <v>255</v>
      </c>
      <c r="H29" s="52" t="s">
        <v>142</v>
      </c>
      <c r="I29" s="52" t="s">
        <v>186</v>
      </c>
      <c r="J29" s="54" t="s">
        <v>245</v>
      </c>
      <c r="K29" s="42"/>
      <c r="L29" s="44">
        <v>215</v>
      </c>
      <c r="M29" s="43" t="str">
        <f>"140,5240"</f>
        <v>140,5240</v>
      </c>
      <c r="N29" s="22" t="s">
        <v>321</v>
      </c>
    </row>
    <row r="31" spans="2:13" ht="15.75">
      <c r="B31" s="128" t="s">
        <v>134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</row>
    <row r="32" spans="1:14" ht="12.75">
      <c r="A32" s="31">
        <v>1</v>
      </c>
      <c r="B32" s="24" t="s">
        <v>256</v>
      </c>
      <c r="C32" s="20" t="s">
        <v>257</v>
      </c>
      <c r="D32" s="20" t="s">
        <v>337</v>
      </c>
      <c r="E32" s="20" t="str">
        <f>"0,6315"</f>
        <v>0,6315</v>
      </c>
      <c r="F32" s="20" t="s">
        <v>12</v>
      </c>
      <c r="G32" s="20" t="s">
        <v>309</v>
      </c>
      <c r="H32" s="50" t="s">
        <v>258</v>
      </c>
      <c r="I32" s="50" t="s">
        <v>259</v>
      </c>
      <c r="J32" s="55" t="s">
        <v>260</v>
      </c>
      <c r="K32" s="37"/>
      <c r="L32" s="38">
        <v>300</v>
      </c>
      <c r="M32" s="36" t="str">
        <f>"189,4500"</f>
        <v>189,4500</v>
      </c>
      <c r="N32" s="20" t="s">
        <v>126</v>
      </c>
    </row>
    <row r="33" spans="1:14" ht="12.75">
      <c r="A33" s="31">
        <v>2</v>
      </c>
      <c r="B33" s="25" t="s">
        <v>261</v>
      </c>
      <c r="C33" s="21" t="s">
        <v>262</v>
      </c>
      <c r="D33" s="21" t="s">
        <v>338</v>
      </c>
      <c r="E33" s="21" t="str">
        <f>"0,6126"</f>
        <v>0,6126</v>
      </c>
      <c r="F33" s="21" t="s">
        <v>12</v>
      </c>
      <c r="G33" s="21" t="s">
        <v>312</v>
      </c>
      <c r="H33" s="51" t="s">
        <v>227</v>
      </c>
      <c r="I33" s="53"/>
      <c r="J33" s="40"/>
      <c r="K33" s="40"/>
      <c r="L33" s="41">
        <v>235</v>
      </c>
      <c r="M33" s="39" t="str">
        <f>"143,9610"</f>
        <v>143,9610</v>
      </c>
      <c r="N33" s="21" t="s">
        <v>126</v>
      </c>
    </row>
    <row r="34" spans="1:14" ht="12.75">
      <c r="A34" s="31">
        <v>3</v>
      </c>
      <c r="B34" s="25" t="s">
        <v>263</v>
      </c>
      <c r="C34" s="21" t="s">
        <v>264</v>
      </c>
      <c r="D34" s="21" t="s">
        <v>131</v>
      </c>
      <c r="E34" s="21" t="str">
        <f>"0,6086"</f>
        <v>0,6086</v>
      </c>
      <c r="F34" s="21" t="s">
        <v>265</v>
      </c>
      <c r="G34" s="21" t="s">
        <v>310</v>
      </c>
      <c r="H34" s="51" t="s">
        <v>155</v>
      </c>
      <c r="I34" s="51" t="s">
        <v>191</v>
      </c>
      <c r="J34" s="57" t="s">
        <v>266</v>
      </c>
      <c r="K34" s="40"/>
      <c r="L34" s="41">
        <v>232.5</v>
      </c>
      <c r="M34" s="39" t="str">
        <f>"141,4995"</f>
        <v>141,4995</v>
      </c>
      <c r="N34" s="21" t="s">
        <v>317</v>
      </c>
    </row>
    <row r="35" spans="1:14" ht="12.75">
      <c r="A35" s="31">
        <v>4</v>
      </c>
      <c r="B35" s="25" t="s">
        <v>267</v>
      </c>
      <c r="C35" s="21" t="s">
        <v>268</v>
      </c>
      <c r="D35" s="21" t="s">
        <v>339</v>
      </c>
      <c r="E35" s="21" t="str">
        <f>"0,6279"</f>
        <v>0,6279</v>
      </c>
      <c r="F35" s="21" t="s">
        <v>12</v>
      </c>
      <c r="G35" s="21" t="s">
        <v>309</v>
      </c>
      <c r="H35" s="51" t="s">
        <v>249</v>
      </c>
      <c r="I35" s="51" t="s">
        <v>226</v>
      </c>
      <c r="J35" s="58" t="s">
        <v>269</v>
      </c>
      <c r="K35" s="40"/>
      <c r="L35" s="41">
        <v>230</v>
      </c>
      <c r="M35" s="39" t="str">
        <f>"144,4170"</f>
        <v>144,4170</v>
      </c>
      <c r="N35" s="21" t="s">
        <v>126</v>
      </c>
    </row>
    <row r="36" spans="2:14" ht="12.75">
      <c r="B36" s="25" t="s">
        <v>270</v>
      </c>
      <c r="C36" s="21" t="s">
        <v>271</v>
      </c>
      <c r="D36" s="21" t="s">
        <v>340</v>
      </c>
      <c r="E36" s="21" t="str">
        <f>"0,6169"</f>
        <v>0,6169</v>
      </c>
      <c r="F36" s="21" t="s">
        <v>12</v>
      </c>
      <c r="G36" s="21" t="s">
        <v>309</v>
      </c>
      <c r="H36" s="58" t="s">
        <v>249</v>
      </c>
      <c r="I36" s="40"/>
      <c r="J36" s="40"/>
      <c r="K36" s="40"/>
      <c r="L36" s="45">
        <v>0</v>
      </c>
      <c r="M36" s="39" t="s">
        <v>351</v>
      </c>
      <c r="N36" s="21" t="s">
        <v>126</v>
      </c>
    </row>
    <row r="37" spans="2:14" ht="12.75">
      <c r="B37" s="26" t="s">
        <v>272</v>
      </c>
      <c r="C37" s="22" t="s">
        <v>273</v>
      </c>
      <c r="D37" s="22" t="s">
        <v>341</v>
      </c>
      <c r="E37" s="22" t="str">
        <f>"0,6111"</f>
        <v>0,6111</v>
      </c>
      <c r="F37" s="22" t="s">
        <v>12</v>
      </c>
      <c r="G37" s="22" t="s">
        <v>309</v>
      </c>
      <c r="H37" s="54" t="s">
        <v>156</v>
      </c>
      <c r="I37" s="42"/>
      <c r="J37" s="42"/>
      <c r="K37" s="42"/>
      <c r="L37" s="46">
        <v>0</v>
      </c>
      <c r="M37" s="43" t="s">
        <v>351</v>
      </c>
      <c r="N37" s="22" t="s">
        <v>322</v>
      </c>
    </row>
    <row r="39" spans="2:13" ht="15.75">
      <c r="B39" s="128" t="s">
        <v>166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</row>
    <row r="40" spans="1:14" ht="12.75">
      <c r="A40" s="31">
        <v>1</v>
      </c>
      <c r="B40" s="24" t="s">
        <v>274</v>
      </c>
      <c r="C40" s="20" t="s">
        <v>275</v>
      </c>
      <c r="D40" s="20" t="s">
        <v>342</v>
      </c>
      <c r="E40" s="20" t="str">
        <f>"0,5892"</f>
        <v>0,5892</v>
      </c>
      <c r="F40" s="20" t="s">
        <v>12</v>
      </c>
      <c r="G40" s="20" t="s">
        <v>313</v>
      </c>
      <c r="H40" s="50" t="s">
        <v>258</v>
      </c>
      <c r="I40" s="55" t="s">
        <v>276</v>
      </c>
      <c r="J40" s="55" t="s">
        <v>277</v>
      </c>
      <c r="K40" s="37"/>
      <c r="L40" s="38">
        <v>280</v>
      </c>
      <c r="M40" s="36" t="str">
        <f>"164,9760"</f>
        <v>164,9760</v>
      </c>
      <c r="N40" s="20" t="s">
        <v>126</v>
      </c>
    </row>
    <row r="41" spans="1:14" ht="12.75">
      <c r="A41" s="31">
        <v>2</v>
      </c>
      <c r="B41" s="25" t="s">
        <v>278</v>
      </c>
      <c r="C41" s="21" t="s">
        <v>279</v>
      </c>
      <c r="D41" s="21" t="s">
        <v>343</v>
      </c>
      <c r="E41" s="21" t="str">
        <f>"0,6011"</f>
        <v>0,6011</v>
      </c>
      <c r="F41" s="21" t="s">
        <v>12</v>
      </c>
      <c r="G41" s="21" t="s">
        <v>309</v>
      </c>
      <c r="H41" s="51" t="s">
        <v>186</v>
      </c>
      <c r="I41" s="58" t="s">
        <v>252</v>
      </c>
      <c r="J41" s="40"/>
      <c r="K41" s="40"/>
      <c r="L41" s="41">
        <v>215</v>
      </c>
      <c r="M41" s="39" t="str">
        <f>"129,2365"</f>
        <v>129,2365</v>
      </c>
      <c r="N41" s="21" t="s">
        <v>126</v>
      </c>
    </row>
    <row r="42" spans="1:14" ht="12.75">
      <c r="A42" s="31">
        <v>3</v>
      </c>
      <c r="B42" s="25" t="s">
        <v>280</v>
      </c>
      <c r="C42" s="21" t="s">
        <v>281</v>
      </c>
      <c r="D42" s="21" t="s">
        <v>342</v>
      </c>
      <c r="E42" s="21" t="str">
        <f>"0,5892"</f>
        <v>0,5892</v>
      </c>
      <c r="F42" s="21" t="s">
        <v>12</v>
      </c>
      <c r="G42" s="21" t="s">
        <v>314</v>
      </c>
      <c r="H42" s="51" t="s">
        <v>142</v>
      </c>
      <c r="I42" s="51" t="s">
        <v>186</v>
      </c>
      <c r="J42" s="58" t="s">
        <v>187</v>
      </c>
      <c r="K42" s="40"/>
      <c r="L42" s="41">
        <v>215</v>
      </c>
      <c r="M42" s="39" t="str">
        <f>"126,6780"</f>
        <v>126,6780</v>
      </c>
      <c r="N42" s="21" t="s">
        <v>126</v>
      </c>
    </row>
    <row r="43" spans="1:14" ht="12.75">
      <c r="A43" s="31">
        <v>4</v>
      </c>
      <c r="B43" s="25" t="s">
        <v>282</v>
      </c>
      <c r="C43" s="21" t="s">
        <v>283</v>
      </c>
      <c r="D43" s="21" t="s">
        <v>344</v>
      </c>
      <c r="E43" s="21" t="str">
        <f>"0,5992"</f>
        <v>0,5992</v>
      </c>
      <c r="F43" s="21" t="s">
        <v>91</v>
      </c>
      <c r="G43" s="21" t="s">
        <v>309</v>
      </c>
      <c r="H43" s="58" t="s">
        <v>118</v>
      </c>
      <c r="I43" s="51" t="s">
        <v>159</v>
      </c>
      <c r="J43" s="51" t="s">
        <v>119</v>
      </c>
      <c r="K43" s="40"/>
      <c r="L43" s="41">
        <v>175</v>
      </c>
      <c r="M43" s="39" t="str">
        <f>"104,8600"</f>
        <v>104,8600</v>
      </c>
      <c r="N43" s="21" t="s">
        <v>323</v>
      </c>
    </row>
    <row r="44" spans="1:14" ht="12.75">
      <c r="A44" s="31">
        <v>1</v>
      </c>
      <c r="B44" s="26" t="s">
        <v>278</v>
      </c>
      <c r="C44" s="22" t="s">
        <v>284</v>
      </c>
      <c r="D44" s="22" t="s">
        <v>343</v>
      </c>
      <c r="E44" s="22" t="str">
        <f>"0,6011"</f>
        <v>0,6011</v>
      </c>
      <c r="F44" s="22" t="s">
        <v>12</v>
      </c>
      <c r="G44" s="22" t="s">
        <v>309</v>
      </c>
      <c r="H44" s="52" t="s">
        <v>186</v>
      </c>
      <c r="I44" s="54" t="s">
        <v>252</v>
      </c>
      <c r="J44" s="42"/>
      <c r="K44" s="42"/>
      <c r="L44" s="44">
        <v>215</v>
      </c>
      <c r="M44" s="43" t="str">
        <f>"136,9907"</f>
        <v>136,9907</v>
      </c>
      <c r="N44" s="22" t="s">
        <v>126</v>
      </c>
    </row>
    <row r="46" spans="2:13" ht="15.75">
      <c r="B46" s="128" t="s">
        <v>183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</row>
    <row r="47" spans="1:14" ht="12.75">
      <c r="A47" s="31">
        <v>1</v>
      </c>
      <c r="B47" s="24" t="s">
        <v>285</v>
      </c>
      <c r="C47" s="20" t="s">
        <v>286</v>
      </c>
      <c r="D47" s="20" t="s">
        <v>345</v>
      </c>
      <c r="E47" s="20" t="str">
        <f>"0,5735"</f>
        <v>0,5735</v>
      </c>
      <c r="F47" s="20" t="s">
        <v>12</v>
      </c>
      <c r="G47" s="20" t="s">
        <v>311</v>
      </c>
      <c r="H47" s="50" t="s">
        <v>287</v>
      </c>
      <c r="I47" s="50" t="s">
        <v>288</v>
      </c>
      <c r="J47" s="50" t="s">
        <v>289</v>
      </c>
      <c r="K47" s="37"/>
      <c r="L47" s="38">
        <v>260</v>
      </c>
      <c r="M47" s="36" t="str">
        <f>"149,1100"</f>
        <v>149,1100</v>
      </c>
      <c r="N47" s="20" t="s">
        <v>126</v>
      </c>
    </row>
    <row r="48" spans="1:14" ht="12.75">
      <c r="A48" s="31">
        <v>1</v>
      </c>
      <c r="B48" s="26" t="s">
        <v>290</v>
      </c>
      <c r="C48" s="22" t="s">
        <v>291</v>
      </c>
      <c r="D48" s="22" t="s">
        <v>346</v>
      </c>
      <c r="E48" s="22" t="str">
        <f>"0,5843"</f>
        <v>0,5843</v>
      </c>
      <c r="F48" s="22" t="s">
        <v>12</v>
      </c>
      <c r="G48" s="22" t="s">
        <v>309</v>
      </c>
      <c r="H48" s="52" t="s">
        <v>226</v>
      </c>
      <c r="I48" s="52" t="s">
        <v>287</v>
      </c>
      <c r="J48" s="54" t="s">
        <v>288</v>
      </c>
      <c r="K48" s="42"/>
      <c r="L48" s="44">
        <v>240</v>
      </c>
      <c r="M48" s="43" t="str">
        <f>"163,7910"</f>
        <v>163,7910</v>
      </c>
      <c r="N48" s="22" t="s">
        <v>126</v>
      </c>
    </row>
    <row r="50" spans="2:13" ht="15.75">
      <c r="B50" s="128" t="s">
        <v>199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</row>
    <row r="51" spans="1:14" ht="12.75">
      <c r="A51" s="31">
        <v>1</v>
      </c>
      <c r="B51" s="23" t="s">
        <v>200</v>
      </c>
      <c r="C51" s="13" t="s">
        <v>201</v>
      </c>
      <c r="D51" s="13" t="s">
        <v>202</v>
      </c>
      <c r="E51" s="13" t="str">
        <f>"0,5603"</f>
        <v>0,5603</v>
      </c>
      <c r="F51" s="13" t="s">
        <v>12</v>
      </c>
      <c r="G51" s="13" t="s">
        <v>315</v>
      </c>
      <c r="H51" s="49" t="s">
        <v>259</v>
      </c>
      <c r="I51" s="49" t="s">
        <v>292</v>
      </c>
      <c r="J51" s="59" t="s">
        <v>293</v>
      </c>
      <c r="K51" s="34"/>
      <c r="L51" s="35">
        <v>310</v>
      </c>
      <c r="M51" s="33" t="str">
        <f>"173,6930"</f>
        <v>173,6930</v>
      </c>
      <c r="N51" s="13" t="s">
        <v>126</v>
      </c>
    </row>
    <row r="53" spans="2:3" ht="18">
      <c r="B53" s="14" t="s">
        <v>206</v>
      </c>
      <c r="C53" s="14"/>
    </row>
    <row r="54" spans="2:3" ht="13.5">
      <c r="B54" s="17"/>
      <c r="C54" s="18" t="s">
        <v>604</v>
      </c>
    </row>
    <row r="55" spans="2:6" ht="13.5">
      <c r="B55" s="28" t="s">
        <v>207</v>
      </c>
      <c r="C55" s="19" t="s">
        <v>208</v>
      </c>
      <c r="D55" s="19" t="s">
        <v>209</v>
      </c>
      <c r="E55" s="19" t="s">
        <v>210</v>
      </c>
      <c r="F55" s="19" t="s">
        <v>211</v>
      </c>
    </row>
    <row r="56" spans="1:6" ht="12.75">
      <c r="A56" s="31">
        <v>1</v>
      </c>
      <c r="B56" s="29" t="s">
        <v>256</v>
      </c>
      <c r="C56" s="47" t="s">
        <v>213</v>
      </c>
      <c r="D56" s="48" t="s">
        <v>347</v>
      </c>
      <c r="E56" s="48" t="s">
        <v>259</v>
      </c>
      <c r="F56" s="48" t="s">
        <v>294</v>
      </c>
    </row>
    <row r="57" spans="1:6" ht="12.75">
      <c r="A57" s="31">
        <v>2</v>
      </c>
      <c r="B57" s="29" t="s">
        <v>200</v>
      </c>
      <c r="C57" s="47" t="s">
        <v>213</v>
      </c>
      <c r="D57" s="48" t="s">
        <v>348</v>
      </c>
      <c r="E57" s="48" t="s">
        <v>292</v>
      </c>
      <c r="F57" s="48" t="s">
        <v>295</v>
      </c>
    </row>
    <row r="58" spans="1:6" ht="12.75">
      <c r="A58" s="31">
        <v>3</v>
      </c>
      <c r="B58" s="29" t="s">
        <v>274</v>
      </c>
      <c r="C58" s="47" t="s">
        <v>213</v>
      </c>
      <c r="D58" s="48" t="s">
        <v>349</v>
      </c>
      <c r="E58" s="48" t="s">
        <v>258</v>
      </c>
      <c r="F58" s="48" t="s">
        <v>296</v>
      </c>
    </row>
  </sheetData>
  <sheetProtection/>
  <mergeCells count="22">
    <mergeCell ref="B1:N2"/>
    <mergeCell ref="B3:B4"/>
    <mergeCell ref="C3:C4"/>
    <mergeCell ref="D3:D4"/>
    <mergeCell ref="E3:E4"/>
    <mergeCell ref="F3:F4"/>
    <mergeCell ref="G3:G4"/>
    <mergeCell ref="H3:K3"/>
    <mergeCell ref="B50:M50"/>
    <mergeCell ref="B18:M18"/>
    <mergeCell ref="B22:M22"/>
    <mergeCell ref="B26:M26"/>
    <mergeCell ref="B31:M31"/>
    <mergeCell ref="B39:M39"/>
    <mergeCell ref="B46:M46"/>
    <mergeCell ref="A3:A4"/>
    <mergeCell ref="L3:L4"/>
    <mergeCell ref="M3:M4"/>
    <mergeCell ref="N3:N4"/>
    <mergeCell ref="B5:M5"/>
    <mergeCell ref="B8:M8"/>
    <mergeCell ref="B13:M13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F16" sqref="F16"/>
    </sheetView>
  </sheetViews>
  <sheetFormatPr defaultColWidth="8.75390625" defaultRowHeight="12.75"/>
  <cols>
    <col min="1" max="1" width="8.75390625" style="0" customWidth="1"/>
    <col min="2" max="2" width="24.75390625" style="12" bestFit="1" customWidth="1"/>
    <col min="3" max="3" width="27.125" style="12" customWidth="1"/>
    <col min="4" max="4" width="10.125" style="12" bestFit="1" customWidth="1"/>
    <col min="5" max="5" width="8.25390625" style="12" bestFit="1" customWidth="1"/>
    <col min="6" max="6" width="17.625" style="12" customWidth="1"/>
    <col min="7" max="7" width="36.125" style="12" customWidth="1"/>
    <col min="8" max="10" width="5.625" style="12" bestFit="1" customWidth="1"/>
    <col min="11" max="11" width="4.25390625" style="12" bestFit="1" customWidth="1"/>
    <col min="12" max="12" width="12.375" style="12" customWidth="1"/>
    <col min="13" max="13" width="8.625" style="12" bestFit="1" customWidth="1"/>
    <col min="14" max="14" width="18.125" style="12" bestFit="1" customWidth="1"/>
  </cols>
  <sheetData>
    <row r="1" spans="2:14" s="1" customFormat="1" ht="15" customHeight="1">
      <c r="B1" s="115" t="s">
        <v>605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</row>
    <row r="2" spans="2:14" s="1" customFormat="1" ht="108.75" customHeight="1" thickBot="1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</row>
    <row r="3" spans="1:14" s="2" customFormat="1" ht="12.75" customHeight="1">
      <c r="A3" s="125" t="s">
        <v>304</v>
      </c>
      <c r="B3" s="121" t="s">
        <v>0</v>
      </c>
      <c r="C3" s="123" t="s">
        <v>305</v>
      </c>
      <c r="D3" s="123" t="s">
        <v>306</v>
      </c>
      <c r="E3" s="125" t="s">
        <v>8</v>
      </c>
      <c r="F3" s="125" t="s">
        <v>6</v>
      </c>
      <c r="G3" s="125" t="s">
        <v>307</v>
      </c>
      <c r="H3" s="125" t="s">
        <v>1</v>
      </c>
      <c r="I3" s="125"/>
      <c r="J3" s="125"/>
      <c r="K3" s="125"/>
      <c r="L3" s="125" t="s">
        <v>308</v>
      </c>
      <c r="M3" s="125" t="s">
        <v>5</v>
      </c>
      <c r="N3" s="126" t="s">
        <v>4</v>
      </c>
    </row>
    <row r="4" spans="1:14" s="2" customFormat="1" ht="21" customHeight="1" thickBot="1">
      <c r="A4" s="124"/>
      <c r="B4" s="122"/>
      <c r="C4" s="124"/>
      <c r="D4" s="130"/>
      <c r="E4" s="124"/>
      <c r="F4" s="124"/>
      <c r="G4" s="124"/>
      <c r="H4" s="3">
        <v>1</v>
      </c>
      <c r="I4" s="3">
        <v>2</v>
      </c>
      <c r="J4" s="3">
        <v>3</v>
      </c>
      <c r="K4" s="3" t="s">
        <v>7</v>
      </c>
      <c r="L4" s="124"/>
      <c r="M4" s="124"/>
      <c r="N4" s="127"/>
    </row>
    <row r="5" spans="2:13" ht="15.75">
      <c r="B5" s="129" t="s">
        <v>104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4" ht="12.75">
      <c r="A6" s="31">
        <v>1</v>
      </c>
      <c r="B6" s="13" t="s">
        <v>224</v>
      </c>
      <c r="C6" s="13" t="s">
        <v>225</v>
      </c>
      <c r="D6" s="13" t="s">
        <v>353</v>
      </c>
      <c r="E6" s="13" t="str">
        <f>"0,6417"</f>
        <v>0,6417</v>
      </c>
      <c r="F6" s="13" t="s">
        <v>12</v>
      </c>
      <c r="G6" s="13" t="s">
        <v>312</v>
      </c>
      <c r="H6" s="59" t="s">
        <v>226</v>
      </c>
      <c r="I6" s="49" t="s">
        <v>227</v>
      </c>
      <c r="J6" s="49" t="s">
        <v>228</v>
      </c>
      <c r="K6" s="34"/>
      <c r="L6" s="33">
        <v>242.5</v>
      </c>
      <c r="M6" s="33" t="str">
        <f>"155,6123"</f>
        <v>155,6123</v>
      </c>
      <c r="N6" s="13" t="s">
        <v>352</v>
      </c>
    </row>
  </sheetData>
  <sheetProtection/>
  <mergeCells count="13">
    <mergeCell ref="H3:K3"/>
    <mergeCell ref="L3:L4"/>
    <mergeCell ref="M3:M4"/>
    <mergeCell ref="N3:N4"/>
    <mergeCell ref="B5:M5"/>
    <mergeCell ref="A3:A4"/>
    <mergeCell ref="B1:N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workbookViewId="0" topLeftCell="A62">
      <selection activeCell="C103" sqref="C103"/>
    </sheetView>
  </sheetViews>
  <sheetFormatPr defaultColWidth="9.125" defaultRowHeight="12.75"/>
  <cols>
    <col min="1" max="1" width="9.125" style="30" customWidth="1"/>
    <col min="2" max="2" width="23.375" style="64" customWidth="1"/>
    <col min="3" max="3" width="27.25390625" style="75" bestFit="1" customWidth="1"/>
    <col min="4" max="4" width="10.125" style="75" bestFit="1" customWidth="1"/>
    <col min="5" max="5" width="8.25390625" style="75" bestFit="1" customWidth="1"/>
    <col min="6" max="6" width="21.75390625" style="5" bestFit="1" customWidth="1"/>
    <col min="7" max="7" width="36.00390625" style="5" customWidth="1"/>
    <col min="8" max="10" width="5.625" style="1" bestFit="1" customWidth="1"/>
    <col min="11" max="11" width="4.625" style="1" bestFit="1" customWidth="1"/>
    <col min="12" max="12" width="11.375" style="4" customWidth="1"/>
    <col min="13" max="13" width="8.625" style="1" bestFit="1" customWidth="1"/>
    <col min="14" max="14" width="23.75390625" style="5" bestFit="1" customWidth="1"/>
    <col min="15" max="16384" width="9.125" style="1" customWidth="1"/>
  </cols>
  <sheetData>
    <row r="1" spans="2:14" ht="15" customHeight="1">
      <c r="B1" s="115" t="s">
        <v>606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</row>
    <row r="2" spans="2:14" ht="106.5" customHeight="1" thickBot="1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</row>
    <row r="3" spans="1:14" s="2" customFormat="1" ht="12.75" customHeight="1">
      <c r="A3" s="125" t="s">
        <v>304</v>
      </c>
      <c r="B3" s="121" t="s">
        <v>0</v>
      </c>
      <c r="C3" s="123" t="s">
        <v>305</v>
      </c>
      <c r="D3" s="123" t="s">
        <v>306</v>
      </c>
      <c r="E3" s="125" t="s">
        <v>8</v>
      </c>
      <c r="F3" s="125" t="s">
        <v>6</v>
      </c>
      <c r="G3" s="125" t="s">
        <v>307</v>
      </c>
      <c r="H3" s="125" t="s">
        <v>1</v>
      </c>
      <c r="I3" s="125"/>
      <c r="J3" s="125"/>
      <c r="K3" s="125"/>
      <c r="L3" s="125" t="s">
        <v>308</v>
      </c>
      <c r="M3" s="125" t="s">
        <v>5</v>
      </c>
      <c r="N3" s="126" t="s">
        <v>4</v>
      </c>
    </row>
    <row r="4" spans="1:14" s="2" customFormat="1" ht="21" customHeight="1" thickBot="1">
      <c r="A4" s="124"/>
      <c r="B4" s="122"/>
      <c r="C4" s="124"/>
      <c r="D4" s="130"/>
      <c r="E4" s="124"/>
      <c r="F4" s="124"/>
      <c r="G4" s="124"/>
      <c r="H4" s="3">
        <v>1</v>
      </c>
      <c r="I4" s="3">
        <v>2</v>
      </c>
      <c r="J4" s="3">
        <v>3</v>
      </c>
      <c r="K4" s="3" t="s">
        <v>7</v>
      </c>
      <c r="L4" s="124"/>
      <c r="M4" s="124"/>
      <c r="N4" s="127"/>
    </row>
    <row r="5" spans="2:13" ht="15.75">
      <c r="B5" s="134" t="s">
        <v>9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4" ht="12.75">
      <c r="A6" s="30" t="s">
        <v>416</v>
      </c>
      <c r="B6" s="60" t="s">
        <v>10</v>
      </c>
      <c r="C6" s="71" t="s">
        <v>11</v>
      </c>
      <c r="D6" s="71" t="s">
        <v>359</v>
      </c>
      <c r="E6" s="71" t="str">
        <f>"1,1816"</f>
        <v>1,1816</v>
      </c>
      <c r="F6" s="6" t="s">
        <v>12</v>
      </c>
      <c r="G6" s="6" t="s">
        <v>309</v>
      </c>
      <c r="H6" s="50" t="s">
        <v>13</v>
      </c>
      <c r="I6" s="87" t="s">
        <v>14</v>
      </c>
      <c r="J6" s="87" t="s">
        <v>14</v>
      </c>
      <c r="K6" s="80"/>
      <c r="L6" s="79" t="s">
        <v>13</v>
      </c>
      <c r="M6" s="79" t="str">
        <f>"62,0340"</f>
        <v>62,0340</v>
      </c>
      <c r="N6" s="6" t="s">
        <v>404</v>
      </c>
    </row>
    <row r="7" spans="1:14" ht="12.75">
      <c r="A7" s="30" t="s">
        <v>416</v>
      </c>
      <c r="B7" s="61" t="s">
        <v>15</v>
      </c>
      <c r="C7" s="72" t="s">
        <v>16</v>
      </c>
      <c r="D7" s="72" t="s">
        <v>360</v>
      </c>
      <c r="E7" s="72" t="str">
        <f>"1,1866"</f>
        <v>1,1866</v>
      </c>
      <c r="F7" s="7" t="s">
        <v>12</v>
      </c>
      <c r="G7" s="7" t="s">
        <v>309</v>
      </c>
      <c r="H7" s="52" t="s">
        <v>17</v>
      </c>
      <c r="I7" s="88" t="s">
        <v>18</v>
      </c>
      <c r="J7" s="52" t="s">
        <v>18</v>
      </c>
      <c r="K7" s="82"/>
      <c r="L7" s="81" t="s">
        <v>18</v>
      </c>
      <c r="M7" s="81" t="str">
        <f>"77,1290"</f>
        <v>77,1290</v>
      </c>
      <c r="N7" s="7" t="s">
        <v>405</v>
      </c>
    </row>
    <row r="9" spans="2:13" ht="15.75">
      <c r="B9" s="133" t="s">
        <v>19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</row>
    <row r="10" spans="2:14" ht="12.75">
      <c r="B10" s="60" t="s">
        <v>20</v>
      </c>
      <c r="C10" s="71" t="s">
        <v>21</v>
      </c>
      <c r="D10" s="71" t="s">
        <v>361</v>
      </c>
      <c r="E10" s="71" t="str">
        <f>"1,1295"</f>
        <v>1,1295</v>
      </c>
      <c r="F10" s="6" t="s">
        <v>12</v>
      </c>
      <c r="G10" s="6" t="s">
        <v>309</v>
      </c>
      <c r="H10" s="87" t="s">
        <v>13</v>
      </c>
      <c r="I10" s="87" t="s">
        <v>22</v>
      </c>
      <c r="J10" s="87" t="s">
        <v>22</v>
      </c>
      <c r="K10" s="80"/>
      <c r="L10" s="79" t="s">
        <v>351</v>
      </c>
      <c r="M10" s="79" t="s">
        <v>351</v>
      </c>
      <c r="N10" s="6" t="s">
        <v>406</v>
      </c>
    </row>
    <row r="11" spans="1:14" ht="12.75">
      <c r="A11" s="30" t="s">
        <v>416</v>
      </c>
      <c r="B11" s="61" t="s">
        <v>23</v>
      </c>
      <c r="C11" s="72" t="s">
        <v>24</v>
      </c>
      <c r="D11" s="72" t="s">
        <v>17</v>
      </c>
      <c r="E11" s="72" t="str">
        <f>"1,1149"</f>
        <v>1,1149</v>
      </c>
      <c r="F11" s="7" t="s">
        <v>12</v>
      </c>
      <c r="G11" s="7" t="s">
        <v>309</v>
      </c>
      <c r="H11" s="52" t="s">
        <v>25</v>
      </c>
      <c r="I11" s="88" t="s">
        <v>26</v>
      </c>
      <c r="J11" s="52" t="s">
        <v>26</v>
      </c>
      <c r="K11" s="82"/>
      <c r="L11" s="81" t="s">
        <v>26</v>
      </c>
      <c r="M11" s="81" t="str">
        <f>"55,7450"</f>
        <v>55,7450</v>
      </c>
      <c r="N11" s="7" t="s">
        <v>126</v>
      </c>
    </row>
    <row r="13" spans="2:13" ht="15.75">
      <c r="B13" s="133" t="s">
        <v>27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</row>
    <row r="14" spans="1:14" ht="12.75">
      <c r="A14" s="30" t="s">
        <v>416</v>
      </c>
      <c r="B14" s="60" t="s">
        <v>28</v>
      </c>
      <c r="C14" s="71" t="s">
        <v>29</v>
      </c>
      <c r="D14" s="71" t="s">
        <v>362</v>
      </c>
      <c r="E14" s="71" t="str">
        <f>"1,0515"</f>
        <v>1,0515</v>
      </c>
      <c r="F14" s="6" t="s">
        <v>12</v>
      </c>
      <c r="G14" s="6" t="s">
        <v>309</v>
      </c>
      <c r="H14" s="50" t="s">
        <v>30</v>
      </c>
      <c r="I14" s="50" t="s">
        <v>31</v>
      </c>
      <c r="J14" s="87" t="s">
        <v>32</v>
      </c>
      <c r="K14" s="80"/>
      <c r="L14" s="79" t="s">
        <v>31</v>
      </c>
      <c r="M14" s="79" t="str">
        <f>"78,8625"</f>
        <v>78,8625</v>
      </c>
      <c r="N14" s="6" t="s">
        <v>407</v>
      </c>
    </row>
    <row r="15" spans="1:14" ht="12.75">
      <c r="A15" s="30" t="s">
        <v>417</v>
      </c>
      <c r="B15" s="61" t="s">
        <v>33</v>
      </c>
      <c r="C15" s="72" t="s">
        <v>34</v>
      </c>
      <c r="D15" s="72" t="s">
        <v>325</v>
      </c>
      <c r="E15" s="72" t="str">
        <f>"1,0805"</f>
        <v>1,0805</v>
      </c>
      <c r="F15" s="7" t="s">
        <v>12</v>
      </c>
      <c r="G15" s="7" t="s">
        <v>309</v>
      </c>
      <c r="H15" s="88" t="s">
        <v>35</v>
      </c>
      <c r="I15" s="52" t="s">
        <v>35</v>
      </c>
      <c r="J15" s="88" t="s">
        <v>32</v>
      </c>
      <c r="K15" s="82"/>
      <c r="L15" s="81" t="s">
        <v>35</v>
      </c>
      <c r="M15" s="81" t="str">
        <f>"78,3363"</f>
        <v>78,3363</v>
      </c>
      <c r="N15" s="7" t="s">
        <v>317</v>
      </c>
    </row>
    <row r="17" spans="2:13" ht="15.75">
      <c r="B17" s="133" t="s">
        <v>36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</row>
    <row r="18" spans="1:14" ht="12.75">
      <c r="A18" s="30" t="s">
        <v>416</v>
      </c>
      <c r="B18" s="62" t="s">
        <v>37</v>
      </c>
      <c r="C18" s="73" t="s">
        <v>38</v>
      </c>
      <c r="D18" s="73" t="s">
        <v>363</v>
      </c>
      <c r="E18" s="73" t="str">
        <f>"0,9663"</f>
        <v>0,9663</v>
      </c>
      <c r="F18" s="8" t="s">
        <v>12</v>
      </c>
      <c r="G18" s="8" t="s">
        <v>309</v>
      </c>
      <c r="H18" s="49" t="s">
        <v>35</v>
      </c>
      <c r="I18" s="49" t="s">
        <v>32</v>
      </c>
      <c r="J18" s="49" t="s">
        <v>39</v>
      </c>
      <c r="K18" s="84"/>
      <c r="L18" s="83" t="s">
        <v>39</v>
      </c>
      <c r="M18" s="83" t="str">
        <f>"79,7198"</f>
        <v>79,7198</v>
      </c>
      <c r="N18" s="8" t="s">
        <v>317</v>
      </c>
    </row>
    <row r="20" spans="2:13" ht="15.75">
      <c r="B20" s="133" t="s">
        <v>40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</row>
    <row r="21" spans="1:14" ht="12.75">
      <c r="A21" s="30" t="s">
        <v>416</v>
      </c>
      <c r="B21" s="62" t="s">
        <v>41</v>
      </c>
      <c r="C21" s="73" t="s">
        <v>42</v>
      </c>
      <c r="D21" s="73" t="s">
        <v>364</v>
      </c>
      <c r="E21" s="73" t="str">
        <f>"1,3354"</f>
        <v>1,3354</v>
      </c>
      <c r="F21" s="8" t="s">
        <v>12</v>
      </c>
      <c r="G21" s="8" t="s">
        <v>43</v>
      </c>
      <c r="H21" s="49" t="s">
        <v>44</v>
      </c>
      <c r="I21" s="49" t="s">
        <v>45</v>
      </c>
      <c r="J21" s="49" t="s">
        <v>46</v>
      </c>
      <c r="K21" s="49" t="s">
        <v>47</v>
      </c>
      <c r="L21" s="83" t="s">
        <v>46</v>
      </c>
      <c r="M21" s="83" t="str">
        <f>"34,7204"</f>
        <v>34,7204</v>
      </c>
      <c r="N21" s="8" t="s">
        <v>75</v>
      </c>
    </row>
    <row r="23" spans="2:13" ht="15.75">
      <c r="B23" s="133" t="s">
        <v>19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</row>
    <row r="24" spans="1:14" ht="12.75">
      <c r="A24" s="30" t="s">
        <v>416</v>
      </c>
      <c r="B24" s="62" t="s">
        <v>48</v>
      </c>
      <c r="C24" s="73" t="s">
        <v>49</v>
      </c>
      <c r="D24" s="73" t="s">
        <v>365</v>
      </c>
      <c r="E24" s="73" t="str">
        <f>"0,8994"</f>
        <v>0,8994</v>
      </c>
      <c r="F24" s="8" t="s">
        <v>12</v>
      </c>
      <c r="G24" s="8" t="s">
        <v>354</v>
      </c>
      <c r="H24" s="49" t="s">
        <v>30</v>
      </c>
      <c r="I24" s="89" t="s">
        <v>31</v>
      </c>
      <c r="J24" s="49" t="s">
        <v>31</v>
      </c>
      <c r="K24" s="84"/>
      <c r="L24" s="83" t="s">
        <v>31</v>
      </c>
      <c r="M24" s="83" t="str">
        <f>"67,4550"</f>
        <v>67,4550</v>
      </c>
      <c r="N24" s="8" t="s">
        <v>126</v>
      </c>
    </row>
    <row r="26" spans="2:13" ht="15.75">
      <c r="B26" s="133" t="s">
        <v>27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</row>
    <row r="27" spans="1:14" ht="12.75">
      <c r="A27" s="30" t="s">
        <v>416</v>
      </c>
      <c r="B27" s="60" t="s">
        <v>50</v>
      </c>
      <c r="C27" s="71" t="s">
        <v>51</v>
      </c>
      <c r="D27" s="71" t="s">
        <v>366</v>
      </c>
      <c r="E27" s="71" t="str">
        <f>"0,8057"</f>
        <v>0,8057</v>
      </c>
      <c r="F27" s="6" t="s">
        <v>12</v>
      </c>
      <c r="G27" s="6" t="s">
        <v>309</v>
      </c>
      <c r="H27" s="50" t="s">
        <v>30</v>
      </c>
      <c r="I27" s="50" t="s">
        <v>31</v>
      </c>
      <c r="J27" s="87" t="s">
        <v>52</v>
      </c>
      <c r="K27" s="80"/>
      <c r="L27" s="79" t="s">
        <v>31</v>
      </c>
      <c r="M27" s="79" t="str">
        <f>"60,4275"</f>
        <v>60,4275</v>
      </c>
      <c r="N27" s="6" t="s">
        <v>408</v>
      </c>
    </row>
    <row r="28" spans="1:14" ht="12.75">
      <c r="A28" s="30" t="s">
        <v>416</v>
      </c>
      <c r="B28" s="61" t="s">
        <v>53</v>
      </c>
      <c r="C28" s="72" t="s">
        <v>54</v>
      </c>
      <c r="D28" s="72" t="s">
        <v>328</v>
      </c>
      <c r="E28" s="72" t="str">
        <f>"0,7775"</f>
        <v>0,7775</v>
      </c>
      <c r="F28" s="7" t="s">
        <v>12</v>
      </c>
      <c r="G28" s="7" t="s">
        <v>309</v>
      </c>
      <c r="H28" s="52" t="s">
        <v>55</v>
      </c>
      <c r="I28" s="52" t="s">
        <v>56</v>
      </c>
      <c r="J28" s="52" t="s">
        <v>57</v>
      </c>
      <c r="K28" s="82"/>
      <c r="L28" s="81" t="s">
        <v>57</v>
      </c>
      <c r="M28" s="81" t="str">
        <f>"89,4125"</f>
        <v>89,4125</v>
      </c>
      <c r="N28" s="7" t="s">
        <v>126</v>
      </c>
    </row>
    <row r="30" spans="2:13" ht="15.75">
      <c r="B30" s="133" t="s">
        <v>36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</row>
    <row r="31" spans="1:14" ht="12.75">
      <c r="A31" s="30" t="s">
        <v>416</v>
      </c>
      <c r="B31" s="60" t="s">
        <v>58</v>
      </c>
      <c r="C31" s="71" t="s">
        <v>59</v>
      </c>
      <c r="D31" s="71" t="s">
        <v>331</v>
      </c>
      <c r="E31" s="71" t="str">
        <f>"0,7207"</f>
        <v>0,7207</v>
      </c>
      <c r="F31" s="6" t="s">
        <v>12</v>
      </c>
      <c r="G31" s="6" t="s">
        <v>309</v>
      </c>
      <c r="H31" s="50" t="s">
        <v>60</v>
      </c>
      <c r="I31" s="50" t="s">
        <v>61</v>
      </c>
      <c r="J31" s="50" t="s">
        <v>62</v>
      </c>
      <c r="K31" s="80"/>
      <c r="L31" s="79" t="s">
        <v>62</v>
      </c>
      <c r="M31" s="79" t="str">
        <f>"99,0963"</f>
        <v>99,0963</v>
      </c>
      <c r="N31" s="6" t="s">
        <v>320</v>
      </c>
    </row>
    <row r="32" spans="1:14" ht="12.75">
      <c r="A32" s="30" t="s">
        <v>417</v>
      </c>
      <c r="B32" s="63" t="s">
        <v>63</v>
      </c>
      <c r="C32" s="74" t="s">
        <v>64</v>
      </c>
      <c r="D32" s="74" t="s">
        <v>367</v>
      </c>
      <c r="E32" s="74" t="str">
        <f>"0,7186"</f>
        <v>0,7186</v>
      </c>
      <c r="F32" s="9" t="s">
        <v>12</v>
      </c>
      <c r="G32" s="9" t="s">
        <v>65</v>
      </c>
      <c r="H32" s="51" t="s">
        <v>66</v>
      </c>
      <c r="I32" s="51" t="s">
        <v>67</v>
      </c>
      <c r="J32" s="51" t="s">
        <v>62</v>
      </c>
      <c r="K32" s="53"/>
      <c r="L32" s="85" t="s">
        <v>62</v>
      </c>
      <c r="M32" s="85" t="str">
        <f>"98,8075"</f>
        <v>98,8075</v>
      </c>
      <c r="N32" s="9" t="s">
        <v>126</v>
      </c>
    </row>
    <row r="33" spans="1:14" ht="12.75">
      <c r="A33" s="30" t="s">
        <v>418</v>
      </c>
      <c r="B33" s="63" t="s">
        <v>68</v>
      </c>
      <c r="C33" s="74" t="s">
        <v>69</v>
      </c>
      <c r="D33" s="74" t="s">
        <v>368</v>
      </c>
      <c r="E33" s="74" t="str">
        <f>"0,7242"</f>
        <v>0,7242</v>
      </c>
      <c r="F33" s="9" t="s">
        <v>12</v>
      </c>
      <c r="G33" s="9" t="s">
        <v>309</v>
      </c>
      <c r="H33" s="51" t="s">
        <v>56</v>
      </c>
      <c r="I33" s="51" t="s">
        <v>60</v>
      </c>
      <c r="J33" s="90" t="s">
        <v>70</v>
      </c>
      <c r="K33" s="53"/>
      <c r="L33" s="85" t="s">
        <v>60</v>
      </c>
      <c r="M33" s="85" t="str">
        <f>"86,9040"</f>
        <v>86,9040</v>
      </c>
      <c r="N33" s="9" t="s">
        <v>409</v>
      </c>
    </row>
    <row r="34" spans="1:14" ht="12.75">
      <c r="A34" s="30" t="s">
        <v>416</v>
      </c>
      <c r="B34" s="61" t="s">
        <v>71</v>
      </c>
      <c r="C34" s="72" t="s">
        <v>72</v>
      </c>
      <c r="D34" s="72" t="s">
        <v>369</v>
      </c>
      <c r="E34" s="72" t="str">
        <f>"0,7406"</f>
        <v>0,7406</v>
      </c>
      <c r="F34" s="7" t="s">
        <v>12</v>
      </c>
      <c r="G34" s="7" t="s">
        <v>43</v>
      </c>
      <c r="H34" s="52" t="s">
        <v>67</v>
      </c>
      <c r="I34" s="52" t="s">
        <v>73</v>
      </c>
      <c r="J34" s="52" t="s">
        <v>74</v>
      </c>
      <c r="K34" s="82"/>
      <c r="L34" s="81" t="s">
        <v>74</v>
      </c>
      <c r="M34" s="81" t="str">
        <f>"105,5355"</f>
        <v>105,5355</v>
      </c>
      <c r="N34" s="7" t="s">
        <v>75</v>
      </c>
    </row>
    <row r="36" spans="2:13" ht="15.75">
      <c r="B36" s="133" t="s">
        <v>76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</row>
    <row r="37" spans="1:14" ht="12.75">
      <c r="A37" s="30" t="s">
        <v>416</v>
      </c>
      <c r="B37" s="60" t="s">
        <v>77</v>
      </c>
      <c r="C37" s="71" t="s">
        <v>78</v>
      </c>
      <c r="D37" s="71" t="s">
        <v>370</v>
      </c>
      <c r="E37" s="71" t="str">
        <f>"0,6888"</f>
        <v>0,6888</v>
      </c>
      <c r="F37" s="6" t="s">
        <v>12</v>
      </c>
      <c r="G37" s="6" t="s">
        <v>79</v>
      </c>
      <c r="H37" s="50" t="s">
        <v>73</v>
      </c>
      <c r="I37" s="87" t="s">
        <v>80</v>
      </c>
      <c r="J37" s="50" t="s">
        <v>80</v>
      </c>
      <c r="K37" s="80"/>
      <c r="L37" s="79" t="s">
        <v>80</v>
      </c>
      <c r="M37" s="79" t="str">
        <f>"101,5980"</f>
        <v>101,5980</v>
      </c>
      <c r="N37" s="6" t="s">
        <v>126</v>
      </c>
    </row>
    <row r="38" spans="1:14" ht="12.75">
      <c r="A38" s="30" t="s">
        <v>417</v>
      </c>
      <c r="B38" s="63" t="s">
        <v>81</v>
      </c>
      <c r="C38" s="74" t="s">
        <v>82</v>
      </c>
      <c r="D38" s="74" t="s">
        <v>371</v>
      </c>
      <c r="E38" s="74" t="str">
        <f>"0,6811"</f>
        <v>0,6811</v>
      </c>
      <c r="F38" s="9" t="s">
        <v>12</v>
      </c>
      <c r="G38" s="9" t="s">
        <v>355</v>
      </c>
      <c r="H38" s="51" t="s">
        <v>67</v>
      </c>
      <c r="I38" s="51" t="s">
        <v>74</v>
      </c>
      <c r="J38" s="51" t="s">
        <v>80</v>
      </c>
      <c r="K38" s="53"/>
      <c r="L38" s="85" t="s">
        <v>80</v>
      </c>
      <c r="M38" s="85" t="str">
        <f>"100,4623"</f>
        <v>100,4623</v>
      </c>
      <c r="N38" s="9" t="s">
        <v>126</v>
      </c>
    </row>
    <row r="39" spans="1:14" ht="12.75">
      <c r="A39" s="30" t="s">
        <v>416</v>
      </c>
      <c r="B39" s="63" t="s">
        <v>83</v>
      </c>
      <c r="C39" s="74" t="s">
        <v>84</v>
      </c>
      <c r="D39" s="74" t="s">
        <v>372</v>
      </c>
      <c r="E39" s="74" t="str">
        <f>"0,6790"</f>
        <v>0,6790</v>
      </c>
      <c r="F39" s="9" t="s">
        <v>12</v>
      </c>
      <c r="G39" s="9" t="s">
        <v>43</v>
      </c>
      <c r="H39" s="90" t="s">
        <v>73</v>
      </c>
      <c r="I39" s="51" t="s">
        <v>73</v>
      </c>
      <c r="J39" s="90" t="s">
        <v>85</v>
      </c>
      <c r="K39" s="53"/>
      <c r="L39" s="85" t="s">
        <v>73</v>
      </c>
      <c r="M39" s="85" t="str">
        <f>"95,0600"</f>
        <v>95,0600</v>
      </c>
      <c r="N39" s="9" t="s">
        <v>86</v>
      </c>
    </row>
    <row r="40" spans="1:14" ht="12.75">
      <c r="A40" s="30" t="s">
        <v>417</v>
      </c>
      <c r="B40" s="63" t="s">
        <v>87</v>
      </c>
      <c r="C40" s="74" t="s">
        <v>88</v>
      </c>
      <c r="D40" s="74" t="s">
        <v>373</v>
      </c>
      <c r="E40" s="74" t="str">
        <f>"0,6806"</f>
        <v>0,6806</v>
      </c>
      <c r="F40" s="9" t="s">
        <v>12</v>
      </c>
      <c r="G40" s="9" t="s">
        <v>356</v>
      </c>
      <c r="H40" s="90" t="s">
        <v>70</v>
      </c>
      <c r="I40" s="90" t="s">
        <v>70</v>
      </c>
      <c r="J40" s="51" t="s">
        <v>70</v>
      </c>
      <c r="K40" s="53"/>
      <c r="L40" s="85" t="s">
        <v>70</v>
      </c>
      <c r="M40" s="85" t="str">
        <f>"85,0750"</f>
        <v>85,0750</v>
      </c>
      <c r="N40" s="9" t="s">
        <v>126</v>
      </c>
    </row>
    <row r="41" spans="1:14" ht="12.75">
      <c r="A41" s="30" t="s">
        <v>418</v>
      </c>
      <c r="B41" s="63" t="s">
        <v>89</v>
      </c>
      <c r="C41" s="74" t="s">
        <v>90</v>
      </c>
      <c r="D41" s="74" t="s">
        <v>374</v>
      </c>
      <c r="E41" s="74" t="str">
        <f>"0,6754"</f>
        <v>0,6754</v>
      </c>
      <c r="F41" s="9" t="s">
        <v>91</v>
      </c>
      <c r="G41" s="9" t="s">
        <v>309</v>
      </c>
      <c r="H41" s="51" t="s">
        <v>56</v>
      </c>
      <c r="I41" s="51" t="s">
        <v>57</v>
      </c>
      <c r="J41" s="51" t="s">
        <v>60</v>
      </c>
      <c r="K41" s="53"/>
      <c r="L41" s="85" t="s">
        <v>60</v>
      </c>
      <c r="M41" s="85" t="str">
        <f>"81,0480"</f>
        <v>81,0480</v>
      </c>
      <c r="N41" s="9" t="s">
        <v>323</v>
      </c>
    </row>
    <row r="42" spans="1:14" ht="12.75">
      <c r="A42" s="30" t="s">
        <v>419</v>
      </c>
      <c r="B42" s="63" t="s">
        <v>92</v>
      </c>
      <c r="C42" s="74" t="s">
        <v>93</v>
      </c>
      <c r="D42" s="74" t="s">
        <v>375</v>
      </c>
      <c r="E42" s="74" t="str">
        <f>"0,6759"</f>
        <v>0,6759</v>
      </c>
      <c r="F42" s="9" t="s">
        <v>12</v>
      </c>
      <c r="G42" s="9" t="s">
        <v>309</v>
      </c>
      <c r="H42" s="51" t="s">
        <v>56</v>
      </c>
      <c r="I42" s="90" t="s">
        <v>66</v>
      </c>
      <c r="J42" s="90" t="s">
        <v>66</v>
      </c>
      <c r="K42" s="53"/>
      <c r="L42" s="85" t="s">
        <v>56</v>
      </c>
      <c r="M42" s="85" t="str">
        <f>"74,3490"</f>
        <v>74,3490</v>
      </c>
      <c r="N42" s="9" t="s">
        <v>126</v>
      </c>
    </row>
    <row r="43" spans="1:14" ht="12.75">
      <c r="A43" s="30" t="s">
        <v>416</v>
      </c>
      <c r="B43" s="63" t="s">
        <v>94</v>
      </c>
      <c r="C43" s="74" t="s">
        <v>95</v>
      </c>
      <c r="D43" s="74" t="s">
        <v>39</v>
      </c>
      <c r="E43" s="74" t="str">
        <f>"0,6699"</f>
        <v>0,6699</v>
      </c>
      <c r="F43" s="9" t="s">
        <v>12</v>
      </c>
      <c r="G43" s="9" t="s">
        <v>310</v>
      </c>
      <c r="H43" s="51" t="s">
        <v>96</v>
      </c>
      <c r="I43" s="90" t="s">
        <v>61</v>
      </c>
      <c r="J43" s="51" t="s">
        <v>61</v>
      </c>
      <c r="K43" s="53"/>
      <c r="L43" s="85" t="s">
        <v>61</v>
      </c>
      <c r="M43" s="85" t="str">
        <f>"86,6080"</f>
        <v>86,6080</v>
      </c>
      <c r="N43" s="9" t="s">
        <v>126</v>
      </c>
    </row>
    <row r="44" spans="1:14" ht="12.75">
      <c r="A44" s="30" t="s">
        <v>416</v>
      </c>
      <c r="B44" s="63" t="s">
        <v>97</v>
      </c>
      <c r="C44" s="74" t="s">
        <v>98</v>
      </c>
      <c r="D44" s="74" t="s">
        <v>376</v>
      </c>
      <c r="E44" s="74" t="str">
        <f>"0,6734"</f>
        <v>0,6734</v>
      </c>
      <c r="F44" s="9" t="s">
        <v>12</v>
      </c>
      <c r="G44" s="9" t="s">
        <v>99</v>
      </c>
      <c r="H44" s="90" t="s">
        <v>66</v>
      </c>
      <c r="I44" s="51" t="s">
        <v>66</v>
      </c>
      <c r="J44" s="51" t="s">
        <v>74</v>
      </c>
      <c r="K44" s="53"/>
      <c r="L44" s="85" t="s">
        <v>74</v>
      </c>
      <c r="M44" s="85" t="str">
        <f>"113,9039"</f>
        <v>113,9039</v>
      </c>
      <c r="N44" s="9" t="s">
        <v>126</v>
      </c>
    </row>
    <row r="45" spans="1:14" ht="12.75">
      <c r="A45" s="30" t="s">
        <v>416</v>
      </c>
      <c r="B45" s="61" t="s">
        <v>100</v>
      </c>
      <c r="C45" s="72" t="s">
        <v>101</v>
      </c>
      <c r="D45" s="72" t="s">
        <v>375</v>
      </c>
      <c r="E45" s="72" t="str">
        <f>"0,6759"</f>
        <v>0,6759</v>
      </c>
      <c r="F45" s="7" t="s">
        <v>12</v>
      </c>
      <c r="G45" s="7" t="s">
        <v>309</v>
      </c>
      <c r="H45" s="52" t="s">
        <v>52</v>
      </c>
      <c r="I45" s="52" t="s">
        <v>102</v>
      </c>
      <c r="J45" s="88" t="s">
        <v>103</v>
      </c>
      <c r="K45" s="82"/>
      <c r="L45" s="81" t="s">
        <v>102</v>
      </c>
      <c r="M45" s="81" t="str">
        <f>"74,5146"</f>
        <v>74,5146</v>
      </c>
      <c r="N45" s="7" t="s">
        <v>317</v>
      </c>
    </row>
    <row r="47" spans="2:13" ht="15.75">
      <c r="B47" s="133" t="s">
        <v>104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14" ht="12.75">
      <c r="A48" s="30" t="s">
        <v>416</v>
      </c>
      <c r="B48" s="60" t="s">
        <v>105</v>
      </c>
      <c r="C48" s="71" t="s">
        <v>106</v>
      </c>
      <c r="D48" s="71" t="s">
        <v>377</v>
      </c>
      <c r="E48" s="71" t="str">
        <f>"0,6428"</f>
        <v>0,6428</v>
      </c>
      <c r="F48" s="6" t="s">
        <v>12</v>
      </c>
      <c r="G48" s="6" t="s">
        <v>107</v>
      </c>
      <c r="H48" s="50" t="s">
        <v>108</v>
      </c>
      <c r="I48" s="50" t="s">
        <v>109</v>
      </c>
      <c r="J48" s="50" t="s">
        <v>110</v>
      </c>
      <c r="K48" s="80"/>
      <c r="L48" s="79" t="s">
        <v>110</v>
      </c>
      <c r="M48" s="79" t="str">
        <f>"104,4550"</f>
        <v>104,4550</v>
      </c>
      <c r="N48" s="6" t="s">
        <v>126</v>
      </c>
    </row>
    <row r="49" spans="1:14" ht="12.75">
      <c r="A49" s="30" t="s">
        <v>417</v>
      </c>
      <c r="B49" s="63" t="s">
        <v>111</v>
      </c>
      <c r="C49" s="74" t="s">
        <v>112</v>
      </c>
      <c r="D49" s="74" t="s">
        <v>378</v>
      </c>
      <c r="E49" s="74" t="str">
        <f>"0,6515"</f>
        <v>0,6515</v>
      </c>
      <c r="F49" s="9" t="s">
        <v>113</v>
      </c>
      <c r="G49" s="9" t="s">
        <v>309</v>
      </c>
      <c r="H49" s="51" t="s">
        <v>66</v>
      </c>
      <c r="I49" s="51" t="s">
        <v>73</v>
      </c>
      <c r="J49" s="90" t="s">
        <v>85</v>
      </c>
      <c r="K49" s="53"/>
      <c r="L49" s="85" t="s">
        <v>73</v>
      </c>
      <c r="M49" s="85" t="str">
        <f>"91,2100"</f>
        <v>91,2100</v>
      </c>
      <c r="N49" s="9" t="s">
        <v>410</v>
      </c>
    </row>
    <row r="50" spans="1:14" ht="12.75">
      <c r="A50" s="30" t="s">
        <v>418</v>
      </c>
      <c r="B50" s="63" t="s">
        <v>114</v>
      </c>
      <c r="C50" s="74" t="s">
        <v>115</v>
      </c>
      <c r="D50" s="74" t="s">
        <v>379</v>
      </c>
      <c r="E50" s="74" t="str">
        <f>"0,6511"</f>
        <v>0,6511</v>
      </c>
      <c r="F50" s="9" t="s">
        <v>12</v>
      </c>
      <c r="G50" s="9" t="s">
        <v>355</v>
      </c>
      <c r="H50" s="51" t="s">
        <v>57</v>
      </c>
      <c r="I50" s="51" t="s">
        <v>60</v>
      </c>
      <c r="J50" s="51" t="s">
        <v>61</v>
      </c>
      <c r="K50" s="53"/>
      <c r="L50" s="85" t="s">
        <v>61</v>
      </c>
      <c r="M50" s="85" t="str">
        <f>"83,0152"</f>
        <v>83,0152</v>
      </c>
      <c r="N50" s="9" t="s">
        <v>126</v>
      </c>
    </row>
    <row r="51" spans="1:14" ht="12.75">
      <c r="A51" s="30" t="s">
        <v>416</v>
      </c>
      <c r="B51" s="63" t="s">
        <v>116</v>
      </c>
      <c r="C51" s="74" t="s">
        <v>117</v>
      </c>
      <c r="D51" s="74" t="s">
        <v>380</v>
      </c>
      <c r="E51" s="74" t="str">
        <f>"0,6471"</f>
        <v>0,6471</v>
      </c>
      <c r="F51" s="9" t="s">
        <v>12</v>
      </c>
      <c r="G51" s="9" t="s">
        <v>309</v>
      </c>
      <c r="H51" s="51" t="s">
        <v>108</v>
      </c>
      <c r="I51" s="51" t="s">
        <v>118</v>
      </c>
      <c r="J51" s="90" t="s">
        <v>119</v>
      </c>
      <c r="K51" s="53"/>
      <c r="L51" s="85" t="s">
        <v>118</v>
      </c>
      <c r="M51" s="85" t="str">
        <f>"106,7715"</f>
        <v>106,7715</v>
      </c>
      <c r="N51" s="9" t="s">
        <v>126</v>
      </c>
    </row>
    <row r="52" spans="1:14" ht="12.75">
      <c r="A52" s="30" t="s">
        <v>417</v>
      </c>
      <c r="B52" s="63" t="s">
        <v>120</v>
      </c>
      <c r="C52" s="74" t="s">
        <v>121</v>
      </c>
      <c r="D52" s="74" t="s">
        <v>381</v>
      </c>
      <c r="E52" s="74" t="str">
        <f>"0,6507"</f>
        <v>0,6507</v>
      </c>
      <c r="F52" s="9" t="s">
        <v>12</v>
      </c>
      <c r="G52" s="9" t="s">
        <v>314</v>
      </c>
      <c r="H52" s="51" t="s">
        <v>108</v>
      </c>
      <c r="I52" s="51" t="s">
        <v>122</v>
      </c>
      <c r="J52" s="90" t="s">
        <v>118</v>
      </c>
      <c r="K52" s="53"/>
      <c r="L52" s="85" t="s">
        <v>122</v>
      </c>
      <c r="M52" s="85" t="str">
        <f>"104,1120"</f>
        <v>104,1120</v>
      </c>
      <c r="N52" s="9" t="s">
        <v>411</v>
      </c>
    </row>
    <row r="53" spans="1:14" ht="12.75">
      <c r="A53" s="30" t="s">
        <v>418</v>
      </c>
      <c r="B53" s="63" t="s">
        <v>123</v>
      </c>
      <c r="C53" s="74" t="s">
        <v>124</v>
      </c>
      <c r="D53" s="74" t="s">
        <v>382</v>
      </c>
      <c r="E53" s="74" t="str">
        <f>"0,6503"</f>
        <v>0,6503</v>
      </c>
      <c r="F53" s="9" t="s">
        <v>91</v>
      </c>
      <c r="G53" s="9" t="s">
        <v>309</v>
      </c>
      <c r="H53" s="51" t="s">
        <v>125</v>
      </c>
      <c r="I53" s="51" t="s">
        <v>85</v>
      </c>
      <c r="J53" s="90" t="s">
        <v>108</v>
      </c>
      <c r="K53" s="53"/>
      <c r="L53" s="85" t="s">
        <v>85</v>
      </c>
      <c r="M53" s="85" t="str">
        <f>"97,5450"</f>
        <v>97,5450</v>
      </c>
      <c r="N53" s="9" t="s">
        <v>126</v>
      </c>
    </row>
    <row r="54" spans="1:14" ht="12.75">
      <c r="A54" s="30" t="s">
        <v>419</v>
      </c>
      <c r="B54" s="63" t="s">
        <v>127</v>
      </c>
      <c r="C54" s="74" t="s">
        <v>128</v>
      </c>
      <c r="D54" s="74" t="s">
        <v>383</v>
      </c>
      <c r="E54" s="74" t="str">
        <f>"0,6499"</f>
        <v>0,6499</v>
      </c>
      <c r="F54" s="9" t="s">
        <v>12</v>
      </c>
      <c r="G54" s="9" t="s">
        <v>309</v>
      </c>
      <c r="H54" s="51" t="s">
        <v>60</v>
      </c>
      <c r="I54" s="51" t="s">
        <v>70</v>
      </c>
      <c r="J54" s="90" t="s">
        <v>66</v>
      </c>
      <c r="K54" s="53"/>
      <c r="L54" s="85" t="s">
        <v>70</v>
      </c>
      <c r="M54" s="85" t="str">
        <f>"81,2375"</f>
        <v>81,2375</v>
      </c>
      <c r="N54" s="9" t="s">
        <v>126</v>
      </c>
    </row>
    <row r="55" spans="1:14" ht="12.75">
      <c r="A55" s="30" t="s">
        <v>420</v>
      </c>
      <c r="B55" s="63" t="s">
        <v>129</v>
      </c>
      <c r="C55" s="74" t="s">
        <v>130</v>
      </c>
      <c r="D55" s="74" t="s">
        <v>384</v>
      </c>
      <c r="E55" s="74" t="str">
        <f>"0,6410"</f>
        <v>0,6410</v>
      </c>
      <c r="F55" s="9" t="s">
        <v>12</v>
      </c>
      <c r="G55" s="9" t="s">
        <v>310</v>
      </c>
      <c r="H55" s="51" t="s">
        <v>131</v>
      </c>
      <c r="I55" s="51" t="s">
        <v>132</v>
      </c>
      <c r="J55" s="51" t="s">
        <v>57</v>
      </c>
      <c r="K55" s="53"/>
      <c r="L55" s="85" t="s">
        <v>57</v>
      </c>
      <c r="M55" s="85" t="str">
        <f>"73,7150"</f>
        <v>73,7150</v>
      </c>
      <c r="N55" s="9" t="s">
        <v>410</v>
      </c>
    </row>
    <row r="56" spans="1:14" ht="12.75">
      <c r="A56" s="30" t="s">
        <v>416</v>
      </c>
      <c r="B56" s="61" t="s">
        <v>123</v>
      </c>
      <c r="C56" s="72" t="s">
        <v>133</v>
      </c>
      <c r="D56" s="72" t="s">
        <v>382</v>
      </c>
      <c r="E56" s="72" t="str">
        <f>"0,6503"</f>
        <v>0,6503</v>
      </c>
      <c r="F56" s="7" t="s">
        <v>91</v>
      </c>
      <c r="G56" s="7" t="s">
        <v>310</v>
      </c>
      <c r="H56" s="52" t="s">
        <v>125</v>
      </c>
      <c r="I56" s="52" t="s">
        <v>85</v>
      </c>
      <c r="J56" s="88" t="s">
        <v>108</v>
      </c>
      <c r="K56" s="82"/>
      <c r="L56" s="81" t="s">
        <v>85</v>
      </c>
      <c r="M56" s="81" t="str">
        <f>"101,8370"</f>
        <v>101,8370</v>
      </c>
      <c r="N56" s="7" t="s">
        <v>126</v>
      </c>
    </row>
    <row r="58" spans="2:13" ht="15.75">
      <c r="B58" s="133" t="s">
        <v>134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</row>
    <row r="59" spans="1:14" ht="12.75">
      <c r="A59" s="30" t="s">
        <v>416</v>
      </c>
      <c r="B59" s="60" t="s">
        <v>135</v>
      </c>
      <c r="C59" s="71" t="s">
        <v>136</v>
      </c>
      <c r="D59" s="71" t="s">
        <v>385</v>
      </c>
      <c r="E59" s="71" t="str">
        <f>"0,6338"</f>
        <v>0,6338</v>
      </c>
      <c r="F59" s="6" t="s">
        <v>12</v>
      </c>
      <c r="G59" s="6" t="s">
        <v>309</v>
      </c>
      <c r="H59" s="50" t="s">
        <v>103</v>
      </c>
      <c r="I59" s="50" t="s">
        <v>137</v>
      </c>
      <c r="J59" s="87" t="s">
        <v>131</v>
      </c>
      <c r="K59" s="80"/>
      <c r="L59" s="79" t="s">
        <v>137</v>
      </c>
      <c r="M59" s="79" t="str">
        <f>"60,2110"</f>
        <v>60,2110</v>
      </c>
      <c r="N59" s="6" t="s">
        <v>412</v>
      </c>
    </row>
    <row r="60" spans="1:14" ht="12.75">
      <c r="A60" s="30" t="s">
        <v>416</v>
      </c>
      <c r="B60" s="63" t="s">
        <v>138</v>
      </c>
      <c r="C60" s="74" t="s">
        <v>139</v>
      </c>
      <c r="D60" s="74" t="s">
        <v>386</v>
      </c>
      <c r="E60" s="74" t="str">
        <f>"0,6166"</f>
        <v>0,6166</v>
      </c>
      <c r="F60" s="9" t="s">
        <v>12</v>
      </c>
      <c r="G60" s="9" t="s">
        <v>309</v>
      </c>
      <c r="H60" s="51" t="s">
        <v>140</v>
      </c>
      <c r="I60" s="51" t="s">
        <v>141</v>
      </c>
      <c r="J60" s="51" t="s">
        <v>142</v>
      </c>
      <c r="K60" s="53"/>
      <c r="L60" s="85" t="s">
        <v>142</v>
      </c>
      <c r="M60" s="85" t="str">
        <f>"123,3200"</f>
        <v>123,3200</v>
      </c>
      <c r="N60" s="9" t="s">
        <v>126</v>
      </c>
    </row>
    <row r="61" spans="1:14" ht="12.75">
      <c r="A61" s="30" t="s">
        <v>417</v>
      </c>
      <c r="B61" s="63" t="s">
        <v>143</v>
      </c>
      <c r="C61" s="74" t="s">
        <v>144</v>
      </c>
      <c r="D61" s="74" t="s">
        <v>387</v>
      </c>
      <c r="E61" s="74" t="str">
        <f>"0,6139"</f>
        <v>0,6139</v>
      </c>
      <c r="F61" s="9" t="s">
        <v>12</v>
      </c>
      <c r="G61" s="9" t="s">
        <v>309</v>
      </c>
      <c r="H61" s="51" t="s">
        <v>73</v>
      </c>
      <c r="I61" s="51" t="s">
        <v>85</v>
      </c>
      <c r="J61" s="51" t="s">
        <v>110</v>
      </c>
      <c r="K61" s="53"/>
      <c r="L61" s="85" t="s">
        <v>110</v>
      </c>
      <c r="M61" s="85" t="str">
        <f>"99,7588"</f>
        <v>99,7588</v>
      </c>
      <c r="N61" s="9" t="s">
        <v>126</v>
      </c>
    </row>
    <row r="62" spans="1:14" ht="12.75">
      <c r="A62" s="30" t="s">
        <v>418</v>
      </c>
      <c r="B62" s="63" t="s">
        <v>145</v>
      </c>
      <c r="C62" s="74" t="s">
        <v>146</v>
      </c>
      <c r="D62" s="74" t="s">
        <v>388</v>
      </c>
      <c r="E62" s="74" t="str">
        <f>"0,6200"</f>
        <v>0,6200</v>
      </c>
      <c r="F62" s="9" t="s">
        <v>12</v>
      </c>
      <c r="G62" s="9" t="s">
        <v>310</v>
      </c>
      <c r="H62" s="51" t="s">
        <v>70</v>
      </c>
      <c r="I62" s="51" t="s">
        <v>147</v>
      </c>
      <c r="J62" s="51" t="s">
        <v>62</v>
      </c>
      <c r="K62" s="53"/>
      <c r="L62" s="85" t="s">
        <v>62</v>
      </c>
      <c r="M62" s="85" t="str">
        <f>"85,2500"</f>
        <v>85,2500</v>
      </c>
      <c r="N62" s="9" t="s">
        <v>126</v>
      </c>
    </row>
    <row r="63" spans="1:14" ht="12.75">
      <c r="A63" s="30" t="s">
        <v>416</v>
      </c>
      <c r="B63" s="63" t="s">
        <v>148</v>
      </c>
      <c r="C63" s="74" t="s">
        <v>149</v>
      </c>
      <c r="D63" s="74" t="s">
        <v>389</v>
      </c>
      <c r="E63" s="74" t="str">
        <f>"0,6093"</f>
        <v>0,6093</v>
      </c>
      <c r="F63" s="9" t="s">
        <v>12</v>
      </c>
      <c r="G63" s="9" t="s">
        <v>150</v>
      </c>
      <c r="H63" s="51" t="s">
        <v>140</v>
      </c>
      <c r="I63" s="51" t="s">
        <v>151</v>
      </c>
      <c r="J63" s="90" t="s">
        <v>152</v>
      </c>
      <c r="K63" s="53"/>
      <c r="L63" s="85" t="s">
        <v>151</v>
      </c>
      <c r="M63" s="85" t="str">
        <f>"117,2903"</f>
        <v>117,2903</v>
      </c>
      <c r="N63" s="9" t="s">
        <v>126</v>
      </c>
    </row>
    <row r="64" spans="1:14" ht="12.75">
      <c r="A64" s="30" t="s">
        <v>417</v>
      </c>
      <c r="B64" s="63" t="s">
        <v>153</v>
      </c>
      <c r="C64" s="74" t="s">
        <v>154</v>
      </c>
      <c r="D64" s="74" t="s">
        <v>390</v>
      </c>
      <c r="E64" s="74" t="str">
        <f>"0,6305"</f>
        <v>0,6305</v>
      </c>
      <c r="F64" s="9" t="s">
        <v>91</v>
      </c>
      <c r="G64" s="9" t="s">
        <v>309</v>
      </c>
      <c r="H64" s="51" t="s">
        <v>155</v>
      </c>
      <c r="I64" s="51" t="s">
        <v>156</v>
      </c>
      <c r="J64" s="90" t="s">
        <v>141</v>
      </c>
      <c r="K64" s="53"/>
      <c r="L64" s="85" t="s">
        <v>156</v>
      </c>
      <c r="M64" s="85" t="str">
        <f>"119,7950"</f>
        <v>119,7950</v>
      </c>
      <c r="N64" s="9" t="s">
        <v>126</v>
      </c>
    </row>
    <row r="65" spans="1:14" ht="12.75">
      <c r="A65" s="30" t="s">
        <v>418</v>
      </c>
      <c r="B65" s="63" t="s">
        <v>157</v>
      </c>
      <c r="C65" s="74" t="s">
        <v>158</v>
      </c>
      <c r="D65" s="74" t="s">
        <v>391</v>
      </c>
      <c r="E65" s="74" t="str">
        <f>"0,6096"</f>
        <v>0,6096</v>
      </c>
      <c r="F65" s="9" t="s">
        <v>113</v>
      </c>
      <c r="G65" s="9" t="s">
        <v>357</v>
      </c>
      <c r="H65" s="51" t="s">
        <v>159</v>
      </c>
      <c r="I65" s="51" t="s">
        <v>119</v>
      </c>
      <c r="J65" s="51" t="s">
        <v>155</v>
      </c>
      <c r="K65" s="53"/>
      <c r="L65" s="85" t="s">
        <v>155</v>
      </c>
      <c r="M65" s="85" t="str">
        <f>"109,7280"</f>
        <v>109,7280</v>
      </c>
      <c r="N65" s="9" t="s">
        <v>126</v>
      </c>
    </row>
    <row r="66" spans="1:14" ht="12.75">
      <c r="A66" s="30" t="s">
        <v>419</v>
      </c>
      <c r="B66" s="63" t="s">
        <v>160</v>
      </c>
      <c r="C66" s="74" t="s">
        <v>161</v>
      </c>
      <c r="D66" s="74" t="s">
        <v>392</v>
      </c>
      <c r="E66" s="74" t="str">
        <f>"0,6155"</f>
        <v>0,6155</v>
      </c>
      <c r="F66" s="9" t="s">
        <v>12</v>
      </c>
      <c r="G66" s="9" t="s">
        <v>309</v>
      </c>
      <c r="H66" s="51" t="s">
        <v>85</v>
      </c>
      <c r="I66" s="90" t="s">
        <v>108</v>
      </c>
      <c r="J66" s="53"/>
      <c r="K66" s="53"/>
      <c r="L66" s="85" t="s">
        <v>85</v>
      </c>
      <c r="M66" s="85" t="str">
        <f>"92,3250"</f>
        <v>92,3250</v>
      </c>
      <c r="N66" s="9" t="s">
        <v>126</v>
      </c>
    </row>
    <row r="67" spans="1:14" ht="12.75">
      <c r="A67" s="30" t="s">
        <v>420</v>
      </c>
      <c r="B67" s="63" t="s">
        <v>162</v>
      </c>
      <c r="C67" s="74" t="s">
        <v>163</v>
      </c>
      <c r="D67" s="74" t="s">
        <v>393</v>
      </c>
      <c r="E67" s="74" t="str">
        <f>"0,6161"</f>
        <v>0,6161</v>
      </c>
      <c r="F67" s="9" t="s">
        <v>12</v>
      </c>
      <c r="G67" s="9" t="s">
        <v>309</v>
      </c>
      <c r="H67" s="51" t="s">
        <v>60</v>
      </c>
      <c r="I67" s="51" t="s">
        <v>61</v>
      </c>
      <c r="J67" s="51" t="s">
        <v>66</v>
      </c>
      <c r="K67" s="53"/>
      <c r="L67" s="85" t="s">
        <v>66</v>
      </c>
      <c r="M67" s="85" t="str">
        <f>"80,0930"</f>
        <v>80,0930</v>
      </c>
      <c r="N67" s="9" t="s">
        <v>126</v>
      </c>
    </row>
    <row r="68" spans="1:14" ht="12.75">
      <c r="A68" s="30" t="s">
        <v>416</v>
      </c>
      <c r="B68" s="63" t="s">
        <v>148</v>
      </c>
      <c r="C68" s="74" t="s">
        <v>164</v>
      </c>
      <c r="D68" s="74" t="s">
        <v>389</v>
      </c>
      <c r="E68" s="74" t="str">
        <f>"0,6093"</f>
        <v>0,6093</v>
      </c>
      <c r="F68" s="9" t="s">
        <v>12</v>
      </c>
      <c r="G68" s="9" t="s">
        <v>150</v>
      </c>
      <c r="H68" s="51" t="s">
        <v>140</v>
      </c>
      <c r="I68" s="51" t="s">
        <v>151</v>
      </c>
      <c r="J68" s="90" t="s">
        <v>152</v>
      </c>
      <c r="K68" s="53"/>
      <c r="L68" s="85" t="s">
        <v>151</v>
      </c>
      <c r="M68" s="85" t="str">
        <f>"118,9323"</f>
        <v>118,9323</v>
      </c>
      <c r="N68" s="9" t="s">
        <v>126</v>
      </c>
    </row>
    <row r="69" spans="1:14" ht="12.75">
      <c r="A69" s="30" t="s">
        <v>417</v>
      </c>
      <c r="B69" s="61" t="s">
        <v>153</v>
      </c>
      <c r="C69" s="72" t="s">
        <v>165</v>
      </c>
      <c r="D69" s="72" t="s">
        <v>390</v>
      </c>
      <c r="E69" s="72" t="str">
        <f>"0,6305"</f>
        <v>0,6305</v>
      </c>
      <c r="F69" s="7" t="s">
        <v>91</v>
      </c>
      <c r="G69" s="7" t="s">
        <v>309</v>
      </c>
      <c r="H69" s="52" t="s">
        <v>155</v>
      </c>
      <c r="I69" s="52" t="s">
        <v>156</v>
      </c>
      <c r="J69" s="88" t="s">
        <v>141</v>
      </c>
      <c r="K69" s="82"/>
      <c r="L69" s="81" t="s">
        <v>156</v>
      </c>
      <c r="M69" s="81" t="str">
        <f>"119,7950"</f>
        <v>119,7950</v>
      </c>
      <c r="N69" s="7" t="s">
        <v>126</v>
      </c>
    </row>
    <row r="71" spans="2:13" ht="15.75">
      <c r="B71" s="133" t="s">
        <v>166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</row>
    <row r="72" spans="1:14" ht="12.75">
      <c r="A72" s="30" t="s">
        <v>416</v>
      </c>
      <c r="B72" s="60" t="s">
        <v>167</v>
      </c>
      <c r="C72" s="71" t="s">
        <v>168</v>
      </c>
      <c r="D72" s="71" t="s">
        <v>394</v>
      </c>
      <c r="E72" s="71" t="str">
        <f>"0,5980"</f>
        <v>0,5980</v>
      </c>
      <c r="F72" s="6" t="s">
        <v>169</v>
      </c>
      <c r="G72" s="6" t="s">
        <v>314</v>
      </c>
      <c r="H72" s="50" t="s">
        <v>141</v>
      </c>
      <c r="I72" s="50" t="s">
        <v>142</v>
      </c>
      <c r="J72" s="50" t="s">
        <v>170</v>
      </c>
      <c r="K72" s="80"/>
      <c r="L72" s="79" t="s">
        <v>170</v>
      </c>
      <c r="M72" s="79" t="str">
        <f>"122,5900"</f>
        <v>122,5900</v>
      </c>
      <c r="N72" s="6" t="s">
        <v>126</v>
      </c>
    </row>
    <row r="73" spans="1:14" ht="12.75">
      <c r="A73" s="30" t="s">
        <v>417</v>
      </c>
      <c r="B73" s="63" t="s">
        <v>171</v>
      </c>
      <c r="C73" s="74" t="s">
        <v>172</v>
      </c>
      <c r="D73" s="74" t="s">
        <v>132</v>
      </c>
      <c r="E73" s="74" t="str">
        <f>"0,5928"</f>
        <v>0,5928</v>
      </c>
      <c r="F73" s="9" t="s">
        <v>12</v>
      </c>
      <c r="G73" s="9" t="s">
        <v>309</v>
      </c>
      <c r="H73" s="51" t="s">
        <v>159</v>
      </c>
      <c r="I73" s="51" t="s">
        <v>173</v>
      </c>
      <c r="J73" s="51" t="s">
        <v>174</v>
      </c>
      <c r="K73" s="53"/>
      <c r="L73" s="85" t="s">
        <v>174</v>
      </c>
      <c r="M73" s="85" t="str">
        <f>"108,1860"</f>
        <v>108,1860</v>
      </c>
      <c r="N73" s="9" t="s">
        <v>323</v>
      </c>
    </row>
    <row r="74" spans="1:14" ht="12.75">
      <c r="A74" s="30" t="s">
        <v>418</v>
      </c>
      <c r="B74" s="63" t="s">
        <v>175</v>
      </c>
      <c r="C74" s="74" t="s">
        <v>176</v>
      </c>
      <c r="D74" s="74" t="s">
        <v>395</v>
      </c>
      <c r="E74" s="74" t="str">
        <f>"0,5930"</f>
        <v>0,5930</v>
      </c>
      <c r="F74" s="9" t="s">
        <v>12</v>
      </c>
      <c r="G74" s="9" t="s">
        <v>310</v>
      </c>
      <c r="H74" s="90" t="s">
        <v>159</v>
      </c>
      <c r="I74" s="51" t="s">
        <v>177</v>
      </c>
      <c r="J74" s="51" t="s">
        <v>173</v>
      </c>
      <c r="K74" s="53"/>
      <c r="L74" s="85" t="s">
        <v>173</v>
      </c>
      <c r="M74" s="85" t="str">
        <f>"105,2575"</f>
        <v>105,2575</v>
      </c>
      <c r="N74" s="9" t="s">
        <v>126</v>
      </c>
    </row>
    <row r="75" spans="1:14" ht="12.75">
      <c r="A75" s="30" t="s">
        <v>419</v>
      </c>
      <c r="B75" s="63" t="s">
        <v>178</v>
      </c>
      <c r="C75" s="74" t="s">
        <v>179</v>
      </c>
      <c r="D75" s="74" t="s">
        <v>396</v>
      </c>
      <c r="E75" s="74" t="str">
        <f>"0,6000"</f>
        <v>0,6000</v>
      </c>
      <c r="F75" s="9" t="s">
        <v>12</v>
      </c>
      <c r="G75" s="9" t="s">
        <v>309</v>
      </c>
      <c r="H75" s="51" t="s">
        <v>109</v>
      </c>
      <c r="I75" s="51" t="s">
        <v>180</v>
      </c>
      <c r="J75" s="51" t="s">
        <v>119</v>
      </c>
      <c r="K75" s="53"/>
      <c r="L75" s="85" t="s">
        <v>119</v>
      </c>
      <c r="M75" s="85" t="str">
        <f>"105,0000"</f>
        <v>105,0000</v>
      </c>
      <c r="N75" s="9" t="s">
        <v>405</v>
      </c>
    </row>
    <row r="76" spans="1:14" ht="12.75">
      <c r="A76" s="30" t="s">
        <v>416</v>
      </c>
      <c r="B76" s="61" t="s">
        <v>181</v>
      </c>
      <c r="C76" s="72" t="s">
        <v>182</v>
      </c>
      <c r="D76" s="72" t="s">
        <v>397</v>
      </c>
      <c r="E76" s="72" t="str">
        <f>"0,6015"</f>
        <v>0,6015</v>
      </c>
      <c r="F76" s="7" t="s">
        <v>12</v>
      </c>
      <c r="G76" s="7" t="s">
        <v>309</v>
      </c>
      <c r="H76" s="88" t="s">
        <v>74</v>
      </c>
      <c r="I76" s="52" t="s">
        <v>74</v>
      </c>
      <c r="J76" s="88" t="s">
        <v>85</v>
      </c>
      <c r="K76" s="82"/>
      <c r="L76" s="81" t="s">
        <v>74</v>
      </c>
      <c r="M76" s="81" t="str">
        <f>"98,5708"</f>
        <v>98,5708</v>
      </c>
      <c r="N76" s="7" t="s">
        <v>126</v>
      </c>
    </row>
    <row r="78" spans="2:13" ht="15.75">
      <c r="B78" s="133" t="s">
        <v>183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</row>
    <row r="79" spans="1:14" ht="12.75">
      <c r="A79" s="30" t="s">
        <v>416</v>
      </c>
      <c r="B79" s="60" t="s">
        <v>184</v>
      </c>
      <c r="C79" s="71" t="s">
        <v>185</v>
      </c>
      <c r="D79" s="71" t="s">
        <v>398</v>
      </c>
      <c r="E79" s="71" t="str">
        <f>"0,5839"</f>
        <v>0,5839</v>
      </c>
      <c r="F79" s="6" t="s">
        <v>12</v>
      </c>
      <c r="G79" s="6" t="s">
        <v>309</v>
      </c>
      <c r="H79" s="50" t="s">
        <v>186</v>
      </c>
      <c r="I79" s="50" t="s">
        <v>187</v>
      </c>
      <c r="J79" s="50" t="s">
        <v>188</v>
      </c>
      <c r="K79" s="80"/>
      <c r="L79" s="79" t="s">
        <v>188</v>
      </c>
      <c r="M79" s="79" t="str">
        <f>"132,8372"</f>
        <v>132,8372</v>
      </c>
      <c r="N79" s="6" t="s">
        <v>413</v>
      </c>
    </row>
    <row r="80" spans="1:14" ht="12.75">
      <c r="A80" s="30" t="s">
        <v>416</v>
      </c>
      <c r="B80" s="63" t="s">
        <v>189</v>
      </c>
      <c r="C80" s="74" t="s">
        <v>190</v>
      </c>
      <c r="D80" s="74" t="s">
        <v>399</v>
      </c>
      <c r="E80" s="74" t="str">
        <f>"0,5742"</f>
        <v>0,5742</v>
      </c>
      <c r="F80" s="9" t="s">
        <v>12</v>
      </c>
      <c r="G80" s="9" t="s">
        <v>309</v>
      </c>
      <c r="H80" s="51" t="s">
        <v>156</v>
      </c>
      <c r="I80" s="90" t="s">
        <v>191</v>
      </c>
      <c r="J80" s="51" t="s">
        <v>191</v>
      </c>
      <c r="K80" s="53"/>
      <c r="L80" s="85" t="s">
        <v>191</v>
      </c>
      <c r="M80" s="85" t="str">
        <f>"116,2755"</f>
        <v>116,2755</v>
      </c>
      <c r="N80" s="9" t="s">
        <v>414</v>
      </c>
    </row>
    <row r="81" spans="1:14" ht="12.75">
      <c r="A81" s="30" t="s">
        <v>417</v>
      </c>
      <c r="B81" s="63" t="s">
        <v>192</v>
      </c>
      <c r="C81" s="74" t="s">
        <v>193</v>
      </c>
      <c r="D81" s="74" t="s">
        <v>400</v>
      </c>
      <c r="E81" s="74" t="str">
        <f>"0,5758"</f>
        <v>0,5758</v>
      </c>
      <c r="F81" s="9" t="s">
        <v>169</v>
      </c>
      <c r="G81" s="9" t="s">
        <v>309</v>
      </c>
      <c r="H81" s="90" t="s">
        <v>142</v>
      </c>
      <c r="I81" s="51" t="s">
        <v>142</v>
      </c>
      <c r="J81" s="90" t="s">
        <v>170</v>
      </c>
      <c r="K81" s="53"/>
      <c r="L81" s="85" t="s">
        <v>142</v>
      </c>
      <c r="M81" s="85" t="str">
        <f>"115,1600"</f>
        <v>115,1600</v>
      </c>
      <c r="N81" s="9" t="s">
        <v>415</v>
      </c>
    </row>
    <row r="82" spans="1:14" ht="12.75">
      <c r="A82" s="30" t="s">
        <v>418</v>
      </c>
      <c r="B82" s="63" t="s">
        <v>194</v>
      </c>
      <c r="C82" s="74" t="s">
        <v>195</v>
      </c>
      <c r="D82" s="74" t="s">
        <v>401</v>
      </c>
      <c r="E82" s="74" t="str">
        <f>"0,5806"</f>
        <v>0,5806</v>
      </c>
      <c r="F82" s="9" t="s">
        <v>12</v>
      </c>
      <c r="G82" s="9" t="s">
        <v>314</v>
      </c>
      <c r="H82" s="90" t="s">
        <v>73</v>
      </c>
      <c r="I82" s="51" t="s">
        <v>85</v>
      </c>
      <c r="J82" s="90" t="s">
        <v>122</v>
      </c>
      <c r="K82" s="53"/>
      <c r="L82" s="85" t="s">
        <v>85</v>
      </c>
      <c r="M82" s="85" t="str">
        <f>"87,0900"</f>
        <v>87,0900</v>
      </c>
      <c r="N82" s="9" t="s">
        <v>126</v>
      </c>
    </row>
    <row r="83" spans="1:14" ht="12.75">
      <c r="A83" s="30" t="s">
        <v>416</v>
      </c>
      <c r="B83" s="63" t="s">
        <v>189</v>
      </c>
      <c r="C83" s="74" t="s">
        <v>196</v>
      </c>
      <c r="D83" s="74" t="s">
        <v>399</v>
      </c>
      <c r="E83" s="74" t="str">
        <f>"0,5742"</f>
        <v>0,5742</v>
      </c>
      <c r="F83" s="9" t="s">
        <v>12</v>
      </c>
      <c r="G83" s="9" t="s">
        <v>309</v>
      </c>
      <c r="H83" s="51" t="s">
        <v>156</v>
      </c>
      <c r="I83" s="90" t="s">
        <v>191</v>
      </c>
      <c r="J83" s="51" t="s">
        <v>191</v>
      </c>
      <c r="K83" s="53"/>
      <c r="L83" s="85" t="s">
        <v>191</v>
      </c>
      <c r="M83" s="85" t="str">
        <f>"121,3916"</f>
        <v>121,3916</v>
      </c>
      <c r="N83" s="9" t="s">
        <v>414</v>
      </c>
    </row>
    <row r="84" spans="2:14" ht="12.75">
      <c r="B84" s="61" t="s">
        <v>197</v>
      </c>
      <c r="C84" s="72" t="s">
        <v>198</v>
      </c>
      <c r="D84" s="72" t="s">
        <v>399</v>
      </c>
      <c r="E84" s="72" t="str">
        <f>"0,5742"</f>
        <v>0,5742</v>
      </c>
      <c r="F84" s="7" t="s">
        <v>12</v>
      </c>
      <c r="G84" s="7" t="s">
        <v>314</v>
      </c>
      <c r="H84" s="88" t="s">
        <v>125</v>
      </c>
      <c r="I84" s="88" t="s">
        <v>125</v>
      </c>
      <c r="J84" s="82"/>
      <c r="K84" s="82"/>
      <c r="L84" s="81" t="s">
        <v>351</v>
      </c>
      <c r="M84" s="81" t="s">
        <v>351</v>
      </c>
      <c r="N84" s="7" t="s">
        <v>126</v>
      </c>
    </row>
    <row r="86" spans="2:14" ht="15.75">
      <c r="B86" s="133" t="s">
        <v>199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86"/>
    </row>
    <row r="87" spans="1:14" ht="12.75">
      <c r="A87" s="30" t="s">
        <v>416</v>
      </c>
      <c r="B87" s="60" t="s">
        <v>200</v>
      </c>
      <c r="C87" s="71" t="s">
        <v>201</v>
      </c>
      <c r="D87" s="71" t="s">
        <v>402</v>
      </c>
      <c r="E87" s="71" t="str">
        <f>"0,5603"</f>
        <v>0,5603</v>
      </c>
      <c r="F87" s="6" t="s">
        <v>12</v>
      </c>
      <c r="G87" s="6" t="s">
        <v>358</v>
      </c>
      <c r="H87" s="50" t="s">
        <v>156</v>
      </c>
      <c r="I87" s="50" t="s">
        <v>142</v>
      </c>
      <c r="J87" s="50" t="s">
        <v>203</v>
      </c>
      <c r="K87" s="80"/>
      <c r="L87" s="79" t="s">
        <v>203</v>
      </c>
      <c r="M87" s="79" t="str">
        <f>"116,2622"</f>
        <v>116,2622</v>
      </c>
      <c r="N87" s="9" t="s">
        <v>126</v>
      </c>
    </row>
    <row r="88" spans="1:14" ht="12.75">
      <c r="A88" s="30" t="s">
        <v>417</v>
      </c>
      <c r="B88" s="61" t="s">
        <v>204</v>
      </c>
      <c r="C88" s="72" t="s">
        <v>205</v>
      </c>
      <c r="D88" s="72" t="s">
        <v>403</v>
      </c>
      <c r="E88" s="72" t="str">
        <f>"0,5649"</f>
        <v>0,5649</v>
      </c>
      <c r="F88" s="7" t="s">
        <v>12</v>
      </c>
      <c r="G88" s="7" t="s">
        <v>310</v>
      </c>
      <c r="H88" s="88" t="s">
        <v>155</v>
      </c>
      <c r="I88" s="88" t="s">
        <v>155</v>
      </c>
      <c r="J88" s="52" t="s">
        <v>155</v>
      </c>
      <c r="K88" s="82"/>
      <c r="L88" s="81" t="s">
        <v>155</v>
      </c>
      <c r="M88" s="81" t="str">
        <f>"101,6820"</f>
        <v>101,6820</v>
      </c>
      <c r="N88" s="7" t="s">
        <v>126</v>
      </c>
    </row>
    <row r="90" spans="2:3" ht="18">
      <c r="B90" s="65" t="s">
        <v>206</v>
      </c>
      <c r="C90" s="76"/>
    </row>
    <row r="91" spans="2:3" ht="13.5">
      <c r="B91" s="66"/>
      <c r="C91" s="77" t="s">
        <v>604</v>
      </c>
    </row>
    <row r="92" spans="2:6" ht="13.5">
      <c r="B92" s="67" t="s">
        <v>207</v>
      </c>
      <c r="C92" s="78" t="s">
        <v>208</v>
      </c>
      <c r="D92" s="78" t="s">
        <v>209</v>
      </c>
      <c r="E92" s="78" t="s">
        <v>210</v>
      </c>
      <c r="F92" s="11" t="s">
        <v>211</v>
      </c>
    </row>
    <row r="93" spans="2:6" ht="12.75">
      <c r="B93" s="68" t="s">
        <v>184</v>
      </c>
      <c r="C93" s="1" t="s">
        <v>212</v>
      </c>
      <c r="D93" s="30" t="s">
        <v>421</v>
      </c>
      <c r="E93" s="30" t="s">
        <v>188</v>
      </c>
      <c r="F93" s="30" t="s">
        <v>215</v>
      </c>
    </row>
    <row r="94" spans="2:6" ht="12.75">
      <c r="B94" s="68" t="s">
        <v>138</v>
      </c>
      <c r="C94" s="1" t="s">
        <v>212</v>
      </c>
      <c r="D94" s="30" t="s">
        <v>347</v>
      </c>
      <c r="E94" s="30" t="s">
        <v>142</v>
      </c>
      <c r="F94" s="30" t="s">
        <v>216</v>
      </c>
    </row>
    <row r="95" spans="2:6" ht="12.75">
      <c r="B95" s="68" t="s">
        <v>105</v>
      </c>
      <c r="C95" s="1" t="s">
        <v>212</v>
      </c>
      <c r="D95" s="30" t="s">
        <v>422</v>
      </c>
      <c r="E95" s="30" t="s">
        <v>110</v>
      </c>
      <c r="F95" s="30" t="s">
        <v>217</v>
      </c>
    </row>
    <row r="97" spans="2:3" ht="13.5">
      <c r="B97" s="66"/>
      <c r="C97" s="77" t="s">
        <v>604</v>
      </c>
    </row>
    <row r="98" spans="2:6" ht="13.5">
      <c r="B98" s="67" t="s">
        <v>207</v>
      </c>
      <c r="C98" s="78" t="s">
        <v>208</v>
      </c>
      <c r="D98" s="78" t="s">
        <v>209</v>
      </c>
      <c r="E98" s="78" t="s">
        <v>210</v>
      </c>
      <c r="F98" s="11" t="s">
        <v>211</v>
      </c>
    </row>
    <row r="99" spans="2:6" ht="12.75">
      <c r="B99" s="68" t="s">
        <v>167</v>
      </c>
      <c r="C99" s="1" t="s">
        <v>213</v>
      </c>
      <c r="D99" s="30" t="s">
        <v>349</v>
      </c>
      <c r="E99" s="30" t="s">
        <v>170</v>
      </c>
      <c r="F99" s="30" t="s">
        <v>218</v>
      </c>
    </row>
    <row r="100" spans="2:6" ht="12.75">
      <c r="B100" s="68" t="s">
        <v>153</v>
      </c>
      <c r="C100" s="1" t="s">
        <v>213</v>
      </c>
      <c r="D100" s="30" t="s">
        <v>347</v>
      </c>
      <c r="E100" s="30" t="s">
        <v>156</v>
      </c>
      <c r="F100" s="30" t="s">
        <v>219</v>
      </c>
    </row>
    <row r="101" spans="2:6" ht="12.75">
      <c r="B101" s="68" t="s">
        <v>148</v>
      </c>
      <c r="C101" s="1" t="s">
        <v>213</v>
      </c>
      <c r="D101" s="30" t="s">
        <v>347</v>
      </c>
      <c r="E101" s="30" t="s">
        <v>151</v>
      </c>
      <c r="F101" s="30" t="s">
        <v>220</v>
      </c>
    </row>
    <row r="103" spans="2:3" ht="13.5">
      <c r="B103" s="66"/>
      <c r="C103" s="77" t="s">
        <v>604</v>
      </c>
    </row>
    <row r="104" spans="2:6" ht="13.5">
      <c r="B104" s="67" t="s">
        <v>207</v>
      </c>
      <c r="C104" s="78" t="s">
        <v>208</v>
      </c>
      <c r="D104" s="78" t="s">
        <v>209</v>
      </c>
      <c r="E104" s="78" t="s">
        <v>210</v>
      </c>
      <c r="F104" s="11" t="s">
        <v>211</v>
      </c>
    </row>
    <row r="105" spans="2:6" ht="12.75">
      <c r="B105" s="68" t="s">
        <v>189</v>
      </c>
      <c r="C105" s="1" t="s">
        <v>221</v>
      </c>
      <c r="D105" s="30" t="s">
        <v>421</v>
      </c>
      <c r="E105" s="30" t="s">
        <v>191</v>
      </c>
      <c r="F105" s="30" t="s">
        <v>222</v>
      </c>
    </row>
    <row r="106" spans="2:6" ht="12.75">
      <c r="B106" s="68" t="s">
        <v>153</v>
      </c>
      <c r="C106" s="1" t="s">
        <v>221</v>
      </c>
      <c r="D106" s="30" t="s">
        <v>347</v>
      </c>
      <c r="E106" s="30" t="s">
        <v>156</v>
      </c>
      <c r="F106" s="30" t="s">
        <v>219</v>
      </c>
    </row>
    <row r="107" spans="2:6" ht="12.75">
      <c r="B107" s="68" t="s">
        <v>148</v>
      </c>
      <c r="C107" s="1" t="s">
        <v>221</v>
      </c>
      <c r="D107" s="30" t="s">
        <v>347</v>
      </c>
      <c r="E107" s="30" t="s">
        <v>151</v>
      </c>
      <c r="F107" s="30" t="s">
        <v>223</v>
      </c>
    </row>
  </sheetData>
  <sheetProtection/>
  <mergeCells count="26">
    <mergeCell ref="N3:N4"/>
    <mergeCell ref="G3:G4"/>
    <mergeCell ref="F3:F4"/>
    <mergeCell ref="B5:M5"/>
    <mergeCell ref="B1:N2"/>
    <mergeCell ref="H3:K3"/>
    <mergeCell ref="B3:B4"/>
    <mergeCell ref="C3:C4"/>
    <mergeCell ref="D3:D4"/>
    <mergeCell ref="B58:M58"/>
    <mergeCell ref="B71:M71"/>
    <mergeCell ref="B13:M13"/>
    <mergeCell ref="E3:E4"/>
    <mergeCell ref="L3:L4"/>
    <mergeCell ref="M3:M4"/>
    <mergeCell ref="B9:M9"/>
    <mergeCell ref="B78:M78"/>
    <mergeCell ref="A3:A4"/>
    <mergeCell ref="B86:M86"/>
    <mergeCell ref="B17:M17"/>
    <mergeCell ref="B20:M20"/>
    <mergeCell ref="B23:M23"/>
    <mergeCell ref="B26:M26"/>
    <mergeCell ref="B30:M30"/>
    <mergeCell ref="B36:M36"/>
    <mergeCell ref="B47:M47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12" sqref="G12"/>
    </sheetView>
  </sheetViews>
  <sheetFormatPr defaultColWidth="9.125" defaultRowHeight="12.75"/>
  <cols>
    <col min="1" max="1" width="9.125" style="1" customWidth="1"/>
    <col min="2" max="2" width="26.75390625" style="4" bestFit="1" customWidth="1"/>
    <col min="3" max="3" width="27.125" style="1" customWidth="1"/>
    <col min="4" max="4" width="10.125" style="1" bestFit="1" customWidth="1"/>
    <col min="5" max="5" width="8.25390625" style="1" bestFit="1" customWidth="1"/>
    <col min="6" max="6" width="21.75390625" style="5" bestFit="1" customWidth="1"/>
    <col min="7" max="7" width="36.75390625" style="5" customWidth="1"/>
    <col min="8" max="10" width="5.625" style="1" bestFit="1" customWidth="1"/>
    <col min="11" max="11" width="4.25390625" style="1" bestFit="1" customWidth="1"/>
    <col min="12" max="12" width="11.00390625" style="4" customWidth="1"/>
    <col min="13" max="13" width="7.625" style="1" bestFit="1" customWidth="1"/>
    <col min="14" max="14" width="15.75390625" style="5" bestFit="1" customWidth="1"/>
    <col min="15" max="16384" width="9.125" style="1" customWidth="1"/>
  </cols>
  <sheetData>
    <row r="1" spans="2:14" ht="15" customHeight="1">
      <c r="B1" s="115" t="s">
        <v>607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</row>
    <row r="2" spans="2:14" ht="102" customHeight="1" thickBot="1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</row>
    <row r="3" spans="1:14" s="2" customFormat="1" ht="12.75" customHeight="1">
      <c r="A3" s="125" t="s">
        <v>304</v>
      </c>
      <c r="B3" s="121" t="s">
        <v>0</v>
      </c>
      <c r="C3" s="123" t="s">
        <v>305</v>
      </c>
      <c r="D3" s="123" t="s">
        <v>306</v>
      </c>
      <c r="E3" s="125" t="s">
        <v>8</v>
      </c>
      <c r="F3" s="125" t="s">
        <v>6</v>
      </c>
      <c r="G3" s="125" t="s">
        <v>307</v>
      </c>
      <c r="H3" s="125" t="s">
        <v>1</v>
      </c>
      <c r="I3" s="125"/>
      <c r="J3" s="125"/>
      <c r="K3" s="125"/>
      <c r="L3" s="125" t="s">
        <v>308</v>
      </c>
      <c r="M3" s="125" t="s">
        <v>5</v>
      </c>
      <c r="N3" s="126" t="s">
        <v>4</v>
      </c>
    </row>
    <row r="4" spans="1:14" s="2" customFormat="1" ht="21" customHeight="1" thickBot="1">
      <c r="A4" s="124"/>
      <c r="B4" s="122"/>
      <c r="C4" s="124"/>
      <c r="D4" s="130"/>
      <c r="E4" s="124"/>
      <c r="F4" s="124"/>
      <c r="G4" s="124"/>
      <c r="H4" s="3">
        <v>1</v>
      </c>
      <c r="I4" s="3">
        <v>2</v>
      </c>
      <c r="J4" s="3">
        <v>3</v>
      </c>
      <c r="K4" s="3" t="s">
        <v>7</v>
      </c>
      <c r="L4" s="124"/>
      <c r="M4" s="124"/>
      <c r="N4" s="127"/>
    </row>
    <row r="5" spans="2:13" ht="15.75">
      <c r="B5" s="134" t="s">
        <v>134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4" ht="12.75">
      <c r="A6" s="30" t="s">
        <v>416</v>
      </c>
      <c r="B6" s="62" t="s">
        <v>160</v>
      </c>
      <c r="C6" s="8" t="s">
        <v>161</v>
      </c>
      <c r="D6" s="8" t="s">
        <v>426</v>
      </c>
      <c r="E6" s="8" t="str">
        <f>"0,5885"</f>
        <v>0,5885</v>
      </c>
      <c r="F6" s="8" t="s">
        <v>12</v>
      </c>
      <c r="G6" s="8" t="s">
        <v>309</v>
      </c>
      <c r="H6" s="49" t="s">
        <v>85</v>
      </c>
      <c r="I6" s="49" t="s">
        <v>424</v>
      </c>
      <c r="J6" s="49" t="s">
        <v>110</v>
      </c>
      <c r="K6" s="84"/>
      <c r="L6" s="83" t="s">
        <v>110</v>
      </c>
      <c r="M6" s="83" t="str">
        <f>"95,6394"</f>
        <v>95,6394</v>
      </c>
      <c r="N6" s="8" t="s">
        <v>126</v>
      </c>
    </row>
  </sheetData>
  <sheetProtection/>
  <mergeCells count="13">
    <mergeCell ref="H3:K3"/>
    <mergeCell ref="L3:L4"/>
    <mergeCell ref="M3:M4"/>
    <mergeCell ref="N3:N4"/>
    <mergeCell ref="B5:M5"/>
    <mergeCell ref="A3:A4"/>
    <mergeCell ref="B1:N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7">
      <selection activeCell="C57" sqref="C56:C57"/>
    </sheetView>
  </sheetViews>
  <sheetFormatPr defaultColWidth="9.125" defaultRowHeight="12.75"/>
  <cols>
    <col min="1" max="1" width="9.125" style="30" customWidth="1"/>
    <col min="2" max="2" width="26.75390625" style="64" bestFit="1" customWidth="1"/>
    <col min="3" max="3" width="24.75390625" style="5" customWidth="1"/>
    <col min="4" max="4" width="10.125" style="5" bestFit="1" customWidth="1"/>
    <col min="5" max="5" width="11.25390625" style="5" customWidth="1"/>
    <col min="6" max="6" width="21.75390625" style="5" bestFit="1" customWidth="1"/>
    <col min="7" max="7" width="36.375" style="5" customWidth="1"/>
    <col min="8" max="8" width="6.375" style="1" customWidth="1"/>
    <col min="9" max="9" width="9.25390625" style="1" bestFit="1" customWidth="1"/>
    <col min="10" max="10" width="9.00390625" style="4" customWidth="1"/>
    <col min="11" max="11" width="9.625" style="1" bestFit="1" customWidth="1"/>
    <col min="12" max="12" width="17.375" style="5" bestFit="1" customWidth="1"/>
    <col min="13" max="16384" width="9.125" style="1" customWidth="1"/>
  </cols>
  <sheetData>
    <row r="1" spans="2:12" ht="15" customHeight="1">
      <c r="B1" s="115" t="s">
        <v>608</v>
      </c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2:12" ht="114" customHeight="1" thickBot="1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s="2" customFormat="1" ht="12.75" customHeight="1">
      <c r="A3" s="125" t="s">
        <v>304</v>
      </c>
      <c r="B3" s="121" t="s">
        <v>0</v>
      </c>
      <c r="C3" s="123" t="s">
        <v>305</v>
      </c>
      <c r="D3" s="123" t="s">
        <v>306</v>
      </c>
      <c r="E3" s="125" t="s">
        <v>423</v>
      </c>
      <c r="F3" s="125" t="s">
        <v>6</v>
      </c>
      <c r="G3" s="125" t="s">
        <v>307</v>
      </c>
      <c r="H3" s="125" t="s">
        <v>1</v>
      </c>
      <c r="I3" s="125"/>
      <c r="J3" s="125" t="s">
        <v>497</v>
      </c>
      <c r="K3" s="125" t="s">
        <v>5</v>
      </c>
      <c r="L3" s="126" t="s">
        <v>4</v>
      </c>
    </row>
    <row r="4" spans="1:12" s="2" customFormat="1" ht="21" customHeight="1" thickBot="1">
      <c r="A4" s="124"/>
      <c r="B4" s="122"/>
      <c r="C4" s="124"/>
      <c r="D4" s="130"/>
      <c r="E4" s="124"/>
      <c r="F4" s="124"/>
      <c r="G4" s="124"/>
      <c r="H4" s="3" t="s">
        <v>427</v>
      </c>
      <c r="I4" s="3" t="s">
        <v>428</v>
      </c>
      <c r="J4" s="124"/>
      <c r="K4" s="124"/>
      <c r="L4" s="127"/>
    </row>
    <row r="5" spans="2:14" ht="15.75">
      <c r="B5" s="133" t="s">
        <v>27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5"/>
    </row>
    <row r="6" spans="2:14" ht="12.75">
      <c r="B6" s="62" t="s">
        <v>28</v>
      </c>
      <c r="C6" s="8" t="s">
        <v>29</v>
      </c>
      <c r="D6" s="8" t="s">
        <v>362</v>
      </c>
      <c r="E6" s="93" t="s">
        <v>429</v>
      </c>
      <c r="F6" s="8" t="s">
        <v>12</v>
      </c>
      <c r="G6" s="8" t="s">
        <v>309</v>
      </c>
      <c r="H6" s="83" t="s">
        <v>18</v>
      </c>
      <c r="I6" s="83" t="s">
        <v>418</v>
      </c>
      <c r="J6" s="83" t="s">
        <v>351</v>
      </c>
      <c r="K6" s="98" t="s">
        <v>351</v>
      </c>
      <c r="L6" s="8" t="s">
        <v>407</v>
      </c>
      <c r="N6" s="5"/>
    </row>
    <row r="7" spans="2:11" ht="15.75">
      <c r="B7" s="133" t="s">
        <v>27</v>
      </c>
      <c r="C7" s="135"/>
      <c r="D7" s="135"/>
      <c r="E7" s="135"/>
      <c r="F7" s="135"/>
      <c r="G7" s="135"/>
      <c r="H7" s="135"/>
      <c r="I7" s="135"/>
      <c r="J7" s="135"/>
      <c r="K7" s="135"/>
    </row>
    <row r="8" spans="1:12" ht="12.75">
      <c r="A8" s="30" t="s">
        <v>416</v>
      </c>
      <c r="B8" s="62" t="s">
        <v>430</v>
      </c>
      <c r="C8" s="8" t="s">
        <v>431</v>
      </c>
      <c r="D8" s="8" t="s">
        <v>490</v>
      </c>
      <c r="E8" s="8" t="str">
        <f>"0,7494"</f>
        <v>0,7494</v>
      </c>
      <c r="F8" s="8" t="s">
        <v>12</v>
      </c>
      <c r="G8" s="8" t="s">
        <v>309</v>
      </c>
      <c r="H8" s="83" t="s">
        <v>432</v>
      </c>
      <c r="I8" s="83" t="s">
        <v>500</v>
      </c>
      <c r="J8" s="83" t="s">
        <v>486</v>
      </c>
      <c r="K8" s="83" t="str">
        <f>"1313,4907"</f>
        <v>1313,4907</v>
      </c>
      <c r="L8" s="8" t="s">
        <v>126</v>
      </c>
    </row>
    <row r="10" spans="2:11" ht="15.75">
      <c r="B10" s="133" t="s">
        <v>36</v>
      </c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2" ht="12.75">
      <c r="A11" s="30" t="s">
        <v>416</v>
      </c>
      <c r="B11" s="60" t="s">
        <v>433</v>
      </c>
      <c r="C11" s="6" t="s">
        <v>434</v>
      </c>
      <c r="D11" s="6" t="s">
        <v>369</v>
      </c>
      <c r="E11" s="6" t="str">
        <f>"0,7172"</f>
        <v>0,7172</v>
      </c>
      <c r="F11" s="6" t="s">
        <v>12</v>
      </c>
      <c r="G11" s="6" t="s">
        <v>43</v>
      </c>
      <c r="H11" s="79" t="s">
        <v>35</v>
      </c>
      <c r="I11" s="79" t="s">
        <v>500</v>
      </c>
      <c r="J11" s="79" t="s">
        <v>465</v>
      </c>
      <c r="K11" s="79" t="str">
        <f>"1248,0150"</f>
        <v>1248,0150</v>
      </c>
      <c r="L11" s="6" t="s">
        <v>75</v>
      </c>
    </row>
    <row r="12" spans="1:14" ht="12.75">
      <c r="A12" s="30" t="s">
        <v>416</v>
      </c>
      <c r="B12" s="63" t="s">
        <v>63</v>
      </c>
      <c r="C12" s="9" t="s">
        <v>64</v>
      </c>
      <c r="D12" s="9" t="s">
        <v>367</v>
      </c>
      <c r="E12" s="92" t="s">
        <v>435</v>
      </c>
      <c r="F12" s="9" t="s">
        <v>12</v>
      </c>
      <c r="G12" s="9" t="s">
        <v>65</v>
      </c>
      <c r="H12" s="85" t="s">
        <v>31</v>
      </c>
      <c r="I12" s="85" t="s">
        <v>501</v>
      </c>
      <c r="J12" s="85" t="s">
        <v>498</v>
      </c>
      <c r="K12" s="99" t="s">
        <v>436</v>
      </c>
      <c r="L12" s="9" t="s">
        <v>126</v>
      </c>
      <c r="M12" s="91"/>
      <c r="N12" s="5"/>
    </row>
    <row r="13" spans="1:12" ht="12.75">
      <c r="A13" s="30" t="s">
        <v>416</v>
      </c>
      <c r="B13" s="63" t="s">
        <v>437</v>
      </c>
      <c r="C13" s="9" t="s">
        <v>438</v>
      </c>
      <c r="D13" s="9" t="s">
        <v>491</v>
      </c>
      <c r="E13" s="9" t="str">
        <f>"0,7140"</f>
        <v>0,7140</v>
      </c>
      <c r="F13" s="9" t="s">
        <v>12</v>
      </c>
      <c r="G13" s="9" t="s">
        <v>514</v>
      </c>
      <c r="H13" s="85" t="s">
        <v>35</v>
      </c>
      <c r="I13" s="85" t="s">
        <v>502</v>
      </c>
      <c r="J13" s="85" t="s">
        <v>467</v>
      </c>
      <c r="K13" s="85" t="str">
        <f>"3261,4234"</f>
        <v>3261,4234</v>
      </c>
      <c r="L13" s="9" t="s">
        <v>126</v>
      </c>
    </row>
    <row r="14" spans="1:12" ht="12.75">
      <c r="A14" s="30" t="s">
        <v>417</v>
      </c>
      <c r="B14" s="61" t="s">
        <v>440</v>
      </c>
      <c r="C14" s="7" t="s">
        <v>441</v>
      </c>
      <c r="D14" s="7" t="s">
        <v>31</v>
      </c>
      <c r="E14" s="7" t="str">
        <f>"0,6885"</f>
        <v>0,6885</v>
      </c>
      <c r="F14" s="7" t="s">
        <v>12</v>
      </c>
      <c r="G14" s="7" t="s">
        <v>309</v>
      </c>
      <c r="H14" s="81" t="s">
        <v>31</v>
      </c>
      <c r="I14" s="81" t="s">
        <v>503</v>
      </c>
      <c r="J14" s="81" t="s">
        <v>482</v>
      </c>
      <c r="K14" s="81" t="str">
        <f>"1187,7487"</f>
        <v>1187,7487</v>
      </c>
      <c r="L14" s="7" t="s">
        <v>126</v>
      </c>
    </row>
    <row r="16" spans="2:12" ht="15.75">
      <c r="B16" s="136" t="s">
        <v>76</v>
      </c>
      <c r="C16" s="137"/>
      <c r="D16" s="137"/>
      <c r="E16" s="137"/>
      <c r="F16" s="137"/>
      <c r="G16" s="137"/>
      <c r="H16" s="137"/>
      <c r="I16" s="137"/>
      <c r="J16" s="137"/>
      <c r="K16" s="137"/>
      <c r="L16" s="86"/>
    </row>
    <row r="17" spans="1:14" ht="12.75">
      <c r="A17" s="102" t="s">
        <v>416</v>
      </c>
      <c r="B17" s="94" t="s">
        <v>77</v>
      </c>
      <c r="C17" s="95" t="s">
        <v>78</v>
      </c>
      <c r="D17" s="95" t="s">
        <v>370</v>
      </c>
      <c r="E17" s="96" t="s">
        <v>442</v>
      </c>
      <c r="F17" s="95" t="s">
        <v>12</v>
      </c>
      <c r="G17" s="95" t="s">
        <v>79</v>
      </c>
      <c r="H17" s="97" t="s">
        <v>52</v>
      </c>
      <c r="I17" s="100">
        <v>31</v>
      </c>
      <c r="J17" s="97" t="s">
        <v>499</v>
      </c>
      <c r="K17" s="101" t="s">
        <v>443</v>
      </c>
      <c r="L17" s="95" t="s">
        <v>126</v>
      </c>
      <c r="N17" s="5"/>
    </row>
    <row r="18" spans="1:12" ht="12.75">
      <c r="A18" s="30" t="s">
        <v>416</v>
      </c>
      <c r="B18" s="63" t="s">
        <v>444</v>
      </c>
      <c r="C18" s="9" t="s">
        <v>445</v>
      </c>
      <c r="D18" s="9" t="s">
        <v>492</v>
      </c>
      <c r="E18" s="9" t="str">
        <f>"0,6589"</f>
        <v>0,6589</v>
      </c>
      <c r="F18" s="9" t="s">
        <v>12</v>
      </c>
      <c r="G18" s="9" t="s">
        <v>354</v>
      </c>
      <c r="H18" s="85" t="s">
        <v>52</v>
      </c>
      <c r="I18" s="85" t="s">
        <v>504</v>
      </c>
      <c r="J18" s="85" t="s">
        <v>477</v>
      </c>
      <c r="K18" s="85" t="str">
        <f>"1581,4799"</f>
        <v>1581,4799</v>
      </c>
      <c r="L18" s="9" t="s">
        <v>126</v>
      </c>
    </row>
    <row r="19" spans="1:12" ht="12.75">
      <c r="A19" s="30" t="s">
        <v>417</v>
      </c>
      <c r="B19" s="63" t="s">
        <v>446</v>
      </c>
      <c r="C19" s="9" t="s">
        <v>447</v>
      </c>
      <c r="D19" s="9" t="s">
        <v>39</v>
      </c>
      <c r="E19" s="9" t="str">
        <f>"0,6446"</f>
        <v>0,6446</v>
      </c>
      <c r="F19" s="9" t="s">
        <v>12</v>
      </c>
      <c r="G19" s="9" t="s">
        <v>309</v>
      </c>
      <c r="H19" s="85" t="s">
        <v>39</v>
      </c>
      <c r="I19" s="85" t="s">
        <v>505</v>
      </c>
      <c r="J19" s="85" t="s">
        <v>483</v>
      </c>
      <c r="K19" s="85" t="str">
        <f>"1116,7695"</f>
        <v>1116,7695</v>
      </c>
      <c r="L19" s="9" t="s">
        <v>489</v>
      </c>
    </row>
    <row r="20" spans="1:12" ht="12.75">
      <c r="A20" s="30" t="s">
        <v>416</v>
      </c>
      <c r="B20" s="63" t="s">
        <v>444</v>
      </c>
      <c r="C20" s="9" t="s">
        <v>449</v>
      </c>
      <c r="D20" s="9" t="s">
        <v>492</v>
      </c>
      <c r="E20" s="9" t="str">
        <f>"0,6589"</f>
        <v>0,6589</v>
      </c>
      <c r="F20" s="9" t="s">
        <v>12</v>
      </c>
      <c r="G20" s="9" t="s">
        <v>354</v>
      </c>
      <c r="H20" s="85" t="s">
        <v>52</v>
      </c>
      <c r="I20" s="85" t="s">
        <v>504</v>
      </c>
      <c r="J20" s="85" t="s">
        <v>477</v>
      </c>
      <c r="K20" s="85" t="str">
        <f>"1581,4799"</f>
        <v>1581,4799</v>
      </c>
      <c r="L20" s="9" t="s">
        <v>126</v>
      </c>
    </row>
    <row r="21" spans="1:12" ht="12.75">
      <c r="A21" s="30" t="s">
        <v>417</v>
      </c>
      <c r="B21" s="63" t="s">
        <v>450</v>
      </c>
      <c r="C21" s="9" t="s">
        <v>451</v>
      </c>
      <c r="D21" s="9" t="s">
        <v>493</v>
      </c>
      <c r="E21" s="9" t="str">
        <f>"0,6773"</f>
        <v>0,6773</v>
      </c>
      <c r="F21" s="9" t="s">
        <v>12</v>
      </c>
      <c r="G21" s="9" t="s">
        <v>452</v>
      </c>
      <c r="H21" s="85" t="s">
        <v>32</v>
      </c>
      <c r="I21" s="85" t="s">
        <v>506</v>
      </c>
      <c r="J21" s="85" t="s">
        <v>487</v>
      </c>
      <c r="K21" s="85" t="str">
        <f>"1094,1454"</f>
        <v>1094,1454</v>
      </c>
      <c r="L21" s="9" t="s">
        <v>126</v>
      </c>
    </row>
    <row r="22" spans="1:12" ht="12.75">
      <c r="A22" s="30" t="s">
        <v>416</v>
      </c>
      <c r="B22" s="61" t="s">
        <v>97</v>
      </c>
      <c r="C22" s="7" t="s">
        <v>453</v>
      </c>
      <c r="D22" s="7" t="s">
        <v>376</v>
      </c>
      <c r="E22" s="7" t="str">
        <f>"0,6482"</f>
        <v>0,6482</v>
      </c>
      <c r="F22" s="7" t="s">
        <v>12</v>
      </c>
      <c r="G22" s="7" t="s">
        <v>99</v>
      </c>
      <c r="H22" s="81" t="s">
        <v>39</v>
      </c>
      <c r="I22" s="81" t="s">
        <v>501</v>
      </c>
      <c r="J22" s="81" t="s">
        <v>484</v>
      </c>
      <c r="K22" s="81" t="str">
        <f>"2180,5042"</f>
        <v>2180,5042</v>
      </c>
      <c r="L22" s="7" t="s">
        <v>126</v>
      </c>
    </row>
    <row r="24" spans="2:12" ht="15.75">
      <c r="B24" s="133" t="s">
        <v>104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86"/>
    </row>
    <row r="25" spans="1:12" ht="12.75">
      <c r="A25" s="30" t="s">
        <v>416</v>
      </c>
      <c r="B25" s="60" t="s">
        <v>454</v>
      </c>
      <c r="C25" s="6" t="s">
        <v>455</v>
      </c>
      <c r="D25" s="6" t="s">
        <v>494</v>
      </c>
      <c r="E25" s="6" t="str">
        <f>"0,6363"</f>
        <v>0,6363</v>
      </c>
      <c r="F25" s="6" t="s">
        <v>12</v>
      </c>
      <c r="G25" s="6" t="s">
        <v>99</v>
      </c>
      <c r="H25" s="79" t="s">
        <v>102</v>
      </c>
      <c r="I25" s="79" t="s">
        <v>507</v>
      </c>
      <c r="J25" s="79" t="s">
        <v>466</v>
      </c>
      <c r="K25" s="79" t="str">
        <f>"1460,3086"</f>
        <v>1460,3086</v>
      </c>
      <c r="L25" s="9" t="s">
        <v>126</v>
      </c>
    </row>
    <row r="26" spans="1:12" ht="12.75">
      <c r="A26" s="30" t="s">
        <v>416</v>
      </c>
      <c r="B26" s="63" t="s">
        <v>116</v>
      </c>
      <c r="C26" s="9" t="s">
        <v>117</v>
      </c>
      <c r="D26" s="9" t="s">
        <v>380</v>
      </c>
      <c r="E26" s="9" t="str">
        <f>"0,6209"</f>
        <v>0,6209</v>
      </c>
      <c r="F26" s="9" t="s">
        <v>12</v>
      </c>
      <c r="G26" s="9" t="s">
        <v>309</v>
      </c>
      <c r="H26" s="85" t="s">
        <v>103</v>
      </c>
      <c r="I26" s="85" t="s">
        <v>508</v>
      </c>
      <c r="J26" s="85" t="s">
        <v>471</v>
      </c>
      <c r="K26" s="85" t="str">
        <f>"2235,2399"</f>
        <v>2235,2399</v>
      </c>
      <c r="L26" s="9" t="s">
        <v>126</v>
      </c>
    </row>
    <row r="27" spans="1:12" ht="12.75">
      <c r="A27" s="30" t="s">
        <v>416</v>
      </c>
      <c r="B27" s="61" t="s">
        <v>123</v>
      </c>
      <c r="C27" s="7" t="s">
        <v>456</v>
      </c>
      <c r="D27" s="7" t="s">
        <v>382</v>
      </c>
      <c r="E27" s="7" t="str">
        <f>"0,6242"</f>
        <v>0,6242</v>
      </c>
      <c r="F27" s="7" t="s">
        <v>91</v>
      </c>
      <c r="G27" s="7" t="s">
        <v>310</v>
      </c>
      <c r="H27" s="81" t="s">
        <v>457</v>
      </c>
      <c r="I27" s="81" t="s">
        <v>509</v>
      </c>
      <c r="J27" s="81" t="s">
        <v>485</v>
      </c>
      <c r="K27" s="81" t="str">
        <f>"1823,0597"</f>
        <v>1823,0597</v>
      </c>
      <c r="L27" s="7" t="s">
        <v>126</v>
      </c>
    </row>
    <row r="29" spans="2:12" ht="15.75">
      <c r="B29" s="133" t="s">
        <v>134</v>
      </c>
      <c r="C29" s="128"/>
      <c r="D29" s="128"/>
      <c r="E29" s="128"/>
      <c r="F29" s="128"/>
      <c r="G29" s="128"/>
      <c r="H29" s="128"/>
      <c r="I29" s="128"/>
      <c r="J29" s="128"/>
      <c r="K29" s="128"/>
      <c r="L29" s="86"/>
    </row>
    <row r="30" spans="1:12" ht="12.75">
      <c r="A30" s="30" t="s">
        <v>416</v>
      </c>
      <c r="B30" s="60" t="s">
        <v>153</v>
      </c>
      <c r="C30" s="6" t="s">
        <v>154</v>
      </c>
      <c r="D30" s="6" t="s">
        <v>390</v>
      </c>
      <c r="E30" s="6" t="str">
        <f>"0,6036"</f>
        <v>0,6036</v>
      </c>
      <c r="F30" s="6" t="s">
        <v>91</v>
      </c>
      <c r="G30" s="6" t="s">
        <v>309</v>
      </c>
      <c r="H30" s="79" t="s">
        <v>297</v>
      </c>
      <c r="I30" s="79" t="s">
        <v>510</v>
      </c>
      <c r="J30" s="79" t="s">
        <v>469</v>
      </c>
      <c r="K30" s="79" t="str">
        <f>"2456,8554"</f>
        <v>2456,8554</v>
      </c>
      <c r="L30" s="9" t="s">
        <v>126</v>
      </c>
    </row>
    <row r="31" spans="1:12" ht="12.75">
      <c r="A31" s="30" t="s">
        <v>417</v>
      </c>
      <c r="B31" s="63" t="s">
        <v>278</v>
      </c>
      <c r="C31" s="9" t="s">
        <v>458</v>
      </c>
      <c r="D31" s="9" t="s">
        <v>495</v>
      </c>
      <c r="E31" s="9" t="str">
        <f>"0,5964"</f>
        <v>0,5964</v>
      </c>
      <c r="F31" s="9" t="s">
        <v>12</v>
      </c>
      <c r="G31" s="9" t="s">
        <v>310</v>
      </c>
      <c r="H31" s="85" t="s">
        <v>137</v>
      </c>
      <c r="I31" s="85" t="s">
        <v>509</v>
      </c>
      <c r="J31" s="85" t="s">
        <v>474</v>
      </c>
      <c r="K31" s="85" t="str">
        <f>"1813,2079"</f>
        <v>1813,2079</v>
      </c>
      <c r="L31" s="9" t="s">
        <v>126</v>
      </c>
    </row>
    <row r="32" spans="1:12" ht="12.75">
      <c r="A32" s="30" t="s">
        <v>418</v>
      </c>
      <c r="B32" s="63" t="s">
        <v>157</v>
      </c>
      <c r="C32" s="9" t="s">
        <v>158</v>
      </c>
      <c r="D32" s="9" t="s">
        <v>391</v>
      </c>
      <c r="E32" s="9" t="str">
        <f>"0,5823"</f>
        <v>0,5823</v>
      </c>
      <c r="F32" s="9" t="s">
        <v>113</v>
      </c>
      <c r="G32" s="9" t="s">
        <v>357</v>
      </c>
      <c r="H32" s="85" t="s">
        <v>131</v>
      </c>
      <c r="I32" s="85" t="s">
        <v>511</v>
      </c>
      <c r="J32" s="85" t="s">
        <v>478</v>
      </c>
      <c r="K32" s="85" t="str">
        <f>"1513,9800"</f>
        <v>1513,9800</v>
      </c>
      <c r="L32" s="9" t="s">
        <v>126</v>
      </c>
    </row>
    <row r="33" spans="1:12" ht="12.75">
      <c r="A33" s="30" t="s">
        <v>419</v>
      </c>
      <c r="B33" s="63" t="s">
        <v>459</v>
      </c>
      <c r="C33" s="9" t="s">
        <v>460</v>
      </c>
      <c r="D33" s="9" t="s">
        <v>496</v>
      </c>
      <c r="E33" s="9" t="str">
        <f>"0,5831"</f>
        <v>0,5831</v>
      </c>
      <c r="F33" s="9" t="s">
        <v>12</v>
      </c>
      <c r="G33" s="9" t="s">
        <v>309</v>
      </c>
      <c r="H33" s="85" t="s">
        <v>131</v>
      </c>
      <c r="I33" s="85" t="s">
        <v>512</v>
      </c>
      <c r="J33" s="85" t="s">
        <v>480</v>
      </c>
      <c r="K33" s="85" t="str">
        <f>"1282,7100"</f>
        <v>1282,7100</v>
      </c>
      <c r="L33" s="9" t="s">
        <v>126</v>
      </c>
    </row>
    <row r="34" spans="1:12" ht="12.75">
      <c r="A34" s="30" t="s">
        <v>420</v>
      </c>
      <c r="B34" s="61" t="s">
        <v>461</v>
      </c>
      <c r="C34" s="7" t="s">
        <v>462</v>
      </c>
      <c r="D34" s="7" t="s">
        <v>496</v>
      </c>
      <c r="E34" s="7" t="str">
        <f>"0,5831"</f>
        <v>0,5831</v>
      </c>
      <c r="F34" s="7" t="s">
        <v>12</v>
      </c>
      <c r="G34" s="7" t="s">
        <v>309</v>
      </c>
      <c r="H34" s="81" t="s">
        <v>131</v>
      </c>
      <c r="I34" s="81" t="s">
        <v>512</v>
      </c>
      <c r="J34" s="81" t="s">
        <v>480</v>
      </c>
      <c r="K34" s="81" t="str">
        <f>"1282,7100"</f>
        <v>1282,7100</v>
      </c>
      <c r="L34" s="7" t="s">
        <v>126</v>
      </c>
    </row>
    <row r="36" spans="2:12" ht="15.75">
      <c r="B36" s="133" t="s">
        <v>166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86"/>
    </row>
    <row r="37" spans="1:12" ht="12.75">
      <c r="A37" s="30" t="s">
        <v>416</v>
      </c>
      <c r="B37" s="60" t="s">
        <v>167</v>
      </c>
      <c r="C37" s="6" t="s">
        <v>168</v>
      </c>
      <c r="D37" s="6" t="s">
        <v>394</v>
      </c>
      <c r="E37" s="6" t="str">
        <f>"0,5710"</f>
        <v>0,5710</v>
      </c>
      <c r="F37" s="6" t="s">
        <v>169</v>
      </c>
      <c r="G37" s="6" t="s">
        <v>314</v>
      </c>
      <c r="H37" s="79" t="s">
        <v>55</v>
      </c>
      <c r="I37" s="79" t="s">
        <v>504</v>
      </c>
      <c r="J37" s="79" t="s">
        <v>475</v>
      </c>
      <c r="K37" s="79" t="str">
        <f>"1798,8075"</f>
        <v>1798,8075</v>
      </c>
      <c r="L37" s="9" t="s">
        <v>126</v>
      </c>
    </row>
    <row r="38" spans="1:12" ht="12.75">
      <c r="A38" s="30" t="s">
        <v>417</v>
      </c>
      <c r="B38" s="63" t="s">
        <v>274</v>
      </c>
      <c r="C38" s="9" t="s">
        <v>275</v>
      </c>
      <c r="D38" s="9" t="s">
        <v>342</v>
      </c>
      <c r="E38" s="9" t="str">
        <f>"0,5631"</f>
        <v>0,5631</v>
      </c>
      <c r="F38" s="9" t="s">
        <v>12</v>
      </c>
      <c r="G38" s="9" t="s">
        <v>310</v>
      </c>
      <c r="H38" s="85" t="s">
        <v>56</v>
      </c>
      <c r="I38" s="85" t="s">
        <v>504</v>
      </c>
      <c r="J38" s="85" t="s">
        <v>473</v>
      </c>
      <c r="K38" s="85" t="str">
        <f>"1858,2299"</f>
        <v>1858,2299</v>
      </c>
      <c r="L38" s="9" t="s">
        <v>126</v>
      </c>
    </row>
    <row r="39" spans="1:12" ht="12.75">
      <c r="A39" s="30" t="s">
        <v>418</v>
      </c>
      <c r="B39" s="63" t="s">
        <v>171</v>
      </c>
      <c r="C39" s="9" t="s">
        <v>172</v>
      </c>
      <c r="D39" s="9" t="s">
        <v>132</v>
      </c>
      <c r="E39" s="9" t="str">
        <f>"0,5663"</f>
        <v>0,5663</v>
      </c>
      <c r="F39" s="9" t="s">
        <v>91</v>
      </c>
      <c r="G39" s="9" t="s">
        <v>309</v>
      </c>
      <c r="H39" s="85" t="s">
        <v>132</v>
      </c>
      <c r="I39" s="85" t="s">
        <v>513</v>
      </c>
      <c r="J39" s="85" t="s">
        <v>476</v>
      </c>
      <c r="K39" s="85" t="str">
        <f>"1704,5629"</f>
        <v>1704,5629</v>
      </c>
      <c r="L39" s="9" t="s">
        <v>323</v>
      </c>
    </row>
    <row r="40" spans="1:12" ht="12.75">
      <c r="A40" s="30" t="s">
        <v>419</v>
      </c>
      <c r="B40" s="61" t="s">
        <v>463</v>
      </c>
      <c r="C40" s="7" t="s">
        <v>464</v>
      </c>
      <c r="D40" s="7" t="s">
        <v>55</v>
      </c>
      <c r="E40" s="7" t="str">
        <f>"0,5706"</f>
        <v>0,5706</v>
      </c>
      <c r="F40" s="7" t="s">
        <v>12</v>
      </c>
      <c r="G40" s="7" t="s">
        <v>310</v>
      </c>
      <c r="H40" s="81" t="s">
        <v>55</v>
      </c>
      <c r="I40" s="81" t="s">
        <v>505</v>
      </c>
      <c r="J40" s="81" t="s">
        <v>481</v>
      </c>
      <c r="K40" s="81" t="str">
        <f>"1258,2832"</f>
        <v>1258,2832</v>
      </c>
      <c r="L40" s="7" t="s">
        <v>126</v>
      </c>
    </row>
    <row r="42" spans="2:11" ht="15.75">
      <c r="B42" s="133" t="s">
        <v>183</v>
      </c>
      <c r="C42" s="128"/>
      <c r="D42" s="128"/>
      <c r="E42" s="128"/>
      <c r="F42" s="128"/>
      <c r="G42" s="128"/>
      <c r="H42" s="128"/>
      <c r="I42" s="128"/>
      <c r="J42" s="128"/>
      <c r="K42" s="128"/>
    </row>
    <row r="43" spans="1:12" ht="12.75">
      <c r="A43" s="30" t="s">
        <v>416</v>
      </c>
      <c r="B43" s="62" t="s">
        <v>192</v>
      </c>
      <c r="C43" s="8" t="s">
        <v>193</v>
      </c>
      <c r="D43" s="8" t="s">
        <v>400</v>
      </c>
      <c r="E43" s="8" t="str">
        <f>"0,5518"</f>
        <v>0,5518</v>
      </c>
      <c r="F43" s="8" t="s">
        <v>169</v>
      </c>
      <c r="G43" s="8" t="s">
        <v>310</v>
      </c>
      <c r="H43" s="83" t="s">
        <v>60</v>
      </c>
      <c r="I43" s="83" t="s">
        <v>512</v>
      </c>
      <c r="J43" s="83" t="s">
        <v>479</v>
      </c>
      <c r="K43" s="83" t="str">
        <f>"1456,6200"</f>
        <v>1456,6200</v>
      </c>
      <c r="L43" s="8" t="s">
        <v>415</v>
      </c>
    </row>
    <row r="45" spans="2:3" ht="18">
      <c r="B45" s="65" t="s">
        <v>206</v>
      </c>
      <c r="C45" s="65"/>
    </row>
    <row r="46" spans="2:3" ht="13.5">
      <c r="B46" s="66"/>
      <c r="C46" s="69" t="s">
        <v>604</v>
      </c>
    </row>
    <row r="47" spans="2:6" ht="13.5">
      <c r="B47" s="67" t="s">
        <v>207</v>
      </c>
      <c r="C47" s="70" t="s">
        <v>208</v>
      </c>
      <c r="D47" s="70" t="s">
        <v>209</v>
      </c>
      <c r="E47" s="70" t="s">
        <v>308</v>
      </c>
      <c r="F47" s="11" t="s">
        <v>425</v>
      </c>
    </row>
    <row r="48" spans="1:6" ht="12.75">
      <c r="A48" s="30" t="s">
        <v>416</v>
      </c>
      <c r="B48" s="68" t="s">
        <v>437</v>
      </c>
      <c r="C48" s="1" t="s">
        <v>213</v>
      </c>
      <c r="D48" s="30" t="s">
        <v>488</v>
      </c>
      <c r="E48" s="30" t="s">
        <v>467</v>
      </c>
      <c r="F48" s="30" t="s">
        <v>468</v>
      </c>
    </row>
    <row r="49" spans="1:6" ht="12.75">
      <c r="A49" s="30" t="s">
        <v>417</v>
      </c>
      <c r="B49" s="68" t="s">
        <v>153</v>
      </c>
      <c r="C49" s="1" t="s">
        <v>213</v>
      </c>
      <c r="D49" s="30" t="s">
        <v>347</v>
      </c>
      <c r="E49" s="30" t="s">
        <v>469</v>
      </c>
      <c r="F49" s="30" t="s">
        <v>470</v>
      </c>
    </row>
    <row r="50" spans="1:6" ht="12.75">
      <c r="A50" s="30" t="s">
        <v>418</v>
      </c>
      <c r="B50" s="68" t="s">
        <v>116</v>
      </c>
      <c r="C50" s="1" t="s">
        <v>213</v>
      </c>
      <c r="D50" s="30" t="s">
        <v>422</v>
      </c>
      <c r="E50" s="30" t="s">
        <v>471</v>
      </c>
      <c r="F50" s="30" t="s">
        <v>472</v>
      </c>
    </row>
  </sheetData>
  <sheetProtection/>
  <mergeCells count="20"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B29:K29"/>
    <mergeCell ref="B36:K36"/>
    <mergeCell ref="B42:K42"/>
    <mergeCell ref="A3:A4"/>
    <mergeCell ref="L3:L4"/>
    <mergeCell ref="B5:M5"/>
    <mergeCell ref="B7:K7"/>
    <mergeCell ref="B10:K10"/>
    <mergeCell ref="B16:K16"/>
    <mergeCell ref="B24:K24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H3">
      <selection activeCell="O31" sqref="O31:O32"/>
    </sheetView>
  </sheetViews>
  <sheetFormatPr defaultColWidth="9.125" defaultRowHeight="12.75"/>
  <cols>
    <col min="1" max="1" width="9.125" style="30" customWidth="1"/>
    <col min="2" max="2" width="26.75390625" style="64" bestFit="1" customWidth="1"/>
    <col min="3" max="3" width="26.75390625" style="5" customWidth="1"/>
    <col min="4" max="4" width="10.125" style="5" bestFit="1" customWidth="1"/>
    <col min="5" max="5" width="8.25390625" style="5" bestFit="1" customWidth="1"/>
    <col min="6" max="6" width="21.75390625" style="5" bestFit="1" customWidth="1"/>
    <col min="7" max="7" width="36.125" style="5" customWidth="1"/>
    <col min="8" max="8" width="4.625" style="1" bestFit="1" customWidth="1"/>
    <col min="9" max="10" width="5.625" style="1" bestFit="1" customWidth="1"/>
    <col min="11" max="11" width="4.25390625" style="1" bestFit="1" customWidth="1"/>
    <col min="12" max="14" width="4.625" style="1" bestFit="1" customWidth="1"/>
    <col min="15" max="15" width="5.625" style="1" bestFit="1" customWidth="1"/>
    <col min="16" max="16" width="7.75390625" style="4" bestFit="1" customWidth="1"/>
    <col min="17" max="17" width="8.625" style="1" bestFit="1" customWidth="1"/>
    <col min="18" max="18" width="16.125" style="5" bestFit="1" customWidth="1"/>
    <col min="19" max="16384" width="9.125" style="1" customWidth="1"/>
  </cols>
  <sheetData>
    <row r="1" spans="2:18" ht="15" customHeight="1">
      <c r="B1" s="115" t="s">
        <v>609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7"/>
    </row>
    <row r="2" spans="2:18" ht="112.5" customHeight="1" thickBot="1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</row>
    <row r="3" spans="1:18" s="2" customFormat="1" ht="12.75" customHeight="1">
      <c r="A3" s="125" t="s">
        <v>304</v>
      </c>
      <c r="B3" s="121" t="s">
        <v>0</v>
      </c>
      <c r="C3" s="123" t="s">
        <v>305</v>
      </c>
      <c r="D3" s="123" t="s">
        <v>306</v>
      </c>
      <c r="E3" s="125" t="s">
        <v>423</v>
      </c>
      <c r="F3" s="125" t="s">
        <v>6</v>
      </c>
      <c r="G3" s="125" t="s">
        <v>307</v>
      </c>
      <c r="H3" s="125" t="s">
        <v>515</v>
      </c>
      <c r="I3" s="125"/>
      <c r="J3" s="125"/>
      <c r="K3" s="125"/>
      <c r="L3" s="125" t="s">
        <v>610</v>
      </c>
      <c r="M3" s="125"/>
      <c r="N3" s="125"/>
      <c r="O3" s="125"/>
      <c r="P3" s="125" t="s">
        <v>3</v>
      </c>
      <c r="Q3" s="125" t="s">
        <v>5</v>
      </c>
      <c r="R3" s="126" t="s">
        <v>4</v>
      </c>
    </row>
    <row r="4" spans="1:18" s="2" customFormat="1" ht="21" customHeight="1" thickBot="1">
      <c r="A4" s="124"/>
      <c r="B4" s="122"/>
      <c r="C4" s="124"/>
      <c r="D4" s="130"/>
      <c r="E4" s="124"/>
      <c r="F4" s="124"/>
      <c r="G4" s="124"/>
      <c r="H4" s="3">
        <v>1</v>
      </c>
      <c r="I4" s="3">
        <v>2</v>
      </c>
      <c r="J4" s="3">
        <v>3</v>
      </c>
      <c r="K4" s="3" t="s">
        <v>7</v>
      </c>
      <c r="L4" s="3">
        <v>1</v>
      </c>
      <c r="M4" s="3">
        <v>2</v>
      </c>
      <c r="N4" s="3">
        <v>3</v>
      </c>
      <c r="O4" s="3" t="s">
        <v>7</v>
      </c>
      <c r="P4" s="124"/>
      <c r="Q4" s="124"/>
      <c r="R4" s="127"/>
    </row>
    <row r="5" spans="2:17" ht="15.75">
      <c r="B5" s="134" t="s">
        <v>36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2:18" ht="12.75">
      <c r="B6" s="62" t="s">
        <v>437</v>
      </c>
      <c r="C6" s="8" t="s">
        <v>438</v>
      </c>
      <c r="D6" s="8" t="s">
        <v>491</v>
      </c>
      <c r="E6" s="8" t="str">
        <f>"0,7140"</f>
        <v>0,7140</v>
      </c>
      <c r="F6" s="8" t="s">
        <v>12</v>
      </c>
      <c r="G6" s="8" t="s">
        <v>516</v>
      </c>
      <c r="H6" s="89" t="s">
        <v>35</v>
      </c>
      <c r="I6" s="89" t="s">
        <v>35</v>
      </c>
      <c r="J6" s="89" t="s">
        <v>35</v>
      </c>
      <c r="K6" s="84"/>
      <c r="L6" s="84"/>
      <c r="M6" s="84"/>
      <c r="N6" s="84"/>
      <c r="O6" s="84"/>
      <c r="P6" s="83" t="s">
        <v>351</v>
      </c>
      <c r="Q6" s="83" t="s">
        <v>351</v>
      </c>
      <c r="R6" s="8" t="s">
        <v>126</v>
      </c>
    </row>
    <row r="8" spans="2:18" ht="15.75">
      <c r="B8" s="136" t="s">
        <v>76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86"/>
    </row>
    <row r="9" spans="1:18" ht="12.75">
      <c r="A9" s="102" t="s">
        <v>416</v>
      </c>
      <c r="B9" s="103" t="s">
        <v>77</v>
      </c>
      <c r="C9" s="104" t="s">
        <v>78</v>
      </c>
      <c r="D9" s="104" t="s">
        <v>370</v>
      </c>
      <c r="E9" s="105" t="s">
        <v>517</v>
      </c>
      <c r="F9" s="104" t="s">
        <v>12</v>
      </c>
      <c r="G9" s="104" t="s">
        <v>79</v>
      </c>
      <c r="H9" s="108" t="s">
        <v>14</v>
      </c>
      <c r="I9" s="109">
        <v>62.5</v>
      </c>
      <c r="J9" s="108" t="s">
        <v>432</v>
      </c>
      <c r="K9" s="106"/>
      <c r="L9" s="108" t="s">
        <v>31</v>
      </c>
      <c r="M9" s="110" t="s">
        <v>52</v>
      </c>
      <c r="N9" s="110" t="s">
        <v>52</v>
      </c>
      <c r="O9" s="102"/>
      <c r="P9" s="102" t="s">
        <v>74</v>
      </c>
      <c r="Q9" s="107" t="s">
        <v>518</v>
      </c>
      <c r="R9" s="104" t="s">
        <v>126</v>
      </c>
    </row>
    <row r="10" spans="1:18" ht="12.75">
      <c r="A10" s="30" t="s">
        <v>416</v>
      </c>
      <c r="B10" s="61" t="s">
        <v>519</v>
      </c>
      <c r="C10" s="7" t="s">
        <v>520</v>
      </c>
      <c r="D10" s="7" t="s">
        <v>524</v>
      </c>
      <c r="E10" s="7" t="str">
        <f>"0,6687"</f>
        <v>0,6687</v>
      </c>
      <c r="F10" s="7" t="s">
        <v>12</v>
      </c>
      <c r="G10" s="7" t="s">
        <v>526</v>
      </c>
      <c r="H10" s="52" t="s">
        <v>31</v>
      </c>
      <c r="I10" s="52" t="s">
        <v>52</v>
      </c>
      <c r="J10" s="52" t="s">
        <v>39</v>
      </c>
      <c r="K10" s="82"/>
      <c r="L10" s="52" t="s">
        <v>432</v>
      </c>
      <c r="M10" s="52" t="s">
        <v>35</v>
      </c>
      <c r="N10" s="88" t="s">
        <v>31</v>
      </c>
      <c r="O10" s="82"/>
      <c r="P10" s="81" t="s">
        <v>424</v>
      </c>
      <c r="Q10" s="81" t="str">
        <f>"103,6562"</f>
        <v>103,6562</v>
      </c>
      <c r="R10" s="7" t="s">
        <v>527</v>
      </c>
    </row>
    <row r="12" spans="2:17" ht="15.75">
      <c r="B12" s="133" t="s">
        <v>104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8" ht="12.75">
      <c r="A13" s="30" t="s">
        <v>416</v>
      </c>
      <c r="B13" s="62" t="s">
        <v>521</v>
      </c>
      <c r="C13" s="8" t="s">
        <v>522</v>
      </c>
      <c r="D13" s="8" t="s">
        <v>525</v>
      </c>
      <c r="E13" s="8" t="str">
        <f>"0,6169"</f>
        <v>0,6169</v>
      </c>
      <c r="F13" s="8" t="s">
        <v>12</v>
      </c>
      <c r="G13" s="8" t="s">
        <v>310</v>
      </c>
      <c r="H13" s="49" t="s">
        <v>137</v>
      </c>
      <c r="I13" s="49" t="s">
        <v>523</v>
      </c>
      <c r="J13" s="49" t="s">
        <v>55</v>
      </c>
      <c r="K13" s="84"/>
      <c r="L13" s="49" t="s">
        <v>18</v>
      </c>
      <c r="M13" s="49" t="s">
        <v>35</v>
      </c>
      <c r="N13" s="49" t="s">
        <v>31</v>
      </c>
      <c r="O13" s="84"/>
      <c r="P13" s="83" t="s">
        <v>155</v>
      </c>
      <c r="Q13" s="83" t="str">
        <f>"111,0330"</f>
        <v>111,0330</v>
      </c>
      <c r="R13" s="8" t="s">
        <v>126</v>
      </c>
    </row>
    <row r="15" spans="2:17" ht="15.75">
      <c r="B15" s="133" t="s">
        <v>134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</row>
    <row r="16" spans="1:18" ht="12.75">
      <c r="A16" s="30" t="s">
        <v>416</v>
      </c>
      <c r="B16" s="62" t="s">
        <v>160</v>
      </c>
      <c r="C16" s="8" t="s">
        <v>161</v>
      </c>
      <c r="D16" s="8" t="s">
        <v>426</v>
      </c>
      <c r="E16" s="8" t="str">
        <f>"0,5885"</f>
        <v>0,5885</v>
      </c>
      <c r="F16" s="8" t="s">
        <v>12</v>
      </c>
      <c r="G16" s="8" t="s">
        <v>309</v>
      </c>
      <c r="H16" s="49" t="s">
        <v>17</v>
      </c>
      <c r="I16" s="49" t="s">
        <v>30</v>
      </c>
      <c r="J16" s="89" t="s">
        <v>52</v>
      </c>
      <c r="K16" s="84"/>
      <c r="L16" s="49" t="s">
        <v>26</v>
      </c>
      <c r="M16" s="49" t="s">
        <v>22</v>
      </c>
      <c r="N16" s="89" t="s">
        <v>17</v>
      </c>
      <c r="O16" s="84"/>
      <c r="P16" s="83" t="s">
        <v>70</v>
      </c>
      <c r="Q16" s="83" t="str">
        <f>"73,5687"</f>
        <v>73,5687</v>
      </c>
      <c r="R16" s="8" t="s">
        <v>126</v>
      </c>
    </row>
    <row r="18" spans="2:17" ht="15.75">
      <c r="B18" s="133" t="s">
        <v>183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</row>
    <row r="19" spans="1:18" ht="12.75">
      <c r="A19" s="30" t="s">
        <v>416</v>
      </c>
      <c r="B19" s="62" t="s">
        <v>192</v>
      </c>
      <c r="C19" s="8" t="s">
        <v>193</v>
      </c>
      <c r="D19" s="8" t="s">
        <v>400</v>
      </c>
      <c r="E19" s="8" t="str">
        <f>"0,5518"</f>
        <v>0,5518</v>
      </c>
      <c r="F19" s="8" t="s">
        <v>169</v>
      </c>
      <c r="G19" s="8" t="s">
        <v>309</v>
      </c>
      <c r="H19" s="49" t="s">
        <v>103</v>
      </c>
      <c r="I19" s="49" t="s">
        <v>131</v>
      </c>
      <c r="J19" s="49" t="s">
        <v>56</v>
      </c>
      <c r="K19" s="84"/>
      <c r="L19" s="49" t="s">
        <v>30</v>
      </c>
      <c r="M19" s="49" t="s">
        <v>52</v>
      </c>
      <c r="N19" s="49" t="s">
        <v>103</v>
      </c>
      <c r="O19" s="89" t="s">
        <v>131</v>
      </c>
      <c r="P19" s="83" t="s">
        <v>142</v>
      </c>
      <c r="Q19" s="83" t="str">
        <f>"110,3500"</f>
        <v>110,3500</v>
      </c>
      <c r="R19" s="8" t="s">
        <v>528</v>
      </c>
    </row>
  </sheetData>
  <sheetProtection/>
  <mergeCells count="18"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P3:P4"/>
    <mergeCell ref="B18:Q18"/>
    <mergeCell ref="A3:A4"/>
    <mergeCell ref="Q3:Q4"/>
    <mergeCell ref="R3:R4"/>
    <mergeCell ref="B5:Q5"/>
    <mergeCell ref="B8:Q8"/>
    <mergeCell ref="B12:Q12"/>
    <mergeCell ref="B15:Q15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F3" sqref="F3:F4"/>
    </sheetView>
  </sheetViews>
  <sheetFormatPr defaultColWidth="9.125" defaultRowHeight="12.75"/>
  <cols>
    <col min="1" max="1" width="9.125" style="30" customWidth="1"/>
    <col min="2" max="2" width="26.75390625" style="64" bestFit="1" customWidth="1"/>
    <col min="3" max="3" width="28.875" style="5" customWidth="1"/>
    <col min="4" max="4" width="10.125" style="5" bestFit="1" customWidth="1"/>
    <col min="5" max="5" width="21.75390625" style="5" bestFit="1" customWidth="1"/>
    <col min="6" max="6" width="36.875" style="5" customWidth="1"/>
    <col min="7" max="9" width="4.625" style="1" bestFit="1" customWidth="1"/>
    <col min="10" max="10" width="4.625" style="1" customWidth="1"/>
    <col min="11" max="11" width="12.625" style="4" customWidth="1"/>
    <col min="12" max="12" width="15.75390625" style="5" bestFit="1" customWidth="1"/>
    <col min="13" max="16384" width="9.125" style="1" customWidth="1"/>
  </cols>
  <sheetData>
    <row r="1" spans="2:12" ht="15" customHeight="1">
      <c r="B1" s="115" t="s">
        <v>586</v>
      </c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2:12" ht="108" customHeight="1" thickBot="1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s="2" customFormat="1" ht="12.75" customHeight="1">
      <c r="A3" s="125" t="s">
        <v>304</v>
      </c>
      <c r="B3" s="121" t="s">
        <v>0</v>
      </c>
      <c r="C3" s="123" t="s">
        <v>305</v>
      </c>
      <c r="D3" s="123" t="s">
        <v>306</v>
      </c>
      <c r="E3" s="125" t="s">
        <v>6</v>
      </c>
      <c r="F3" s="125" t="s">
        <v>307</v>
      </c>
      <c r="G3" s="138" t="s">
        <v>2</v>
      </c>
      <c r="H3" s="138"/>
      <c r="I3" s="138"/>
      <c r="J3" s="139"/>
      <c r="K3" s="131" t="s">
        <v>308</v>
      </c>
      <c r="L3" s="126" t="s">
        <v>4</v>
      </c>
    </row>
    <row r="4" spans="1:12" s="2" customFormat="1" ht="21" customHeight="1" thickBot="1">
      <c r="A4" s="124"/>
      <c r="B4" s="122"/>
      <c r="C4" s="124"/>
      <c r="D4" s="130"/>
      <c r="E4" s="124"/>
      <c r="F4" s="124"/>
      <c r="G4" s="3" t="s">
        <v>416</v>
      </c>
      <c r="H4" s="3" t="s">
        <v>417</v>
      </c>
      <c r="I4" s="3" t="s">
        <v>418</v>
      </c>
      <c r="J4" s="3" t="s">
        <v>543</v>
      </c>
      <c r="K4" s="132"/>
      <c r="L4" s="127"/>
    </row>
    <row r="5" spans="2:11" ht="15.75">
      <c r="B5" s="140" t="s">
        <v>551</v>
      </c>
      <c r="C5" s="129"/>
      <c r="D5" s="129"/>
      <c r="E5" s="129"/>
      <c r="F5" s="129"/>
      <c r="G5" s="129"/>
      <c r="H5" s="129"/>
      <c r="I5" s="129"/>
      <c r="J5" s="129"/>
      <c r="K5" s="129"/>
    </row>
    <row r="6" spans="1:12" ht="12.75">
      <c r="A6" s="30" t="s">
        <v>416</v>
      </c>
      <c r="B6" s="62" t="s">
        <v>578</v>
      </c>
      <c r="C6" s="8" t="s">
        <v>579</v>
      </c>
      <c r="D6" s="8" t="s">
        <v>585</v>
      </c>
      <c r="E6" s="8" t="s">
        <v>12</v>
      </c>
      <c r="F6" s="8" t="s">
        <v>580</v>
      </c>
      <c r="G6" s="49" t="s">
        <v>581</v>
      </c>
      <c r="H6" s="49" t="s">
        <v>552</v>
      </c>
      <c r="I6" s="49" t="s">
        <v>582</v>
      </c>
      <c r="J6" s="84"/>
      <c r="K6" s="83" t="s">
        <v>582</v>
      </c>
      <c r="L6" s="8" t="s">
        <v>126</v>
      </c>
    </row>
    <row r="8" spans="2:11" ht="15.75">
      <c r="B8" s="141" t="s">
        <v>104</v>
      </c>
      <c r="C8" s="128"/>
      <c r="D8" s="128"/>
      <c r="E8" s="128"/>
      <c r="F8" s="128"/>
      <c r="G8" s="128"/>
      <c r="H8" s="128"/>
      <c r="I8" s="128"/>
      <c r="J8" s="128"/>
      <c r="K8" s="128"/>
    </row>
    <row r="9" spans="1:12" ht="12.75">
      <c r="A9" s="30" t="s">
        <v>416</v>
      </c>
      <c r="B9" s="62" t="s">
        <v>87</v>
      </c>
      <c r="C9" s="8" t="s">
        <v>88</v>
      </c>
      <c r="D9" s="8" t="s">
        <v>373</v>
      </c>
      <c r="E9" s="8" t="s">
        <v>12</v>
      </c>
      <c r="F9" s="8" t="s">
        <v>356</v>
      </c>
      <c r="G9" s="49" t="s">
        <v>552</v>
      </c>
      <c r="H9" s="49" t="s">
        <v>554</v>
      </c>
      <c r="I9" s="89" t="s">
        <v>558</v>
      </c>
      <c r="J9" s="84"/>
      <c r="K9" s="83" t="s">
        <v>554</v>
      </c>
      <c r="L9" s="8" t="s">
        <v>126</v>
      </c>
    </row>
    <row r="11" spans="2:11" ht="15.75">
      <c r="B11" s="141" t="s">
        <v>537</v>
      </c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12" ht="12.75">
      <c r="A12" s="30" t="s">
        <v>416</v>
      </c>
      <c r="B12" s="62" t="s">
        <v>556</v>
      </c>
      <c r="C12" s="8" t="s">
        <v>557</v>
      </c>
      <c r="D12" s="8" t="s">
        <v>559</v>
      </c>
      <c r="E12" s="8" t="s">
        <v>12</v>
      </c>
      <c r="F12" s="8" t="s">
        <v>312</v>
      </c>
      <c r="G12" s="49" t="s">
        <v>554</v>
      </c>
      <c r="H12" s="49" t="s">
        <v>558</v>
      </c>
      <c r="I12" s="89" t="s">
        <v>439</v>
      </c>
      <c r="J12" s="84"/>
      <c r="K12" s="83" t="s">
        <v>558</v>
      </c>
      <c r="L12" s="8" t="s">
        <v>126</v>
      </c>
    </row>
    <row r="14" spans="2:11" ht="15.75">
      <c r="B14" s="141" t="s">
        <v>583</v>
      </c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12" ht="12.75">
      <c r="A15" s="30" t="s">
        <v>416</v>
      </c>
      <c r="B15" s="62" t="s">
        <v>463</v>
      </c>
      <c r="C15" s="8" t="s">
        <v>584</v>
      </c>
      <c r="D15" s="8" t="s">
        <v>55</v>
      </c>
      <c r="E15" s="8" t="s">
        <v>12</v>
      </c>
      <c r="F15" s="8" t="s">
        <v>312</v>
      </c>
      <c r="G15" s="89" t="s">
        <v>552</v>
      </c>
      <c r="H15" s="89" t="s">
        <v>554</v>
      </c>
      <c r="I15" s="49" t="s">
        <v>554</v>
      </c>
      <c r="J15" s="84"/>
      <c r="K15" s="83" t="s">
        <v>554</v>
      </c>
      <c r="L15" s="8" t="s">
        <v>587</v>
      </c>
    </row>
  </sheetData>
  <sheetProtection/>
  <mergeCells count="14">
    <mergeCell ref="B1:L2"/>
    <mergeCell ref="B3:B4"/>
    <mergeCell ref="C3:C4"/>
    <mergeCell ref="D3:D4"/>
    <mergeCell ref="E3:E4"/>
    <mergeCell ref="F3:F4"/>
    <mergeCell ref="G3:J3"/>
    <mergeCell ref="K3:K4"/>
    <mergeCell ref="L3:L4"/>
    <mergeCell ref="B5:K5"/>
    <mergeCell ref="B8:K8"/>
    <mergeCell ref="B11:K11"/>
    <mergeCell ref="B14:K14"/>
    <mergeCell ref="A3:A4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C27" sqref="C27"/>
    </sheetView>
  </sheetViews>
  <sheetFormatPr defaultColWidth="8.75390625" defaultRowHeight="12.75"/>
  <cols>
    <col min="1" max="1" width="9.125" style="31" customWidth="1"/>
    <col min="2" max="2" width="24.75390625" style="12" bestFit="1" customWidth="1"/>
    <col min="3" max="3" width="27.75390625" style="12" customWidth="1"/>
    <col min="4" max="4" width="10.125" style="12" bestFit="1" customWidth="1"/>
    <col min="5" max="5" width="21.75390625" style="12" bestFit="1" customWidth="1"/>
    <col min="6" max="6" width="36.75390625" style="12" customWidth="1"/>
    <col min="7" max="9" width="5.625" style="12" bestFit="1" customWidth="1"/>
    <col min="10" max="10" width="4.875" style="12" customWidth="1"/>
    <col min="11" max="11" width="12.25390625" style="32" customWidth="1"/>
    <col min="12" max="12" width="24.375" style="12" bestFit="1" customWidth="1"/>
  </cols>
  <sheetData>
    <row r="1" spans="1:12" s="1" customFormat="1" ht="15" customHeight="1">
      <c r="A1" s="30"/>
      <c r="B1" s="115" t="s">
        <v>577</v>
      </c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2" s="1" customFormat="1" ht="106.5" customHeight="1" thickBot="1">
      <c r="A2" s="30"/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s="2" customFormat="1" ht="12.75" customHeight="1">
      <c r="A3" s="125" t="s">
        <v>304</v>
      </c>
      <c r="B3" s="121" t="s">
        <v>0</v>
      </c>
      <c r="C3" s="123" t="s">
        <v>305</v>
      </c>
      <c r="D3" s="123" t="s">
        <v>306</v>
      </c>
      <c r="E3" s="125" t="s">
        <v>6</v>
      </c>
      <c r="F3" s="125" t="s">
        <v>307</v>
      </c>
      <c r="G3" s="138" t="s">
        <v>2</v>
      </c>
      <c r="H3" s="138"/>
      <c r="I3" s="138"/>
      <c r="J3" s="139"/>
      <c r="K3" s="131" t="s">
        <v>308</v>
      </c>
      <c r="L3" s="126" t="s">
        <v>4</v>
      </c>
    </row>
    <row r="4" spans="1:12" s="2" customFormat="1" ht="21" customHeight="1" thickBot="1">
      <c r="A4" s="124"/>
      <c r="B4" s="122"/>
      <c r="C4" s="124"/>
      <c r="D4" s="130"/>
      <c r="E4" s="124"/>
      <c r="F4" s="124"/>
      <c r="G4" s="3" t="s">
        <v>416</v>
      </c>
      <c r="H4" s="3" t="s">
        <v>417</v>
      </c>
      <c r="I4" s="3" t="s">
        <v>418</v>
      </c>
      <c r="J4" s="3" t="s">
        <v>543</v>
      </c>
      <c r="K4" s="132"/>
      <c r="L4" s="127"/>
    </row>
    <row r="5" spans="2:11" ht="15.75">
      <c r="B5" s="129" t="s">
        <v>36</v>
      </c>
      <c r="C5" s="129"/>
      <c r="D5" s="129"/>
      <c r="E5" s="129"/>
      <c r="F5" s="129"/>
      <c r="G5" s="129"/>
      <c r="H5" s="129"/>
      <c r="I5" s="129"/>
      <c r="J5" s="129"/>
      <c r="K5" s="129"/>
    </row>
    <row r="6" spans="1:12" ht="12.75">
      <c r="A6" s="31">
        <v>1</v>
      </c>
      <c r="B6" s="13" t="s">
        <v>529</v>
      </c>
      <c r="C6" s="13" t="s">
        <v>530</v>
      </c>
      <c r="D6" s="13" t="s">
        <v>544</v>
      </c>
      <c r="E6" s="13" t="s">
        <v>12</v>
      </c>
      <c r="F6" s="13" t="s">
        <v>309</v>
      </c>
      <c r="G6" s="49" t="s">
        <v>17</v>
      </c>
      <c r="H6" s="49" t="s">
        <v>30</v>
      </c>
      <c r="I6" s="59" t="s">
        <v>52</v>
      </c>
      <c r="J6" s="34"/>
      <c r="K6" s="35">
        <v>70</v>
      </c>
      <c r="L6" s="13" t="s">
        <v>126</v>
      </c>
    </row>
    <row r="8" spans="2:11" ht="15.75">
      <c r="B8" s="128" t="s">
        <v>551</v>
      </c>
      <c r="C8" s="128"/>
      <c r="D8" s="128"/>
      <c r="E8" s="128"/>
      <c r="F8" s="128"/>
      <c r="G8" s="128"/>
      <c r="H8" s="128"/>
      <c r="I8" s="128"/>
      <c r="J8" s="128"/>
      <c r="K8" s="128"/>
    </row>
    <row r="9" spans="1:12" ht="12.75">
      <c r="A9" s="31">
        <v>1</v>
      </c>
      <c r="B9" s="20" t="s">
        <v>519</v>
      </c>
      <c r="C9" s="20" t="s">
        <v>520</v>
      </c>
      <c r="D9" s="20" t="s">
        <v>524</v>
      </c>
      <c r="E9" s="20" t="s">
        <v>12</v>
      </c>
      <c r="F9" s="20" t="s">
        <v>526</v>
      </c>
      <c r="G9" s="50" t="s">
        <v>56</v>
      </c>
      <c r="H9" s="50" t="s">
        <v>70</v>
      </c>
      <c r="I9" s="50" t="s">
        <v>67</v>
      </c>
      <c r="J9" s="37"/>
      <c r="K9" s="38">
        <v>135</v>
      </c>
      <c r="L9" s="20" t="s">
        <v>576</v>
      </c>
    </row>
    <row r="10" spans="1:12" ht="12.75">
      <c r="A10" s="31">
        <v>2</v>
      </c>
      <c r="B10" s="22" t="s">
        <v>566</v>
      </c>
      <c r="C10" s="22" t="s">
        <v>567</v>
      </c>
      <c r="D10" s="22" t="s">
        <v>572</v>
      </c>
      <c r="E10" s="22" t="s">
        <v>12</v>
      </c>
      <c r="F10" s="22" t="s">
        <v>310</v>
      </c>
      <c r="G10" s="52" t="s">
        <v>103</v>
      </c>
      <c r="H10" s="52" t="s">
        <v>56</v>
      </c>
      <c r="I10" s="52" t="s">
        <v>60</v>
      </c>
      <c r="J10" s="42"/>
      <c r="K10" s="44">
        <v>120</v>
      </c>
      <c r="L10" s="22" t="s">
        <v>126</v>
      </c>
    </row>
    <row r="12" spans="2:11" ht="15.75">
      <c r="B12" s="128" t="s">
        <v>104</v>
      </c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12" ht="12.75">
      <c r="A13" s="31">
        <v>1</v>
      </c>
      <c r="B13" s="20" t="s">
        <v>531</v>
      </c>
      <c r="C13" s="20" t="s">
        <v>532</v>
      </c>
      <c r="D13" s="20" t="s">
        <v>545</v>
      </c>
      <c r="E13" s="20" t="s">
        <v>12</v>
      </c>
      <c r="F13" s="20" t="s">
        <v>309</v>
      </c>
      <c r="G13" s="50" t="s">
        <v>73</v>
      </c>
      <c r="H13" s="50" t="s">
        <v>122</v>
      </c>
      <c r="I13" s="50" t="s">
        <v>159</v>
      </c>
      <c r="J13" s="37"/>
      <c r="K13" s="38">
        <v>170</v>
      </c>
      <c r="L13" s="20" t="s">
        <v>549</v>
      </c>
    </row>
    <row r="14" spans="1:12" ht="12.75">
      <c r="A14" s="31">
        <v>2</v>
      </c>
      <c r="B14" s="21" t="s">
        <v>533</v>
      </c>
      <c r="C14" s="21" t="s">
        <v>534</v>
      </c>
      <c r="D14" s="21" t="s">
        <v>546</v>
      </c>
      <c r="E14" s="21" t="s">
        <v>12</v>
      </c>
      <c r="F14" s="21" t="s">
        <v>310</v>
      </c>
      <c r="G14" s="51" t="s">
        <v>73</v>
      </c>
      <c r="H14" s="51" t="s">
        <v>85</v>
      </c>
      <c r="I14" s="51" t="s">
        <v>424</v>
      </c>
      <c r="J14" s="40"/>
      <c r="K14" s="41">
        <v>155</v>
      </c>
      <c r="L14" s="21" t="s">
        <v>126</v>
      </c>
    </row>
    <row r="15" spans="1:12" ht="12.75">
      <c r="A15" s="31">
        <v>3</v>
      </c>
      <c r="B15" s="22" t="s">
        <v>87</v>
      </c>
      <c r="C15" s="22" t="s">
        <v>88</v>
      </c>
      <c r="D15" s="22" t="s">
        <v>373</v>
      </c>
      <c r="E15" s="22" t="s">
        <v>12</v>
      </c>
      <c r="F15" s="22" t="s">
        <v>575</v>
      </c>
      <c r="G15" s="52" t="s">
        <v>56</v>
      </c>
      <c r="H15" s="52" t="s">
        <v>60</v>
      </c>
      <c r="I15" s="54" t="s">
        <v>73</v>
      </c>
      <c r="J15" s="42"/>
      <c r="K15" s="44">
        <v>120</v>
      </c>
      <c r="L15" s="22" t="s">
        <v>126</v>
      </c>
    </row>
    <row r="17" spans="2:12" ht="15.75">
      <c r="B17" s="128" t="s">
        <v>134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12"/>
    </row>
    <row r="18" spans="1:12" ht="12.75">
      <c r="A18" s="31">
        <v>1</v>
      </c>
      <c r="B18" s="20" t="s">
        <v>535</v>
      </c>
      <c r="C18" s="20" t="s">
        <v>536</v>
      </c>
      <c r="D18" s="20" t="s">
        <v>547</v>
      </c>
      <c r="E18" s="20" t="s">
        <v>12</v>
      </c>
      <c r="F18" s="20" t="s">
        <v>310</v>
      </c>
      <c r="G18" s="50" t="s">
        <v>60</v>
      </c>
      <c r="H18" s="50" t="s">
        <v>66</v>
      </c>
      <c r="I18" s="50" t="s">
        <v>85</v>
      </c>
      <c r="J18" s="37"/>
      <c r="K18" s="38">
        <v>150</v>
      </c>
      <c r="L18" s="21" t="s">
        <v>126</v>
      </c>
    </row>
    <row r="19" spans="1:12" ht="12.75">
      <c r="A19" s="31">
        <v>2</v>
      </c>
      <c r="B19" s="21" t="s">
        <v>568</v>
      </c>
      <c r="C19" s="21" t="s">
        <v>569</v>
      </c>
      <c r="D19" s="21" t="s">
        <v>573</v>
      </c>
      <c r="E19" s="21" t="s">
        <v>113</v>
      </c>
      <c r="F19" s="21" t="s">
        <v>310</v>
      </c>
      <c r="G19" s="51" t="s">
        <v>60</v>
      </c>
      <c r="H19" s="51" t="s">
        <v>66</v>
      </c>
      <c r="I19" s="51" t="s">
        <v>73</v>
      </c>
      <c r="J19" s="40"/>
      <c r="K19" s="41">
        <v>140</v>
      </c>
      <c r="L19" s="21" t="s">
        <v>410</v>
      </c>
    </row>
    <row r="20" spans="1:12" ht="12.75">
      <c r="A20" s="31">
        <v>3</v>
      </c>
      <c r="B20" s="22" t="s">
        <v>570</v>
      </c>
      <c r="C20" s="22" t="s">
        <v>571</v>
      </c>
      <c r="D20" s="22" t="s">
        <v>574</v>
      </c>
      <c r="E20" s="22" t="s">
        <v>113</v>
      </c>
      <c r="F20" s="22" t="s">
        <v>309</v>
      </c>
      <c r="G20" s="54" t="s">
        <v>60</v>
      </c>
      <c r="H20" s="52" t="s">
        <v>60</v>
      </c>
      <c r="I20" s="54" t="s">
        <v>66</v>
      </c>
      <c r="J20" s="42"/>
      <c r="K20" s="44">
        <v>120</v>
      </c>
      <c r="L20" s="22" t="s">
        <v>410</v>
      </c>
    </row>
    <row r="22" spans="2:11" ht="15.75">
      <c r="B22" s="128" t="s">
        <v>537</v>
      </c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12" ht="12.75">
      <c r="A23" s="31">
        <v>1</v>
      </c>
      <c r="B23" s="13" t="s">
        <v>538</v>
      </c>
      <c r="C23" s="13" t="s">
        <v>539</v>
      </c>
      <c r="D23" s="13" t="s">
        <v>397</v>
      </c>
      <c r="E23" s="13" t="s">
        <v>12</v>
      </c>
      <c r="F23" s="13" t="s">
        <v>310</v>
      </c>
      <c r="G23" s="49" t="s">
        <v>85</v>
      </c>
      <c r="H23" s="49" t="s">
        <v>424</v>
      </c>
      <c r="I23" s="59" t="s">
        <v>109</v>
      </c>
      <c r="J23" s="34"/>
      <c r="K23" s="35">
        <v>155</v>
      </c>
      <c r="L23" s="13" t="s">
        <v>565</v>
      </c>
    </row>
    <row r="25" spans="2:3" ht="18">
      <c r="B25" s="14" t="s">
        <v>206</v>
      </c>
      <c r="C25" s="14"/>
    </row>
    <row r="26" spans="2:3" ht="15.75">
      <c r="B26" s="15" t="s">
        <v>214</v>
      </c>
      <c r="C26" s="15"/>
    </row>
    <row r="27" spans="2:3" ht="13.5">
      <c r="B27" s="17"/>
      <c r="C27" s="18" t="s">
        <v>604</v>
      </c>
    </row>
    <row r="28" spans="2:5" ht="13.5">
      <c r="B28" s="19" t="s">
        <v>207</v>
      </c>
      <c r="C28" s="19" t="s">
        <v>208</v>
      </c>
      <c r="D28" s="19" t="s">
        <v>209</v>
      </c>
      <c r="E28" s="19" t="s">
        <v>308</v>
      </c>
    </row>
    <row r="29" spans="1:5" ht="12.75">
      <c r="A29" s="31">
        <v>1</v>
      </c>
      <c r="B29" s="16" t="s">
        <v>531</v>
      </c>
      <c r="C29" s="47" t="s">
        <v>213</v>
      </c>
      <c r="D29" s="48" t="s">
        <v>422</v>
      </c>
      <c r="E29" s="48" t="s">
        <v>159</v>
      </c>
    </row>
    <row r="30" spans="1:5" ht="12.75">
      <c r="A30" s="31">
        <v>2</v>
      </c>
      <c r="B30" s="16" t="s">
        <v>533</v>
      </c>
      <c r="C30" s="47" t="s">
        <v>213</v>
      </c>
      <c r="D30" s="48" t="s">
        <v>422</v>
      </c>
      <c r="E30" s="48" t="s">
        <v>424</v>
      </c>
    </row>
    <row r="31" spans="1:5" ht="12.75">
      <c r="A31" s="31">
        <v>3</v>
      </c>
      <c r="B31" s="16" t="s">
        <v>535</v>
      </c>
      <c r="C31" s="47" t="s">
        <v>213</v>
      </c>
      <c r="D31" s="48" t="s">
        <v>347</v>
      </c>
      <c r="E31" s="48" t="s">
        <v>85</v>
      </c>
    </row>
  </sheetData>
  <sheetProtection/>
  <mergeCells count="15">
    <mergeCell ref="A3:A4"/>
    <mergeCell ref="B3:B4"/>
    <mergeCell ref="C3:C4"/>
    <mergeCell ref="D3:D4"/>
    <mergeCell ref="E3:E4"/>
    <mergeCell ref="F3:F4"/>
    <mergeCell ref="B5:K5"/>
    <mergeCell ref="B8:K8"/>
    <mergeCell ref="B12:K12"/>
    <mergeCell ref="B17:K17"/>
    <mergeCell ref="B22:K22"/>
    <mergeCell ref="B1:L2"/>
    <mergeCell ref="G3:J3"/>
    <mergeCell ref="K3:K4"/>
    <mergeCell ref="L3:L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2016-06-05T08:29:09Z</dcterms:modified>
  <cp:category/>
  <cp:version/>
  <cp:contentType/>
  <cp:contentStatus/>
</cp:coreProperties>
</file>