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175" yWindow="855" windowWidth="11340" windowHeight="9435" tabRatio="726" firstSheet="30" activeTab="34"/>
  </bookViews>
  <sheets>
    <sheet name="Пауэрлифтинг без экипировки" sheetId="1" r:id="rId1"/>
    <sheet name="Пауэрлифтинг без экипировки ДК" sheetId="2" r:id="rId2"/>
    <sheet name="Пауэрлифтинг в бинтах" sheetId="3" r:id="rId3"/>
    <sheet name="Пауэрлифтинг в бинтах ДК" sheetId="4" r:id="rId4"/>
    <sheet name="Пауэрлифтинг в односл. экип." sheetId="5" r:id="rId5"/>
    <sheet name="Пауэрлифтинг в односл. экип. ДК" sheetId="6" r:id="rId6"/>
    <sheet name="Силовое двоеборье без экипировк" sheetId="7" r:id="rId7"/>
    <sheet name="Силовое двоеборье без экип. ДК" sheetId="8" r:id="rId8"/>
    <sheet name="Силовое двоеборье в экипировке" sheetId="9" r:id="rId9"/>
    <sheet name="Силовое двоеборье в экип. ДК" sheetId="10" r:id="rId10"/>
    <sheet name="Присед без экипировки" sheetId="11" r:id="rId11"/>
    <sheet name="Присед без экипировки ДК" sheetId="12" r:id="rId12"/>
    <sheet name="Присед в бинтах" sheetId="13" r:id="rId13"/>
    <sheet name="Присед в бинтах ДК" sheetId="14" r:id="rId14"/>
    <sheet name="Присед в однослойной экипировке" sheetId="15" r:id="rId15"/>
    <sheet name="Присед в однослойной экип. ДК" sheetId="16" r:id="rId16"/>
    <sheet name="Жим лежа без экипировки" sheetId="17" r:id="rId17"/>
    <sheet name="Жим лежа без экипировки ДК" sheetId="18" r:id="rId18"/>
    <sheet name="Жим лежа СФО" sheetId="19" r:id="rId19"/>
    <sheet name="Жим лежа в однослойной экип." sheetId="20" r:id="rId20"/>
    <sheet name="Жим лежа в однослойной экип. ДК" sheetId="21" r:id="rId21"/>
    <sheet name="Жим лежа в многослойной экип." sheetId="22" r:id="rId22"/>
    <sheet name="Жим лежа в многосл. экип ДК" sheetId="23" r:id="rId23"/>
    <sheet name="Жим лежа SOFT экипировка ДК" sheetId="24" r:id="rId24"/>
    <sheet name="Жим лежа SOFT экипировка " sheetId="25" r:id="rId25"/>
    <sheet name="Народный жим 1 вес" sheetId="26" r:id="rId26"/>
    <sheet name="Народный жим 1 вес ДК" sheetId="27" r:id="rId27"/>
    <sheet name="Народный жим 1_2 веса" sheetId="28" r:id="rId28"/>
    <sheet name="Народный жим 1_2 веса ДК" sheetId="29" r:id="rId29"/>
    <sheet name="Становая тяге в экипировке ДК" sheetId="30" r:id="rId30"/>
    <sheet name="Становая тяга в экипировке" sheetId="31" r:id="rId31"/>
    <sheet name="Становая тяга без экипировки ДК" sheetId="32" r:id="rId32"/>
    <sheet name="Становая тяга без экипировки" sheetId="33" r:id="rId33"/>
    <sheet name="Парная тяга" sheetId="34" r:id="rId34"/>
    <sheet name="Пауэрспорт" sheetId="35" r:id="rId35"/>
    <sheet name="Пауэрспорт ДК" sheetId="36" r:id="rId36"/>
    <sheet name="Rolling Thunder" sheetId="37" r:id="rId37"/>
    <sheet name="Apollon's Axle" sheetId="38" r:id="rId38"/>
    <sheet name="Grip Block" sheetId="39" r:id="rId39"/>
    <sheet name="Excalibur" sheetId="40" r:id="rId40"/>
    <sheet name="HUB" sheetId="41" r:id="rId41"/>
    <sheet name=" ЖД Любители ДК" sheetId="42" r:id="rId42"/>
    <sheet name="Жим на максимум Любители ДК" sheetId="43" r:id="rId43"/>
    <sheet name="Многоповторный жим Любители ДК" sheetId="44" r:id="rId44"/>
    <sheet name="ЖД Любители" sheetId="45" r:id="rId45"/>
    <sheet name="Жим на максимум Любители" sheetId="46" r:id="rId46"/>
    <sheet name="Многоповторный жим Любители" sheetId="47" r:id="rId47"/>
    <sheet name="ЖД Армейский жим" sheetId="48" r:id="rId48"/>
    <sheet name="Многоповторный жим Армейский " sheetId="49" r:id="rId49"/>
    <sheet name="Многоповторный жим SOFT экип." sheetId="50" r:id="rId50"/>
    <sheet name="ЖД Военный жим" sheetId="51" r:id="rId51"/>
    <sheet name="Военный жим на максимум" sheetId="52" r:id="rId52"/>
    <sheet name="Командный зачет" sheetId="53" r:id="rId53"/>
  </sheets>
  <definedNames/>
  <calcPr fullCalcOnLoad="1" refMode="R1C1"/>
</workbook>
</file>

<file path=xl/sharedStrings.xml><?xml version="1.0" encoding="utf-8"?>
<sst xmlns="http://schemas.openxmlformats.org/spreadsheetml/2006/main" count="5938" uniqueCount="1458">
  <si>
    <t>ФИО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</si>
  <si>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</si>
  <si>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</si>
  <si>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</si>
  <si>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</si>
  <si>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</si>
  <si>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</si>
  <si>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82.5</t>
  </si>
  <si>
    <t>Медведева Юлия</t>
  </si>
  <si>
    <t>Open (08.07.1979)/36</t>
  </si>
  <si>
    <t xml:space="preserve">Лично </t>
  </si>
  <si>
    <t>140,0</t>
  </si>
  <si>
    <t>150,0</t>
  </si>
  <si>
    <t xml:space="preserve">Самостоятельно </t>
  </si>
  <si>
    <t>ВЕСОВАЯ КАТЕГОРИЯ   90+</t>
  </si>
  <si>
    <t>Полетаева Светлана</t>
  </si>
  <si>
    <t>Open (30.04.1977)/39</t>
  </si>
  <si>
    <t xml:space="preserve">Люберцы/Московская область </t>
  </si>
  <si>
    <t>50,0</t>
  </si>
  <si>
    <t>60,0</t>
  </si>
  <si>
    <t>65,0</t>
  </si>
  <si>
    <t>ВЕСОВАЯ КАТЕГОРИЯ   67.5</t>
  </si>
  <si>
    <t>Агапов Сергей</t>
  </si>
  <si>
    <t>Open (17.11.1988)/27</t>
  </si>
  <si>
    <t xml:space="preserve">Пенза/Пензенская область </t>
  </si>
  <si>
    <t>145,0</t>
  </si>
  <si>
    <t>ВЕСОВАЯ КАТЕГОРИЯ   75</t>
  </si>
  <si>
    <t>Волков Алексей</t>
  </si>
  <si>
    <t>Open (03.05.1985)/31</t>
  </si>
  <si>
    <t xml:space="preserve">Серпухов </t>
  </si>
  <si>
    <t xml:space="preserve">Серпухов/Московская область </t>
  </si>
  <si>
    <t>Исмаилов Эльчин</t>
  </si>
  <si>
    <t>Open (21.01.1989)/27</t>
  </si>
  <si>
    <t xml:space="preserve">Мышкин/Ярославская область </t>
  </si>
  <si>
    <t xml:space="preserve">Емелин Александр </t>
  </si>
  <si>
    <t>Можаев Сергей</t>
  </si>
  <si>
    <t>Open (16.04.1988)/28</t>
  </si>
  <si>
    <t xml:space="preserve">Москва </t>
  </si>
  <si>
    <t>Озорнов Роман</t>
  </si>
  <si>
    <t>Open (01.07.1982)/33</t>
  </si>
  <si>
    <t>125,0</t>
  </si>
  <si>
    <t>130,0</t>
  </si>
  <si>
    <t>132,5</t>
  </si>
  <si>
    <t>Гришанов Александр</t>
  </si>
  <si>
    <t>Open (04.09.1979)/36</t>
  </si>
  <si>
    <t xml:space="preserve">Богородицк-стронг </t>
  </si>
  <si>
    <t xml:space="preserve">Тула/Тульская область </t>
  </si>
  <si>
    <t>122,5</t>
  </si>
  <si>
    <t>127,5</t>
  </si>
  <si>
    <t>135,0</t>
  </si>
  <si>
    <t>ВЕСОВАЯ КАТЕГОРИЯ   90</t>
  </si>
  <si>
    <t>Киселёв Сергей</t>
  </si>
  <si>
    <t>Open (27.05.1985)/31</t>
  </si>
  <si>
    <t xml:space="preserve">Санкт-Петербург/Санкт-Петербур </t>
  </si>
  <si>
    <t>160,0</t>
  </si>
  <si>
    <t>175,0</t>
  </si>
  <si>
    <t>ВЕСОВАЯ КАТЕГОРИЯ   100</t>
  </si>
  <si>
    <t>Карпюк Богдан</t>
  </si>
  <si>
    <t>Juniors 20-23 (15.09.1992)/23</t>
  </si>
  <si>
    <t xml:space="preserve">Мытищи/Московская область </t>
  </si>
  <si>
    <t>170,0</t>
  </si>
  <si>
    <t>185,0</t>
  </si>
  <si>
    <t>Шишимин Алексей</t>
  </si>
  <si>
    <t>Open (21.03.1989)/27</t>
  </si>
  <si>
    <t xml:space="preserve">ННПТ </t>
  </si>
  <si>
    <t xml:space="preserve">Кстово/Нижегородская область </t>
  </si>
  <si>
    <t>210,0</t>
  </si>
  <si>
    <t>217,5</t>
  </si>
  <si>
    <t>225,0</t>
  </si>
  <si>
    <t>Урсу Аурел</t>
  </si>
  <si>
    <t>Open (28.08.1989)/26</t>
  </si>
  <si>
    <t xml:space="preserve">Железнодорожный/Московская обл </t>
  </si>
  <si>
    <t>165,0</t>
  </si>
  <si>
    <t>Сергеев Дмитрий</t>
  </si>
  <si>
    <t>Open (06.03.1989)/27</t>
  </si>
  <si>
    <t xml:space="preserve">33 rus team </t>
  </si>
  <si>
    <t xml:space="preserve">Суздаль/Владимирская область </t>
  </si>
  <si>
    <t>Черемисин Денис</t>
  </si>
  <si>
    <t>Open (15.08.1991)/24</t>
  </si>
  <si>
    <t xml:space="preserve">Чехов/Московская область </t>
  </si>
  <si>
    <t>Калакин Андрей</t>
  </si>
  <si>
    <t>Open (01.03.1988)/28</t>
  </si>
  <si>
    <t xml:space="preserve">Судогда/Владимирская область </t>
  </si>
  <si>
    <t>Максименков Василий</t>
  </si>
  <si>
    <t>Open (14.12.1982)/33</t>
  </si>
  <si>
    <t xml:space="preserve">Вичуга/Ивановская область </t>
  </si>
  <si>
    <t>200,0</t>
  </si>
  <si>
    <t>Зотов Владимир</t>
  </si>
  <si>
    <t>Masters 40-44 (16.09.1973)/42</t>
  </si>
  <si>
    <t xml:space="preserve">Троицк/Московская область </t>
  </si>
  <si>
    <t>172,5</t>
  </si>
  <si>
    <t>ВЕСОВАЯ КАТЕГОРИЯ   110</t>
  </si>
  <si>
    <t>Омельченко Виталий</t>
  </si>
  <si>
    <t>Open (01.02.1990)/26</t>
  </si>
  <si>
    <t>212,5</t>
  </si>
  <si>
    <t>222,5</t>
  </si>
  <si>
    <t>Попков Вячеслав</t>
  </si>
  <si>
    <t>Open (18.02.1984)/32</t>
  </si>
  <si>
    <t xml:space="preserve">Подольск/Московская область </t>
  </si>
  <si>
    <t>Румянцев Михаил</t>
  </si>
  <si>
    <t>Open (12.04.1985)/31</t>
  </si>
  <si>
    <t xml:space="preserve">Владимир/Владимирская область </t>
  </si>
  <si>
    <t>190,0</t>
  </si>
  <si>
    <t>205,0</t>
  </si>
  <si>
    <t>215,0</t>
  </si>
  <si>
    <t>Галахов Александр</t>
  </si>
  <si>
    <t>Masters 45-49 (21.05.1971)/45</t>
  </si>
  <si>
    <t xml:space="preserve">Орск/Оренбургская область </t>
  </si>
  <si>
    <t>180,0</t>
  </si>
  <si>
    <t>192,5</t>
  </si>
  <si>
    <t>Скоробогатько Андрей</t>
  </si>
  <si>
    <t>Masters 50-54 (29.03.1963)/53</t>
  </si>
  <si>
    <t>ВЕСОВАЯ КАТЕГОРИЯ   125</t>
  </si>
  <si>
    <t>Жамбровский Сергей</t>
  </si>
  <si>
    <t>Open (06.02.1987)/29</t>
  </si>
  <si>
    <t>232,5</t>
  </si>
  <si>
    <t>240,0</t>
  </si>
  <si>
    <t>Немов Алексей</t>
  </si>
  <si>
    <t>Open (30.01.1990)/26</t>
  </si>
  <si>
    <t>202,5</t>
  </si>
  <si>
    <t>Панаскин Александр</t>
  </si>
  <si>
    <t>Open (27.06.1991)/24</t>
  </si>
  <si>
    <t xml:space="preserve">Звенигород/Московская область </t>
  </si>
  <si>
    <t>Пузырев Денис</t>
  </si>
  <si>
    <t>Open (31.03.1974)/42</t>
  </si>
  <si>
    <t>187,5</t>
  </si>
  <si>
    <t>197,5</t>
  </si>
  <si>
    <t>Masters 40-44 (31.03.1974)/42</t>
  </si>
  <si>
    <t>ВЕСОВАЯ КАТЕГОРИЯ   140</t>
  </si>
  <si>
    <t>Бубнов Дмитрий</t>
  </si>
  <si>
    <t>Masters 40-44 (14.10.1973)/42</t>
  </si>
  <si>
    <t xml:space="preserve">Красноярск/Красноярский край </t>
  </si>
  <si>
    <t>220,0</t>
  </si>
  <si>
    <t>Разумов Александр</t>
  </si>
  <si>
    <t>Masters 40-44 (10.05.1976)/40</t>
  </si>
  <si>
    <t xml:space="preserve">Дубна/Московская область </t>
  </si>
  <si>
    <t>207,5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</si>
  <si>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</si>
  <si>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</si>
  <si>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</si>
  <si>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</si>
  <si>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</si>
  <si>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</si>
  <si>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</si>
  <si>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Мужчины </t>
  </si>
  <si>
    <t>133,8502</t>
  </si>
  <si>
    <t>132,8055</t>
  </si>
  <si>
    <t>125,4175</t>
  </si>
  <si>
    <t>ВЕСОВАЯ КАТЕГОРИЯ   44</t>
  </si>
  <si>
    <t>Мартынова Елизавета</t>
  </si>
  <si>
    <t>Teenage 15-19 (18.05.2001)/15</t>
  </si>
  <si>
    <t xml:space="preserve">Узловая/Тульская область </t>
  </si>
  <si>
    <t>52,5</t>
  </si>
  <si>
    <t>54,0</t>
  </si>
  <si>
    <t>55,0</t>
  </si>
  <si>
    <t>Open (18.05.2001)/15</t>
  </si>
  <si>
    <t>ВЕСОВАЯ КАТЕГОРИЯ   52</t>
  </si>
  <si>
    <t>Кожина Регина</t>
  </si>
  <si>
    <t>Open (21.11.1995)/20</t>
  </si>
  <si>
    <t xml:space="preserve">100пудов </t>
  </si>
  <si>
    <t>57,5</t>
  </si>
  <si>
    <t>Примак Татьяна</t>
  </si>
  <si>
    <t>Open (12.07.1983)/32</t>
  </si>
  <si>
    <t>62,5</t>
  </si>
  <si>
    <t>ВЕСОВАЯ КАТЕГОРИЯ   56</t>
  </si>
  <si>
    <t>Пантюхова Татьяна</t>
  </si>
  <si>
    <t>Juniors 20-23 (07.07.1992)/23</t>
  </si>
  <si>
    <t>Ильинская Екатерина</t>
  </si>
  <si>
    <t>Open (04.12.1988)/27</t>
  </si>
  <si>
    <t>67,5</t>
  </si>
  <si>
    <t>ВЕСОВАЯ КАТЕГОРИЯ   60</t>
  </si>
  <si>
    <t>Заховаева Анастасия</t>
  </si>
  <si>
    <t>Juniors 20-23 (22.03.1995)/21</t>
  </si>
  <si>
    <t>Лученецкая Елена</t>
  </si>
  <si>
    <t>Open (18.02.1978)/38</t>
  </si>
  <si>
    <t>Длужневская Владислава</t>
  </si>
  <si>
    <t>Teenage 15-19 (10.06.2000)/16</t>
  </si>
  <si>
    <t xml:space="preserve">Вологда/Вологодская область </t>
  </si>
  <si>
    <t>102,5</t>
  </si>
  <si>
    <t>105,0</t>
  </si>
  <si>
    <t>107,5</t>
  </si>
  <si>
    <t>108,5</t>
  </si>
  <si>
    <t>Open (10.06.2000)/16</t>
  </si>
  <si>
    <t>Марченко Екатерина</t>
  </si>
  <si>
    <t>Open (04.08.1986)/29</t>
  </si>
  <si>
    <t xml:space="preserve">Нижний Новгород/Нижегородская область </t>
  </si>
  <si>
    <t>85,0</t>
  </si>
  <si>
    <t>90,0</t>
  </si>
  <si>
    <t>95,0</t>
  </si>
  <si>
    <t>Гришанов Алексей</t>
  </si>
  <si>
    <t>Teenage 15-19 (11.03.2000)/16</t>
  </si>
  <si>
    <t xml:space="preserve">Новомосковск/Тульская область </t>
  </si>
  <si>
    <t>72,5</t>
  </si>
  <si>
    <t>77,5</t>
  </si>
  <si>
    <t>82,5</t>
  </si>
  <si>
    <t>Козинец Алексей</t>
  </si>
  <si>
    <t>Open (10.09.1986)/29</t>
  </si>
  <si>
    <t>112,5</t>
  </si>
  <si>
    <t>Чугуров Сергей</t>
  </si>
  <si>
    <t>Juniors 20-23 (22.06.1993)/22</t>
  </si>
  <si>
    <t>155,0</t>
  </si>
  <si>
    <t>Знагован Федор</t>
  </si>
  <si>
    <t>Juniors 20-23 (05.08.1992)/23</t>
  </si>
  <si>
    <t xml:space="preserve">Град Креста </t>
  </si>
  <si>
    <t xml:space="preserve">Ставрополь/Ставропольский край </t>
  </si>
  <si>
    <t>100,0</t>
  </si>
  <si>
    <t>110,0</t>
  </si>
  <si>
    <t>Минасян Артур</t>
  </si>
  <si>
    <t>Open (09.02.1988)/28</t>
  </si>
  <si>
    <t xml:space="preserve">Кострома/Костромская область </t>
  </si>
  <si>
    <t>137,5</t>
  </si>
  <si>
    <t>Захаров Федор</t>
  </si>
  <si>
    <t>Open (21.03.1984)/32</t>
  </si>
  <si>
    <t>120,0</t>
  </si>
  <si>
    <t>Вдовин Андрей</t>
  </si>
  <si>
    <t>Teenage 15-19 (13.12.1998)/17</t>
  </si>
  <si>
    <t xml:space="preserve">Нижний Новгород/Нижегородская </t>
  </si>
  <si>
    <t>Магомедов Гасан</t>
  </si>
  <si>
    <t>Teenage 15-19 (19.08.2001)/14</t>
  </si>
  <si>
    <t>115,0</t>
  </si>
  <si>
    <t>Герасин Александр</t>
  </si>
  <si>
    <t>Juniors 20-23 (16.06.1993)/23</t>
  </si>
  <si>
    <t>117,5</t>
  </si>
  <si>
    <t xml:space="preserve">Богданов К. </t>
  </si>
  <si>
    <t>Ляпунов Денис</t>
  </si>
  <si>
    <t>Open (19.08.1986)/29</t>
  </si>
  <si>
    <t>167,5</t>
  </si>
  <si>
    <t>Суворов Михаил</t>
  </si>
  <si>
    <t>Masters 40-44 (15.11.1971)/44</t>
  </si>
  <si>
    <t>Сытник Александр</t>
  </si>
  <si>
    <t>Masters 40-44 (27.01.1976)/40</t>
  </si>
  <si>
    <t>Шуваев Антон</t>
  </si>
  <si>
    <t>Teenage 15-19 (19.08.1997)/18</t>
  </si>
  <si>
    <t>Шалаев Евгений</t>
  </si>
  <si>
    <t>Open (25.01.1986)/30</t>
  </si>
  <si>
    <t>Федорюк Максим</t>
  </si>
  <si>
    <t>Open (15.06.1984)/32</t>
  </si>
  <si>
    <t>Осмоловский Александр</t>
  </si>
  <si>
    <t>Open (14.11.1990)/25</t>
  </si>
  <si>
    <t>152,5</t>
  </si>
  <si>
    <t>Иванов Александр</t>
  </si>
  <si>
    <t>Open (02.06.1988)/28</t>
  </si>
  <si>
    <t>142,5</t>
  </si>
  <si>
    <t>Климачев Иван</t>
  </si>
  <si>
    <t>Open (18.03.1979)/37</t>
  </si>
  <si>
    <t>Жарков Василий</t>
  </si>
  <si>
    <t>Open (01.05.1979)/37</t>
  </si>
  <si>
    <t xml:space="preserve">Долгопрудный/Московская область </t>
  </si>
  <si>
    <t>Старостенко Роман</t>
  </si>
  <si>
    <t>Masters 40-44 (06.07.1973)/42</t>
  </si>
  <si>
    <t xml:space="preserve">Комсомольск/Ивановская область </t>
  </si>
  <si>
    <t>Чернышов Игорь</t>
  </si>
  <si>
    <t>Masters 45-49 (14.07.1969)/46</t>
  </si>
  <si>
    <t>157,5</t>
  </si>
  <si>
    <t>Шаров Сергей</t>
  </si>
  <si>
    <t>Open (04.07.1987)/28</t>
  </si>
  <si>
    <t xml:space="preserve">Кимры/Тверская область </t>
  </si>
  <si>
    <t>Ножов Дмитрий</t>
  </si>
  <si>
    <t>Open (20.08.1980)/35</t>
  </si>
  <si>
    <t xml:space="preserve">Фокин Иван Иванович </t>
  </si>
  <si>
    <t>Ганьжин Александр</t>
  </si>
  <si>
    <t>Open (28.11.1987)/28</t>
  </si>
  <si>
    <t xml:space="preserve">Ростов/Ярославская область </t>
  </si>
  <si>
    <t>Макевнин Андрей</t>
  </si>
  <si>
    <t>Masters 55-59 (18.05.1961)/55</t>
  </si>
  <si>
    <t xml:space="preserve">Долгопрудный/Московская област </t>
  </si>
  <si>
    <t>Прокопов Михаил</t>
  </si>
  <si>
    <t>Masters 60-64 (10.06.1956)/60</t>
  </si>
  <si>
    <t>162,5</t>
  </si>
  <si>
    <t xml:space="preserve">Гаврилова Ольга </t>
  </si>
  <si>
    <t>Хамхоев Ибрагим</t>
  </si>
  <si>
    <t>Open (25.02.1985)/31</t>
  </si>
  <si>
    <t>Мальчиков Денис</t>
  </si>
  <si>
    <t>Open (12.06.1980)/36</t>
  </si>
  <si>
    <t>Колосов Александр</t>
  </si>
  <si>
    <t>Open (06.05.1983)/33</t>
  </si>
  <si>
    <t xml:space="preserve">Ярославль/Ярославская область </t>
  </si>
  <si>
    <t>Мусаев Ахмед</t>
  </si>
  <si>
    <t>Open (10.10.1980)/35</t>
  </si>
  <si>
    <t xml:space="preserve">Махачкала/Дагестан </t>
  </si>
  <si>
    <t>195,0</t>
  </si>
  <si>
    <t>Фокин Иван</t>
  </si>
  <si>
    <t>Open (28.04.1985)/31</t>
  </si>
  <si>
    <t>Кудрявцев Сергей</t>
  </si>
  <si>
    <t>Open (03.06.1983)/33</t>
  </si>
  <si>
    <t>147,5</t>
  </si>
  <si>
    <t>Петров Андрей</t>
  </si>
  <si>
    <t>Open (30.09.1981)/34</t>
  </si>
  <si>
    <t>Богданов Константин</t>
  </si>
  <si>
    <t>Open (14.05.1976)/40</t>
  </si>
  <si>
    <t>133,6280</t>
  </si>
  <si>
    <t>130,5435</t>
  </si>
  <si>
    <t>119,2800</t>
  </si>
  <si>
    <t>Бурнашова Светлана</t>
  </si>
  <si>
    <t>Open (26.10.1977)/38</t>
  </si>
  <si>
    <t xml:space="preserve">Буй/Костромская область </t>
  </si>
  <si>
    <t>Зайцева Екатерина</t>
  </si>
  <si>
    <t>Open (12.02.1987)/29</t>
  </si>
  <si>
    <t>Кокорев Илья</t>
  </si>
  <si>
    <t>Open (19.01.1973)/43</t>
  </si>
  <si>
    <t>Masters 40-44 (19.01.1973)/43</t>
  </si>
  <si>
    <t>Силушин Павел</t>
  </si>
  <si>
    <t>Open (17.09.1989)/26</t>
  </si>
  <si>
    <t xml:space="preserve">Рязань/Рязанская область </t>
  </si>
  <si>
    <t>Плетнев Виталий</t>
  </si>
  <si>
    <t>Open (20.08.1979)/36</t>
  </si>
  <si>
    <t>Горбачев Дмитрий</t>
  </si>
  <si>
    <t>Open (06.03.1970)/46</t>
  </si>
  <si>
    <t xml:space="preserve">Раменское/Московская область </t>
  </si>
  <si>
    <t>280,0</t>
  </si>
  <si>
    <t>290,0</t>
  </si>
  <si>
    <t>302,5</t>
  </si>
  <si>
    <t>Masters 45-49 (06.03.1970)/46</t>
  </si>
  <si>
    <t>Магамедов Хабибула</t>
  </si>
  <si>
    <t>Open (26.03.1980)/36</t>
  </si>
  <si>
    <t>260,0</t>
  </si>
  <si>
    <t>270,0</t>
  </si>
  <si>
    <t>Найденов Виктор</t>
  </si>
  <si>
    <t>Open (25.01.1987)/29</t>
  </si>
  <si>
    <t>360,0</t>
  </si>
  <si>
    <t>380,0</t>
  </si>
  <si>
    <t>177,5</t>
  </si>
  <si>
    <t>182,5</t>
  </si>
  <si>
    <t>Кузнецова Оксана</t>
  </si>
  <si>
    <t>Open (07.07.1990)/25</t>
  </si>
  <si>
    <t xml:space="preserve">Вегетарианская сила </t>
  </si>
  <si>
    <t>75,0</t>
  </si>
  <si>
    <t>Кныш Виктория</t>
  </si>
  <si>
    <t>Open (21.03.1983)/33</t>
  </si>
  <si>
    <t xml:space="preserve">Рыбаков Д. </t>
  </si>
  <si>
    <t>Цветков Василий</t>
  </si>
  <si>
    <t>Open (05.07.1981)/34</t>
  </si>
  <si>
    <t>305,0</t>
  </si>
  <si>
    <t>325,0</t>
  </si>
  <si>
    <t>335,0</t>
  </si>
  <si>
    <t>230,0</t>
  </si>
  <si>
    <t>Емельянов Алексей</t>
  </si>
  <si>
    <t>Open (25.02.1983)/33</t>
  </si>
  <si>
    <t>275,0</t>
  </si>
  <si>
    <t>295,0</t>
  </si>
  <si>
    <t>255,0</t>
  </si>
  <si>
    <t>Пряхин Станислав</t>
  </si>
  <si>
    <t>Open (18.03.1975)/41</t>
  </si>
  <si>
    <t xml:space="preserve">Электросталь/Московская область </t>
  </si>
  <si>
    <t>300,0</t>
  </si>
  <si>
    <t>Дергунов Владимир</t>
  </si>
  <si>
    <t>Open (09.03.1991)/25</t>
  </si>
  <si>
    <t>355,0</t>
  </si>
  <si>
    <t>370,0</t>
  </si>
  <si>
    <t>265,0</t>
  </si>
  <si>
    <t>277,5</t>
  </si>
  <si>
    <t>282,5</t>
  </si>
  <si>
    <t>310,0</t>
  </si>
  <si>
    <t>345,0</t>
  </si>
  <si>
    <t>Лазарев Даниил</t>
  </si>
  <si>
    <t>Juniors 20-23 (11.02.1995)/21</t>
  </si>
  <si>
    <t>315,0</t>
  </si>
  <si>
    <t>285,0</t>
  </si>
  <si>
    <t>Федоров Алексей</t>
  </si>
  <si>
    <t>Open (22.05.1983)/33</t>
  </si>
  <si>
    <t xml:space="preserve">Орехово-Зуево/Московская область </t>
  </si>
  <si>
    <t>235,0</t>
  </si>
  <si>
    <t>Рыженков Дмитрий</t>
  </si>
  <si>
    <t>Open (10.09.1980)/35</t>
  </si>
  <si>
    <t>250,0</t>
  </si>
  <si>
    <t>Копытцев Денис</t>
  </si>
  <si>
    <t>Open (31.12.1990)/25</t>
  </si>
  <si>
    <t>Якубовский Денис</t>
  </si>
  <si>
    <t>Teenage 15-19 (15.12.1996)/19</t>
  </si>
  <si>
    <t>242,5</t>
  </si>
  <si>
    <t>Еремин Юрий</t>
  </si>
  <si>
    <t>Open (23.11.1983)/32</t>
  </si>
  <si>
    <t>Палей Андрей</t>
  </si>
  <si>
    <t>Open (11.10.1961)/54</t>
  </si>
  <si>
    <t xml:space="preserve">Магнитогорск/Челябинская область </t>
  </si>
  <si>
    <t>Ломова Оксана</t>
  </si>
  <si>
    <t>Open (19.08.1983)/32</t>
  </si>
  <si>
    <t xml:space="preserve">Видное/Московская область </t>
  </si>
  <si>
    <t>Егинов Иван</t>
  </si>
  <si>
    <t>Teenage 15-19 (14.06.1999)/17</t>
  </si>
  <si>
    <t xml:space="preserve">Королёв/Московская область </t>
  </si>
  <si>
    <t>Павлов Александр</t>
  </si>
  <si>
    <t>Open (05.02.1992)/24</t>
  </si>
  <si>
    <t xml:space="preserve">Камешково/Владимирская область </t>
  </si>
  <si>
    <t>Никулин Алексей</t>
  </si>
  <si>
    <t>Open (01.11.1982)/33</t>
  </si>
  <si>
    <t>330,0</t>
  </si>
  <si>
    <t>340,0</t>
  </si>
  <si>
    <t>320,0</t>
  </si>
  <si>
    <t>Коваль Максим</t>
  </si>
  <si>
    <t>Open (23.12.1991)/24</t>
  </si>
  <si>
    <t>245,0</t>
  </si>
  <si>
    <t>262,5</t>
  </si>
  <si>
    <t>Скоробогатов Александр</t>
  </si>
  <si>
    <t>Open (25.10.1981)/34</t>
  </si>
  <si>
    <t>Кольцов Павел</t>
  </si>
  <si>
    <t>Juniors 20-23 (11.08.1993)/22</t>
  </si>
  <si>
    <t>Аникин Сергей</t>
  </si>
  <si>
    <t>Open (15.04.1981)/35</t>
  </si>
  <si>
    <t>322,5</t>
  </si>
  <si>
    <t>Чухнов Павел</t>
  </si>
  <si>
    <t>Open (05.03.1989)/27</t>
  </si>
  <si>
    <t xml:space="preserve">Михайловка/Волгоградская область </t>
  </si>
  <si>
    <t>Шарапов Игорь</t>
  </si>
  <si>
    <t>Open (30.10.1971)/44</t>
  </si>
  <si>
    <t>Ленин Алексей</t>
  </si>
  <si>
    <t>Open (17.01.1988)/28</t>
  </si>
  <si>
    <t>Костерин Валерий</t>
  </si>
  <si>
    <t>Open (26.07.1991)/24</t>
  </si>
  <si>
    <t xml:space="preserve">Жуковский/Московская область </t>
  </si>
  <si>
    <t>Бричков Александр</t>
  </si>
  <si>
    <t>Open (30.07.1990)/25</t>
  </si>
  <si>
    <t>Шишкин Александр</t>
  </si>
  <si>
    <t>Open (27.10.1975)/40</t>
  </si>
  <si>
    <t xml:space="preserve">Арзамас/Нижегородская область </t>
  </si>
  <si>
    <t>Masters 40-44 (30.10.1971)/44</t>
  </si>
  <si>
    <t>Masters 40-44 (27.10.1975)/40</t>
  </si>
  <si>
    <t>Шаров Александр</t>
  </si>
  <si>
    <t>Open (03.09.1983)/32</t>
  </si>
  <si>
    <t>822,5</t>
  </si>
  <si>
    <t>555,5165</t>
  </si>
  <si>
    <t>682,5</t>
  </si>
  <si>
    <t>460,6192</t>
  </si>
  <si>
    <t>775,0</t>
  </si>
  <si>
    <t>459,8075</t>
  </si>
  <si>
    <t>735,0</t>
  </si>
  <si>
    <t>Товстоног Максим</t>
  </si>
  <si>
    <t>Open (05.06.1983)/33</t>
  </si>
  <si>
    <t>Баранов Евгений</t>
  </si>
  <si>
    <t>Open (08.10.1982)/33</t>
  </si>
  <si>
    <t xml:space="preserve">Вязники/Владимирская область </t>
  </si>
  <si>
    <t>Артемьева Александра</t>
  </si>
  <si>
    <t>Juniors 20-23 (07.03.1995)/21</t>
  </si>
  <si>
    <t>42,5</t>
  </si>
  <si>
    <t>47,5</t>
  </si>
  <si>
    <t>Тюрина Ольга</t>
  </si>
  <si>
    <t>Open (09.12.1977)/38</t>
  </si>
  <si>
    <t xml:space="preserve">Рыбинск/Ярославская область </t>
  </si>
  <si>
    <t>70,0</t>
  </si>
  <si>
    <t>Новожилова Светлана</t>
  </si>
  <si>
    <t>Teenage 15-19 (02.07.1998)/17</t>
  </si>
  <si>
    <t>80,0</t>
  </si>
  <si>
    <t>45,0</t>
  </si>
  <si>
    <t>Трапезникова Наталья</t>
  </si>
  <si>
    <t>Open (12.01.1986)/30</t>
  </si>
  <si>
    <t>Каморина Юлия</t>
  </si>
  <si>
    <t>Open (02.03.1987)/29</t>
  </si>
  <si>
    <t xml:space="preserve">Емелин А. </t>
  </si>
  <si>
    <t>Бурнашов Владимир</t>
  </si>
  <si>
    <t>Teenage 15-19 (15.11.2002)/13</t>
  </si>
  <si>
    <t>Науменко Артем</t>
  </si>
  <si>
    <t>Teenage 15-19 (21.06.2000)/15</t>
  </si>
  <si>
    <t>Рожков Иван</t>
  </si>
  <si>
    <t>Teenage 15-19 (07.10.2000)/15</t>
  </si>
  <si>
    <t>Артемов Антон</t>
  </si>
  <si>
    <t>Juniors 20-23 (19.01.1993)/23</t>
  </si>
  <si>
    <t>Московкин Вадим</t>
  </si>
  <si>
    <t>Open (07.07.1989)/26</t>
  </si>
  <si>
    <t>Широков Евгений</t>
  </si>
  <si>
    <t>Open (03.12.1988)/27</t>
  </si>
  <si>
    <t>Баранов Егор</t>
  </si>
  <si>
    <t>Open (15.12.1987)/28</t>
  </si>
  <si>
    <t>Нарышкин Виктор</t>
  </si>
  <si>
    <t>Juniors 20-23 (08.04.1995)/21</t>
  </si>
  <si>
    <t>Первышин Евгений</t>
  </si>
  <si>
    <t>Open (04.12.1973)/42</t>
  </si>
  <si>
    <t xml:space="preserve">Богородицк/Тульская область </t>
  </si>
  <si>
    <t>Кармишин Андрей</t>
  </si>
  <si>
    <t>Open (13.03.1984)/32</t>
  </si>
  <si>
    <t xml:space="preserve">Никулин А. </t>
  </si>
  <si>
    <t>Masters 40-44 (04.12.1973)/42</t>
  </si>
  <si>
    <t>Резников Артём</t>
  </si>
  <si>
    <t>Juniors 20-23 (29.07.1993)/22</t>
  </si>
  <si>
    <t>Раско Василий</t>
  </si>
  <si>
    <t>Open (07.07.1984)/31</t>
  </si>
  <si>
    <t>Дихтярь Артём</t>
  </si>
  <si>
    <t>Open (09.12.1985)/30</t>
  </si>
  <si>
    <t xml:space="preserve">Архангельск/Архангельская обла </t>
  </si>
  <si>
    <t>Кривоносов Артем</t>
  </si>
  <si>
    <t xml:space="preserve">Дзержинский/Московская область </t>
  </si>
  <si>
    <t>Протасов Максим</t>
  </si>
  <si>
    <t>Open (07.04.1986)/30</t>
  </si>
  <si>
    <t xml:space="preserve">Иваново/Ивановская область </t>
  </si>
  <si>
    <t>287,5</t>
  </si>
  <si>
    <t>Open (15.09.1992)/23</t>
  </si>
  <si>
    <t>252,5</t>
  </si>
  <si>
    <t>292,5</t>
  </si>
  <si>
    <t>432,5475</t>
  </si>
  <si>
    <t>617,5</t>
  </si>
  <si>
    <t>366,8567</t>
  </si>
  <si>
    <t>530,0</t>
  </si>
  <si>
    <t>357,9620</t>
  </si>
  <si>
    <t>Гусарова Алеся</t>
  </si>
  <si>
    <t>Open (07.12.1985)/30</t>
  </si>
  <si>
    <t>Варавин Павел</t>
  </si>
  <si>
    <t>Open (11.07.1982)/33</t>
  </si>
  <si>
    <t>Колосов Сергей</t>
  </si>
  <si>
    <t>Open (23.07.1988)/27</t>
  </si>
  <si>
    <t>Шабанова Анастасия</t>
  </si>
  <si>
    <t>Teenage 15-19 (23.07.2000)/15</t>
  </si>
  <si>
    <t>40,0</t>
  </si>
  <si>
    <t>87,5</t>
  </si>
  <si>
    <t>Погула Екатерина</t>
  </si>
  <si>
    <t>Masters 40-44 (28.04.1972)/44</t>
  </si>
  <si>
    <t>30,0</t>
  </si>
  <si>
    <t>35,0</t>
  </si>
  <si>
    <t>37,5</t>
  </si>
  <si>
    <t>Кульбачук Денис</t>
  </si>
  <si>
    <t>Open (10.03.1986)/30</t>
  </si>
  <si>
    <t>Маркин Алексей</t>
  </si>
  <si>
    <t>Open (08.07.1986)/29</t>
  </si>
  <si>
    <t>Парылин Илья</t>
  </si>
  <si>
    <t>Open (31.03.1984)/32</t>
  </si>
  <si>
    <t xml:space="preserve">Тверь/Тверская область </t>
  </si>
  <si>
    <t>Хаматдинов Даниил</t>
  </si>
  <si>
    <t>Teenage 15-19 (21.11.1996)/19</t>
  </si>
  <si>
    <t>Клюшин Николай</t>
  </si>
  <si>
    <t>Open (04.03.1986)/30</t>
  </si>
  <si>
    <t>Шатловский Евгений</t>
  </si>
  <si>
    <t>Open (12.05.1975)/41</t>
  </si>
  <si>
    <t>Masters 40-44 (12.05.1975)/41</t>
  </si>
  <si>
    <t>Кузнецов Руслан</t>
  </si>
  <si>
    <t>Juniors 20-23 (26.01.1995)/21</t>
  </si>
  <si>
    <t>Якушевич Алексей</t>
  </si>
  <si>
    <t>Open (02.07.1991)/24</t>
  </si>
  <si>
    <t>307,5</t>
  </si>
  <si>
    <t>Булгарь Андрей</t>
  </si>
  <si>
    <t>Open (27.06.1988)/27</t>
  </si>
  <si>
    <t xml:space="preserve">Рыбное/Рязанская область </t>
  </si>
  <si>
    <t>Ершов Илья</t>
  </si>
  <si>
    <t>Open (20.10.1988)/27</t>
  </si>
  <si>
    <t>257,5</t>
  </si>
  <si>
    <t>Open (26.01.1995)/21</t>
  </si>
  <si>
    <t>Цветков Александр</t>
  </si>
  <si>
    <t>Masters 55-59 (10.04.1957)/59</t>
  </si>
  <si>
    <t>Симаков Сергей</t>
  </si>
  <si>
    <t>Open (21.07.1984)/31</t>
  </si>
  <si>
    <t xml:space="preserve">Бежецк/Тверская область </t>
  </si>
  <si>
    <t>272,5</t>
  </si>
  <si>
    <t>Александров Максим</t>
  </si>
  <si>
    <t>Open (10.06.1988)/28</t>
  </si>
  <si>
    <t>Задков Константин</t>
  </si>
  <si>
    <t>Open (16.06.1982)/34</t>
  </si>
  <si>
    <t>Марченко Владимир</t>
  </si>
  <si>
    <t>Open (19.10.1984)/31</t>
  </si>
  <si>
    <t>Серик Алексей</t>
  </si>
  <si>
    <t>Open (10.04.1987)/29</t>
  </si>
  <si>
    <t>862,5</t>
  </si>
  <si>
    <t>492,5737</t>
  </si>
  <si>
    <t>476,1600</t>
  </si>
  <si>
    <t>755,0</t>
  </si>
  <si>
    <t>461,5315</t>
  </si>
  <si>
    <t>Богатенкова Анастасия</t>
  </si>
  <si>
    <t>Teenage 15-19 (21.03.1998)/18</t>
  </si>
  <si>
    <t>Тарасова Анна</t>
  </si>
  <si>
    <t>Teenage 15-19 (08.03.2000)/16</t>
  </si>
  <si>
    <t>92,5</t>
  </si>
  <si>
    <t xml:space="preserve">Первышин Е. </t>
  </si>
  <si>
    <t>Open (08.03.2000)/16</t>
  </si>
  <si>
    <t>Вероника Уколова</t>
  </si>
  <si>
    <t>Open (17.06.1997)/19</t>
  </si>
  <si>
    <t xml:space="preserve">Artisan Team </t>
  </si>
  <si>
    <t>Зеленый Олег</t>
  </si>
  <si>
    <t>Open (21.12.1984)/31</t>
  </si>
  <si>
    <t xml:space="preserve">Тверская </t>
  </si>
  <si>
    <t>Прибыльнов Алексей</t>
  </si>
  <si>
    <t>Open (18.11.1989)/26</t>
  </si>
  <si>
    <t>Вердиев Гарегин</t>
  </si>
  <si>
    <t>Open (23.08.1990)/25</t>
  </si>
  <si>
    <t>Шмаков Глеб</t>
  </si>
  <si>
    <t>Teenage 15-19 (08.09.1998)/17</t>
  </si>
  <si>
    <t>Курякин Роман</t>
  </si>
  <si>
    <t>Open (17.07.1982)/33</t>
  </si>
  <si>
    <t>Большаков Сергей</t>
  </si>
  <si>
    <t>Open (06.05.1991)/25</t>
  </si>
  <si>
    <t>Open (21.12.1987)/28</t>
  </si>
  <si>
    <t>Шапошников Алексей</t>
  </si>
  <si>
    <t>Open (03.10.1990)/25</t>
  </si>
  <si>
    <t>572,5</t>
  </si>
  <si>
    <t>444,0310</t>
  </si>
  <si>
    <t>612,5</t>
  </si>
  <si>
    <t>402,9637</t>
  </si>
  <si>
    <t>675,0</t>
  </si>
  <si>
    <t>399,5325</t>
  </si>
  <si>
    <t>Заатова Лида</t>
  </si>
  <si>
    <t>Open (19.12.1989)/26</t>
  </si>
  <si>
    <t>Чернов Андрей</t>
  </si>
  <si>
    <t>Juniors 20-23 (14.08.1992)/23</t>
  </si>
  <si>
    <t>Бурдаков Сергей</t>
  </si>
  <si>
    <t>Open (02.07.1979)/36</t>
  </si>
  <si>
    <t>Сагитов Марат</t>
  </si>
  <si>
    <t>Masters 45-49 (05.03.1971)/45</t>
  </si>
  <si>
    <t>Таракин Александр</t>
  </si>
  <si>
    <t>Open (10.02.1986)/30</t>
  </si>
  <si>
    <t>312,5</t>
  </si>
  <si>
    <t>Бурнашов Василий</t>
  </si>
  <si>
    <t>Open (28.11.1977)/38</t>
  </si>
  <si>
    <t>Славинский Иван</t>
  </si>
  <si>
    <t>Open (08.12.1983)/32</t>
  </si>
  <si>
    <t>Open (11.08.1993)/22</t>
  </si>
  <si>
    <t>Фоломеев Денис</t>
  </si>
  <si>
    <t>Masters 40-44 (14.11.1975)/40</t>
  </si>
  <si>
    <t xml:space="preserve">Саров/Нижегородская область </t>
  </si>
  <si>
    <t>Полетаев Владимир</t>
  </si>
  <si>
    <t>Masters 40-44 (19.10.1972)/43</t>
  </si>
  <si>
    <t>ВЕСОВАЯ КАТЕГОРИЯ   140+</t>
  </si>
  <si>
    <t>Стрельцов Максим</t>
  </si>
  <si>
    <t>Open (25.05.1975)/41</t>
  </si>
  <si>
    <t>205,9970</t>
  </si>
  <si>
    <t>197,9575</t>
  </si>
  <si>
    <t>192,5595</t>
  </si>
  <si>
    <t>ВЕСОВАЯ КАТЕГОРИЯ   48</t>
  </si>
  <si>
    <t>Лучкова Марина</t>
  </si>
  <si>
    <t>Open (23.02.1989)/27</t>
  </si>
  <si>
    <t xml:space="preserve">Березники/Пермский край </t>
  </si>
  <si>
    <t>Крымовская Светлана</t>
  </si>
  <si>
    <t>Open (04.06.1983)/33</t>
  </si>
  <si>
    <t>Дульнев Владислав</t>
  </si>
  <si>
    <t>Teenage 15-19 (31.05.1999)/17</t>
  </si>
  <si>
    <t>Open (31.05.1999)/17</t>
  </si>
  <si>
    <t>Сухобок Максим</t>
  </si>
  <si>
    <t>Open (01.01.1965)/51</t>
  </si>
  <si>
    <t>Masters 50-54 (01.01.1965)/51</t>
  </si>
  <si>
    <t>Лужнов Алексей</t>
  </si>
  <si>
    <t>Teenage 15-19 (09.07.1996)/19</t>
  </si>
  <si>
    <t>Потанин Никита</t>
  </si>
  <si>
    <t>Teenage 15-19 (13.03.1998)/18</t>
  </si>
  <si>
    <t xml:space="preserve">Липецк/Липецкая область </t>
  </si>
  <si>
    <t>Рысаев Даниил</t>
  </si>
  <si>
    <t>Teenage 15-19 (16.09.1998)/17</t>
  </si>
  <si>
    <t>Палоян Вартан</t>
  </si>
  <si>
    <t>Open (11.06.1989)/27</t>
  </si>
  <si>
    <t xml:space="preserve">Тейково/Ивановская область </t>
  </si>
  <si>
    <t>Еркин Александр</t>
  </si>
  <si>
    <t>Open (01.11.1988)/27</t>
  </si>
  <si>
    <t>Васильев Илья</t>
  </si>
  <si>
    <t>Open (02.08.1985)/30</t>
  </si>
  <si>
    <t>215,1900</t>
  </si>
  <si>
    <t>176,7095</t>
  </si>
  <si>
    <t>164,4930</t>
  </si>
  <si>
    <t>Пуговкина Алла</t>
  </si>
  <si>
    <t>Open (12.12.1975)/40</t>
  </si>
  <si>
    <t>Дурапов Николай</t>
  </si>
  <si>
    <t>Open (17.07.1980)/35</t>
  </si>
  <si>
    <t xml:space="preserve">Великий Устюг/Вологодская область </t>
  </si>
  <si>
    <t xml:space="preserve">Первушин Е </t>
  </si>
  <si>
    <t>Линов Михаил</t>
  </si>
  <si>
    <t>Juniors 20-23 (24.01.1993)/23</t>
  </si>
  <si>
    <t>Комар Алексей</t>
  </si>
  <si>
    <t>Open (09.06.1992)/24</t>
  </si>
  <si>
    <t xml:space="preserve">Пушкино/Московская область </t>
  </si>
  <si>
    <t>Чурзин Валерий</t>
  </si>
  <si>
    <t>Masters 40-44 (20.12.1973)/42</t>
  </si>
  <si>
    <t>Корытко Сергей</t>
  </si>
  <si>
    <t>Masters 40-44 (17.01.1973)/43</t>
  </si>
  <si>
    <t>Борисов Сергей</t>
  </si>
  <si>
    <t>Masters 40-44 (09.10.1973)/42</t>
  </si>
  <si>
    <t>317,5</t>
  </si>
  <si>
    <t>Воронина Мария</t>
  </si>
  <si>
    <t>Open (21.10.1972)/43</t>
  </si>
  <si>
    <t xml:space="preserve">Химки/Московская область </t>
  </si>
  <si>
    <t>Котельников Георгий</t>
  </si>
  <si>
    <t>Open (04.06.1992)/24</t>
  </si>
  <si>
    <t>Мокринская Мария</t>
  </si>
  <si>
    <t>Juniors 20-23 (19.11.1995)/20</t>
  </si>
  <si>
    <t>Ларина Екатерина</t>
  </si>
  <si>
    <t>Teenage 15-19 (31.10.1997)/18</t>
  </si>
  <si>
    <t>Малецкая Светлана</t>
  </si>
  <si>
    <t>Гредягин Александр</t>
  </si>
  <si>
    <t>Open (17.11.1974)/41</t>
  </si>
  <si>
    <t>Masters 40-44 (17.11.1974)/41</t>
  </si>
  <si>
    <t>Место</t>
  </si>
  <si>
    <t>Весовая категория               Дата рождения/возраст</t>
  </si>
  <si>
    <t>Собств. вес</t>
  </si>
  <si>
    <t>Город/ область</t>
  </si>
  <si>
    <t>Присед</t>
  </si>
  <si>
    <t>Результат</t>
  </si>
  <si>
    <t xml:space="preserve">Сухобок М. </t>
  </si>
  <si>
    <t xml:space="preserve"> Аксютин А.</t>
  </si>
  <si>
    <t>54,8</t>
  </si>
  <si>
    <t>66,0</t>
  </si>
  <si>
    <t>85,1</t>
  </si>
  <si>
    <t>99,6</t>
  </si>
  <si>
    <t xml:space="preserve">Москва/Московская область </t>
  </si>
  <si>
    <t>Кубок России IPL                                                                                                                              Присед в бинтах ДК
г. Суздаль, 17 - 19 июня 2016 г.</t>
  </si>
  <si>
    <t>Кубок России IPL                                                                                                                              Присед в бинтах 
г. Суздаль, 17 - 19 июня 2016 г.</t>
  </si>
  <si>
    <t>81,9</t>
  </si>
  <si>
    <t>121,5</t>
  </si>
  <si>
    <t xml:space="preserve">Цветков В. </t>
  </si>
  <si>
    <t>Щелково/Московская область</t>
  </si>
  <si>
    <t>56,0</t>
  </si>
  <si>
    <t>81,4</t>
  </si>
  <si>
    <t>106,8</t>
  </si>
  <si>
    <t xml:space="preserve">Железнодорожный/Московская область </t>
  </si>
  <si>
    <t>Гредягин А.</t>
  </si>
  <si>
    <t>Кубок России IPL                                                                                                                        Присед без экипировки 
г. Суздаль, 17 - 19 июня 2016 г.</t>
  </si>
  <si>
    <t xml:space="preserve">Москва/Московская область  </t>
  </si>
  <si>
    <t>59,0</t>
  </si>
  <si>
    <t>107,2</t>
  </si>
  <si>
    <t>112,7</t>
  </si>
  <si>
    <t>Соловьев И.</t>
  </si>
  <si>
    <t>Шейко Б.</t>
  </si>
  <si>
    <t>Можаев С.</t>
  </si>
  <si>
    <t xml:space="preserve">Мохов С. </t>
  </si>
  <si>
    <t>98,3</t>
  </si>
  <si>
    <t xml:space="preserve">Судаков П. </t>
  </si>
  <si>
    <t>79,8</t>
  </si>
  <si>
    <t xml:space="preserve">Длужневский С. </t>
  </si>
  <si>
    <t>Кубок России IPL                                                                                                                             Силовое двоеборье в экипировке ДК
г. Суздаль, 17 - 19 июня 2016 г.</t>
  </si>
  <si>
    <t>Жим</t>
  </si>
  <si>
    <t>Тяга</t>
  </si>
  <si>
    <t>51,7</t>
  </si>
  <si>
    <t>98,9</t>
  </si>
  <si>
    <t>0</t>
  </si>
  <si>
    <t>Степанов А.</t>
  </si>
  <si>
    <t>Пикляев Д.</t>
  </si>
  <si>
    <t>67,0</t>
  </si>
  <si>
    <t>65,1</t>
  </si>
  <si>
    <t>66,3</t>
  </si>
  <si>
    <t>89,0</t>
  </si>
  <si>
    <t>88,4</t>
  </si>
  <si>
    <t xml:space="preserve">Котельников Г. </t>
  </si>
  <si>
    <t>Аксютин А.</t>
  </si>
  <si>
    <t>74,4</t>
  </si>
  <si>
    <t>98,2</t>
  </si>
  <si>
    <t>108,2</t>
  </si>
  <si>
    <t>125,8</t>
  </si>
  <si>
    <t>Судаков П.</t>
  </si>
  <si>
    <t>Скоробогатов А.</t>
  </si>
  <si>
    <t>Петров А.</t>
  </si>
  <si>
    <t>47,9</t>
  </si>
  <si>
    <t>66,1</t>
  </si>
  <si>
    <t>Сухобок М.</t>
  </si>
  <si>
    <t>Первушин Е.</t>
  </si>
  <si>
    <t>Кубок России IPL                                                                                                                         Становая тяга в экипировке ДК
г. Суздаль, 17 - 19 июня 2016 г.</t>
  </si>
  <si>
    <t>52,0</t>
  </si>
  <si>
    <t>83,9</t>
  </si>
  <si>
    <t>80,5</t>
  </si>
  <si>
    <t>Солодюк Д.</t>
  </si>
  <si>
    <t xml:space="preserve">Самостоятелно </t>
  </si>
  <si>
    <t xml:space="preserve">Санкт-Петербург/Ленинградская область </t>
  </si>
  <si>
    <t xml:space="preserve">Архангельск/Архангельская область </t>
  </si>
  <si>
    <t xml:space="preserve">75,0 </t>
  </si>
  <si>
    <t xml:space="preserve">67,5 </t>
  </si>
  <si>
    <t xml:space="preserve">82,5 </t>
  </si>
  <si>
    <t>Васюченко О.</t>
  </si>
  <si>
    <t>Лебедь А.</t>
  </si>
  <si>
    <t xml:space="preserve">Бурнашов В. </t>
  </si>
  <si>
    <t xml:space="preserve">Гредягин А. </t>
  </si>
  <si>
    <t>Кудряшов А.</t>
  </si>
  <si>
    <t>Тысячнюк Е.</t>
  </si>
  <si>
    <t>Уколова В.</t>
  </si>
  <si>
    <t>59,7</t>
  </si>
  <si>
    <t>73,4</t>
  </si>
  <si>
    <t>71,3</t>
  </si>
  <si>
    <t>73,3</t>
  </si>
  <si>
    <t>74,3</t>
  </si>
  <si>
    <t>82,2</t>
  </si>
  <si>
    <t>78,8</t>
  </si>
  <si>
    <t>89,5</t>
  </si>
  <si>
    <t>97,7</t>
  </si>
  <si>
    <t>107,1</t>
  </si>
  <si>
    <t>55,4</t>
  </si>
  <si>
    <t>63,6</t>
  </si>
  <si>
    <t>79,5</t>
  </si>
  <si>
    <t>80,8</t>
  </si>
  <si>
    <t>88,6</t>
  </si>
  <si>
    <t>99,9</t>
  </si>
  <si>
    <t>99,8</t>
  </si>
  <si>
    <t>92,4</t>
  </si>
  <si>
    <t>95,2</t>
  </si>
  <si>
    <t>147,1</t>
  </si>
  <si>
    <t xml:space="preserve">100,0 </t>
  </si>
  <si>
    <t>Бобров.В.</t>
  </si>
  <si>
    <t>Таракина Н.</t>
  </si>
  <si>
    <t>Калиниченко В.</t>
  </si>
  <si>
    <t>Клюшев А.</t>
  </si>
  <si>
    <t>Ненартович Дмитрий</t>
  </si>
  <si>
    <t>1</t>
  </si>
  <si>
    <t>2</t>
  </si>
  <si>
    <t>3</t>
  </si>
  <si>
    <t>55,2</t>
  </si>
  <si>
    <t>117,4</t>
  </si>
  <si>
    <t>66,2</t>
  </si>
  <si>
    <t>74,6</t>
  </si>
  <si>
    <t>81,3</t>
  </si>
  <si>
    <t>108,0</t>
  </si>
  <si>
    <t>104,3</t>
  </si>
  <si>
    <t>Кубок России IPL                                                                                                                                                         Пауэрлифтинг в бинтах ДК
г. Суздаль, 17 - 19 июня 2016 г.</t>
  </si>
  <si>
    <t xml:space="preserve">90,0 </t>
  </si>
  <si>
    <t xml:space="preserve">110,0 </t>
  </si>
  <si>
    <t>Шмаков С.</t>
  </si>
  <si>
    <t>Ненартович Д.</t>
  </si>
  <si>
    <t>53,4</t>
  </si>
  <si>
    <t>66,4</t>
  </si>
  <si>
    <t>74,2</t>
  </si>
  <si>
    <t>82,1</t>
  </si>
  <si>
    <t>86,7</t>
  </si>
  <si>
    <t>92,9</t>
  </si>
  <si>
    <t>97,8</t>
  </si>
  <si>
    <t>95,5</t>
  </si>
  <si>
    <t>105,2</t>
  </si>
  <si>
    <t>101,4</t>
  </si>
  <si>
    <t>104,7</t>
  </si>
  <si>
    <t>123,7</t>
  </si>
  <si>
    <t>Кубок России IPL                                                                                                                                                         Пауэрлифтинг в бинтах 
г. Суздаль, 17 - 19 июня 2016 г.</t>
  </si>
  <si>
    <t xml:space="preserve">125,0 </t>
  </si>
  <si>
    <t xml:space="preserve">Щелково/Московская область </t>
  </si>
  <si>
    <t>Нижний Новгород/Нижегородская область</t>
  </si>
  <si>
    <t>Хаматдинов Д.</t>
  </si>
  <si>
    <t>Цветков А.</t>
  </si>
  <si>
    <t>Шабанова А.</t>
  </si>
  <si>
    <t>Длужневский С.</t>
  </si>
  <si>
    <t>Панферова М.</t>
  </si>
  <si>
    <t>Цветков В.</t>
  </si>
  <si>
    <t xml:space="preserve">Бобров В. </t>
  </si>
  <si>
    <t>Кубок России IPL                                                                                                                              Жим лежа СФО
г. Суздаль, 17 - 19 июня 2016 г.</t>
  </si>
  <si>
    <t>71,9</t>
  </si>
  <si>
    <t>Богданов К</t>
  </si>
  <si>
    <t>Богданов К.</t>
  </si>
  <si>
    <t>Ольберг А.</t>
  </si>
  <si>
    <t>Кубок России IPL                                                                                                                                                      Пауэрлифтинг без экипировки ДК
г. Суздаль, 17 - 19 июня 2016 г.</t>
  </si>
  <si>
    <t>49,0</t>
  </si>
  <si>
    <t>58,7</t>
  </si>
  <si>
    <t>58,6</t>
  </si>
  <si>
    <t>61,1</t>
  </si>
  <si>
    <t>64,9</t>
  </si>
  <si>
    <t>71,1</t>
  </si>
  <si>
    <t>73,5</t>
  </si>
  <si>
    <t>70,6</t>
  </si>
  <si>
    <t>80,4</t>
  </si>
  <si>
    <t>81,8</t>
  </si>
  <si>
    <t xml:space="preserve">Шарапов И. </t>
  </si>
  <si>
    <t>Никулин А.</t>
  </si>
  <si>
    <t>Бурнашов В.</t>
  </si>
  <si>
    <t xml:space="preserve">Шмаков С. </t>
  </si>
  <si>
    <t>Дронова О.</t>
  </si>
  <si>
    <t>Браилко Г.</t>
  </si>
  <si>
    <t>Кубок России IPL                                                                                                                                         Жим лежа в многослойной экипировке ДК
г. Суздаль, 17 - 19 июня 2016 г.</t>
  </si>
  <si>
    <t>124,0</t>
  </si>
  <si>
    <t xml:space="preserve">Пермяков Д. </t>
  </si>
  <si>
    <t>78,5</t>
  </si>
  <si>
    <t>70,9</t>
  </si>
  <si>
    <t>71,8</t>
  </si>
  <si>
    <t>81,5</t>
  </si>
  <si>
    <t>109,9</t>
  </si>
  <si>
    <t>108,8</t>
  </si>
  <si>
    <t>107,8</t>
  </si>
  <si>
    <t>106,4</t>
  </si>
  <si>
    <t>104,6</t>
  </si>
  <si>
    <t>110,1</t>
  </si>
  <si>
    <t>Макеевка/Донецкая Народная Республика</t>
  </si>
  <si>
    <t>Ломов И.</t>
  </si>
  <si>
    <t>Романов С.</t>
  </si>
  <si>
    <t>Закиров И.</t>
  </si>
  <si>
    <t>Чернецова Е.</t>
  </si>
  <si>
    <t>78,7</t>
  </si>
  <si>
    <t>103,8</t>
  </si>
  <si>
    <t>Кубок России IPL                                                                                                                                       Жим лежа в многослойной экипировке
г. Суздаль, 17 - 19 июня 2016 г.</t>
  </si>
  <si>
    <t>Кубок России IPL                                                                                                                                               Пауэрлифтинг в однослойной экипировке ДК
г. Суздаль, 17 - 19 июня 2016 г.</t>
  </si>
  <si>
    <t>74,0</t>
  </si>
  <si>
    <t>Кубок России IPL                                                                                                                                           Жим лежа в однослойной экипировке ДК
г. Суздаль, 17 - 19 июня 2016 г.</t>
  </si>
  <si>
    <t>85,6</t>
  </si>
  <si>
    <t>109,6</t>
  </si>
  <si>
    <t>111,4</t>
  </si>
  <si>
    <t>113,4</t>
  </si>
  <si>
    <t>Смирнов О.</t>
  </si>
  <si>
    <t>Безуглов Н. Николаев М.</t>
  </si>
  <si>
    <t>Хавалевко К.</t>
  </si>
  <si>
    <t>71,5</t>
  </si>
  <si>
    <t>81,2</t>
  </si>
  <si>
    <t>80,7</t>
  </si>
  <si>
    <t>109,2</t>
  </si>
  <si>
    <t>127,0</t>
  </si>
  <si>
    <t xml:space="preserve">Новосибирск/Новосибирская область </t>
  </si>
  <si>
    <t>Палей  А.</t>
  </si>
  <si>
    <t>Силушин А.</t>
  </si>
  <si>
    <t>Самостоятельно</t>
  </si>
  <si>
    <t>Мохов С.</t>
  </si>
  <si>
    <t>Спирово/Тверская область</t>
  </si>
  <si>
    <t xml:space="preserve">Пгт Спирово/Тверская область </t>
  </si>
  <si>
    <t>42,9</t>
  </si>
  <si>
    <t>50,6</t>
  </si>
  <si>
    <t>54,6</t>
  </si>
  <si>
    <t>58,3</t>
  </si>
  <si>
    <t>72,0</t>
  </si>
  <si>
    <t>74,7</t>
  </si>
  <si>
    <t>71,6</t>
  </si>
  <si>
    <t>73,8</t>
  </si>
  <si>
    <t>79,7</t>
  </si>
  <si>
    <t>81,0</t>
  </si>
  <si>
    <t>80,9</t>
  </si>
  <si>
    <t>88,5</t>
  </si>
  <si>
    <t>87,4</t>
  </si>
  <si>
    <t>87,1</t>
  </si>
  <si>
    <t>91,1</t>
  </si>
  <si>
    <t>98,6</t>
  </si>
  <si>
    <t>99,5</t>
  </si>
  <si>
    <t>100,5</t>
  </si>
  <si>
    <t>103,7</t>
  </si>
  <si>
    <t>105,6</t>
  </si>
  <si>
    <t>103,0</t>
  </si>
  <si>
    <t>120,5</t>
  </si>
  <si>
    <t>Гришанов А.</t>
  </si>
  <si>
    <t>Шарапов И.</t>
  </si>
  <si>
    <t>Шелудько .</t>
  </si>
  <si>
    <t>Яковлев Д.</t>
  </si>
  <si>
    <t>Пермяков Д.</t>
  </si>
  <si>
    <t>Оренкин И.</t>
  </si>
  <si>
    <t xml:space="preserve">Петров А. </t>
  </si>
  <si>
    <t>Курицин М.</t>
  </si>
  <si>
    <t>Марченко В.</t>
  </si>
  <si>
    <t>Большаков С.</t>
  </si>
  <si>
    <t xml:space="preserve">Авдулов Е. </t>
  </si>
  <si>
    <t>Котельников Г.</t>
  </si>
  <si>
    <t>Клачихин А.</t>
  </si>
  <si>
    <t>Кочетков А.</t>
  </si>
  <si>
    <t>Емельянов А.</t>
  </si>
  <si>
    <t>Фурсов Р.</t>
  </si>
  <si>
    <t>103,2</t>
  </si>
  <si>
    <t>65,8</t>
  </si>
  <si>
    <t>74,1</t>
  </si>
  <si>
    <t>82,3</t>
  </si>
  <si>
    <t>79,3</t>
  </si>
  <si>
    <t>93,3</t>
  </si>
  <si>
    <t>99,2</t>
  </si>
  <si>
    <t>96,5</t>
  </si>
  <si>
    <t>95,7</t>
  </si>
  <si>
    <t>96,7</t>
  </si>
  <si>
    <t>109,0</t>
  </si>
  <si>
    <t>109,1</t>
  </si>
  <si>
    <t>106,1</t>
  </si>
  <si>
    <t>107,7</t>
  </si>
  <si>
    <t>119,3</t>
  </si>
  <si>
    <t>121,1</t>
  </si>
  <si>
    <t>110,7</t>
  </si>
  <si>
    <t>125,7</t>
  </si>
  <si>
    <t>137,2</t>
  </si>
  <si>
    <t>Полетаев В.</t>
  </si>
  <si>
    <t>Емелин А.</t>
  </si>
  <si>
    <t>Николаев В.</t>
  </si>
  <si>
    <t>Тихов С.</t>
  </si>
  <si>
    <t xml:space="preserve">Кудряшов А. </t>
  </si>
  <si>
    <t>Шмелев И.</t>
  </si>
  <si>
    <t>Голубев Я.</t>
  </si>
  <si>
    <t>Гриднев А.</t>
  </si>
  <si>
    <t>4</t>
  </si>
  <si>
    <t>Gloss</t>
  </si>
  <si>
    <t>Прокопова Елена</t>
  </si>
  <si>
    <t>Masters 50-59 (07.03.1966)/50</t>
  </si>
  <si>
    <t xml:space="preserve">Брянск/Брянская область </t>
  </si>
  <si>
    <t>Юшин Павел</t>
  </si>
  <si>
    <t>Open (23.01.1986)/30</t>
  </si>
  <si>
    <t>Masters 60+ (10.06.1956)/60</t>
  </si>
  <si>
    <t>Снетков Александр</t>
  </si>
  <si>
    <t>Open (24.01.1987)/29</t>
  </si>
  <si>
    <t xml:space="preserve">Gloss </t>
  </si>
  <si>
    <t>63,2</t>
  </si>
  <si>
    <t>88,3</t>
  </si>
  <si>
    <t xml:space="preserve">Прокопов М. </t>
  </si>
  <si>
    <t>Маликова О.</t>
  </si>
  <si>
    <t xml:space="preserve">Гаврилова О. </t>
  </si>
  <si>
    <t>Курков А.</t>
  </si>
  <si>
    <t>Леонов Павел</t>
  </si>
  <si>
    <t>Open (08.11.1983)/32</t>
  </si>
  <si>
    <t xml:space="preserve">Лосино-Петровский/Московская область </t>
  </si>
  <si>
    <t>Голубев Ярослав</t>
  </si>
  <si>
    <t>Open (02.02.1980)/36</t>
  </si>
  <si>
    <t>Ломов Игорь</t>
  </si>
  <si>
    <t>Open (29.10.1970)/45</t>
  </si>
  <si>
    <t>Соловьев Вячеслав</t>
  </si>
  <si>
    <t>Open (10.08.1976)/39</t>
  </si>
  <si>
    <t>400,0</t>
  </si>
  <si>
    <t>96,2</t>
  </si>
  <si>
    <t>109,4</t>
  </si>
  <si>
    <t>127,8</t>
  </si>
  <si>
    <t>161,3</t>
  </si>
  <si>
    <t xml:space="preserve">Грачев А. </t>
  </si>
  <si>
    <t>Teen 13-19 (18.05.2001)/15</t>
  </si>
  <si>
    <t>22,5</t>
  </si>
  <si>
    <t>Акимкина Юлия</t>
  </si>
  <si>
    <t>Open (28.03.1982)/34</t>
  </si>
  <si>
    <t xml:space="preserve">НН пауэр тим </t>
  </si>
  <si>
    <t>25,0</t>
  </si>
  <si>
    <t>42,0</t>
  </si>
  <si>
    <t>1405,0</t>
  </si>
  <si>
    <t>1050,0</t>
  </si>
  <si>
    <t>Кубок России                                                                                                                                   Народный жим (1/2 вес) ДК
г. Суздаль, 17 - 19 июня 2016 г.</t>
  </si>
  <si>
    <t>Вес</t>
  </si>
  <si>
    <t>Повторы</t>
  </si>
  <si>
    <t>Тоннаж</t>
  </si>
  <si>
    <t>48,8</t>
  </si>
  <si>
    <t>62</t>
  </si>
  <si>
    <t>42</t>
  </si>
  <si>
    <t>Сахарова Е.</t>
  </si>
  <si>
    <t>Акинина Юлия</t>
  </si>
  <si>
    <t>Open (26.02.1984)/32</t>
  </si>
  <si>
    <t>32,5</t>
  </si>
  <si>
    <t>24,0</t>
  </si>
  <si>
    <t>780,0</t>
  </si>
  <si>
    <t>63,5</t>
  </si>
  <si>
    <t>Москва/Московская область</t>
  </si>
  <si>
    <t>24</t>
  </si>
  <si>
    <t>Захаров И.</t>
  </si>
  <si>
    <t>Кубок России                                                                                                                                   Народный жим (1/2 вес) 
г. Суздаль, 17 - 19 июня 2016 г.</t>
  </si>
  <si>
    <t>Майборода Станислав</t>
  </si>
  <si>
    <t>Open (05.09.1991)/24</t>
  </si>
  <si>
    <t xml:space="preserve">Зеленоградск/Калининградская о </t>
  </si>
  <si>
    <t>Кулаков Олег</t>
  </si>
  <si>
    <t>Juniors 20-23 (13.08.1994)/21</t>
  </si>
  <si>
    <t>17,0</t>
  </si>
  <si>
    <t>Хамхоев Магомед</t>
  </si>
  <si>
    <t>Open (23.12.1987)/28</t>
  </si>
  <si>
    <t>Краснов Марк</t>
  </si>
  <si>
    <t>Open (02.11.1978)/37</t>
  </si>
  <si>
    <t xml:space="preserve">Ковров/Владимирская область </t>
  </si>
  <si>
    <t>Masters 40-49 (14.07.1969)/46</t>
  </si>
  <si>
    <t>27,0</t>
  </si>
  <si>
    <t>1360,0</t>
  </si>
  <si>
    <t>3547,5</t>
  </si>
  <si>
    <t>2712,5</t>
  </si>
  <si>
    <t>2557,5</t>
  </si>
  <si>
    <t>1725,0</t>
  </si>
  <si>
    <t>1890,0</t>
  </si>
  <si>
    <t>2430,0</t>
  </si>
  <si>
    <t>Кубок России                                                                                                                                   Народный жим (1 вес) ДК
г. Суздаль, 17 - 19 июня 2016 г.</t>
  </si>
  <si>
    <t>79,1</t>
  </si>
  <si>
    <t>77,4</t>
  </si>
  <si>
    <t>23</t>
  </si>
  <si>
    <t>17</t>
  </si>
  <si>
    <t>43</t>
  </si>
  <si>
    <t>35</t>
  </si>
  <si>
    <t>31</t>
  </si>
  <si>
    <t>27</t>
  </si>
  <si>
    <t>14</t>
  </si>
  <si>
    <t>Хамхоев И.</t>
  </si>
  <si>
    <t>Авдулов Е.</t>
  </si>
  <si>
    <t>Петров .</t>
  </si>
  <si>
    <t xml:space="preserve">Филимонов В. </t>
  </si>
  <si>
    <t xml:space="preserve">Емельянов А. </t>
  </si>
  <si>
    <t>Хамилов Александр</t>
  </si>
  <si>
    <t>Masters 50-59 (23.05.1965)/51</t>
  </si>
  <si>
    <t>Захаров Игорь</t>
  </si>
  <si>
    <t>Open (31.07.1969)/46</t>
  </si>
  <si>
    <t>39,0</t>
  </si>
  <si>
    <t>Masters 40-49 (31.07.1969)/46</t>
  </si>
  <si>
    <t>Шелепов Юрий</t>
  </si>
  <si>
    <t>Open (11.09.1987)/28</t>
  </si>
  <si>
    <t>Смирнов Олег</t>
  </si>
  <si>
    <t>Open (22.01.1986)/30</t>
  </si>
  <si>
    <t>Зяблов Николай</t>
  </si>
  <si>
    <t>Masters 50-59 (05.04.1958)/58</t>
  </si>
  <si>
    <t>97,5</t>
  </si>
  <si>
    <t>22,0</t>
  </si>
  <si>
    <t>Суставов Юрий</t>
  </si>
  <si>
    <t>Open (02.10.1974)/41</t>
  </si>
  <si>
    <t xml:space="preserve">Касимов/Рязанская область </t>
  </si>
  <si>
    <t>34,0</t>
  </si>
  <si>
    <t>Masters 40-49 (02.10.1974)/41</t>
  </si>
  <si>
    <t>Masters 40-49 (21.05.1971)/45</t>
  </si>
  <si>
    <t>Бакалина Виталий</t>
  </si>
  <si>
    <t>Masters 40-49 (10.05.1974)/42</t>
  </si>
  <si>
    <t>Манцеров Сергей</t>
  </si>
  <si>
    <t>Open (27.10.1970)/45</t>
  </si>
  <si>
    <t xml:space="preserve">Ногинск/Московская область </t>
  </si>
  <si>
    <t>Семенин Дмитрий</t>
  </si>
  <si>
    <t>Open (09.12.1983)/32</t>
  </si>
  <si>
    <t>4725,0</t>
  </si>
  <si>
    <t>2652,3787</t>
  </si>
  <si>
    <t>3217,5</t>
  </si>
  <si>
    <t>2082,2051</t>
  </si>
  <si>
    <t>3485,0</t>
  </si>
  <si>
    <t>2009,1025</t>
  </si>
  <si>
    <t>Кубок России                                                                                                                                   Народный жим (1 вес) 
г. Суздаль, 17 - 19 июня 2016 г.</t>
  </si>
  <si>
    <t>69,6</t>
  </si>
  <si>
    <t>82,0</t>
  </si>
  <si>
    <t>96,8</t>
  </si>
  <si>
    <t>102,1</t>
  </si>
  <si>
    <t>104,8</t>
  </si>
  <si>
    <t>110,8</t>
  </si>
  <si>
    <t>110,5</t>
  </si>
  <si>
    <t>Киев/Украина</t>
  </si>
  <si>
    <t>Солнечногорск/Московская область</t>
  </si>
  <si>
    <t xml:space="preserve">Киев/Украина </t>
  </si>
  <si>
    <t>Санкт-Петербург/Ленинградская область</t>
  </si>
  <si>
    <t>Скорина О.</t>
  </si>
  <si>
    <t>Разумов А.</t>
  </si>
  <si>
    <t xml:space="preserve">Калиниченко В. </t>
  </si>
  <si>
    <t>Teen 13-19 (08.03.2000)/16</t>
  </si>
  <si>
    <t>20,0</t>
  </si>
  <si>
    <t>Серых Ольга</t>
  </si>
  <si>
    <t>Open (09.10.1981)/34</t>
  </si>
  <si>
    <t>Мартынова Ольга</t>
  </si>
  <si>
    <t>Masters 40-49 (01.01.1976)/40</t>
  </si>
  <si>
    <t>27,5</t>
  </si>
  <si>
    <t>Teen 13-19 (31.05.1999)/17</t>
  </si>
  <si>
    <t>Тюпко Григорий</t>
  </si>
  <si>
    <t>Open (25.06.1990)/25</t>
  </si>
  <si>
    <t>58,0</t>
  </si>
  <si>
    <t>Хорев Артур</t>
  </si>
  <si>
    <t>Open (14.10.1986)/29</t>
  </si>
  <si>
    <t xml:space="preserve">Лыткарино/Московская область </t>
  </si>
  <si>
    <t>Панфилов Алексей</t>
  </si>
  <si>
    <t>Open (18.03.1992)/24</t>
  </si>
  <si>
    <t xml:space="preserve">Навашино/Нижегородская область </t>
  </si>
  <si>
    <t>Masters 40-49 (04.12.1973)/42</t>
  </si>
  <si>
    <t>Masters 40-49 (17.11.1974)/41</t>
  </si>
  <si>
    <t>Аренкин Игорь</t>
  </si>
  <si>
    <t>Masters 50-59 (19.02.1965)/51</t>
  </si>
  <si>
    <t>108,6592</t>
  </si>
  <si>
    <t>123,0</t>
  </si>
  <si>
    <t>92,2930</t>
  </si>
  <si>
    <t>91,7910</t>
  </si>
  <si>
    <t>54,3</t>
  </si>
  <si>
    <t>59,2</t>
  </si>
  <si>
    <t>56,6</t>
  </si>
  <si>
    <t>55,9</t>
  </si>
  <si>
    <t>67,3</t>
  </si>
  <si>
    <t>74,8</t>
  </si>
  <si>
    <t>72,7</t>
  </si>
  <si>
    <t>97,0</t>
  </si>
  <si>
    <t>Первышин Е.</t>
  </si>
  <si>
    <t xml:space="preserve">Гришанов А. </t>
  </si>
  <si>
    <t xml:space="preserve">Первушин Е. </t>
  </si>
  <si>
    <t>Open (01.01.1976)/40</t>
  </si>
  <si>
    <t>Цыганкова Ирина</t>
  </si>
  <si>
    <t>Open (21.06.1980)/35</t>
  </si>
  <si>
    <t>Савенко Евгений</t>
  </si>
  <si>
    <t>Open (19.05.1983)/33</t>
  </si>
  <si>
    <t>Тихов Сергей</t>
  </si>
  <si>
    <t>Open (06.07.1981)/34</t>
  </si>
  <si>
    <t>62,4</t>
  </si>
  <si>
    <t xml:space="preserve">Парамонов А. </t>
  </si>
  <si>
    <t>46,5</t>
  </si>
  <si>
    <t>51,5</t>
  </si>
  <si>
    <t>62,0</t>
  </si>
  <si>
    <t>Кулагина Анжела</t>
  </si>
  <si>
    <t>Open (04.11.1988)/27</t>
  </si>
  <si>
    <t>56,5</t>
  </si>
  <si>
    <t>64,0</t>
  </si>
  <si>
    <t xml:space="preserve">Иванов С.Н., Корнилов </t>
  </si>
  <si>
    <t>ВЕСОВАЯ КАТЕГОРИЯ   70</t>
  </si>
  <si>
    <t>Шарлай Александр</t>
  </si>
  <si>
    <t>Open (15.02.1987)/29</t>
  </si>
  <si>
    <t xml:space="preserve">Керчь/республика Крым </t>
  </si>
  <si>
    <t>61,5</t>
  </si>
  <si>
    <t>66,5</t>
  </si>
  <si>
    <t>Фаустов Александр</t>
  </si>
  <si>
    <t>Master 40+ (21.02.1976)/40</t>
  </si>
  <si>
    <t>69,0</t>
  </si>
  <si>
    <t>76,5</t>
  </si>
  <si>
    <t>84,0</t>
  </si>
  <si>
    <t>Город/область</t>
  </si>
  <si>
    <t>105,1</t>
  </si>
  <si>
    <t>44,0</t>
  </si>
  <si>
    <t>29,0</t>
  </si>
  <si>
    <t>Талдыкин Артем</t>
  </si>
  <si>
    <t>Open (02.12.1991)/24</t>
  </si>
  <si>
    <t xml:space="preserve">Воронеж/Воронежская область </t>
  </si>
  <si>
    <t>Open (21.02.1976)/40</t>
  </si>
  <si>
    <t>94,0</t>
  </si>
  <si>
    <t>104,0</t>
  </si>
  <si>
    <t>106,5</t>
  </si>
  <si>
    <t>Константинов Константин</t>
  </si>
  <si>
    <t>Open (05.02.1975)/41</t>
  </si>
  <si>
    <t xml:space="preserve">Дедовск/Московская область </t>
  </si>
  <si>
    <t>108,4</t>
  </si>
  <si>
    <t>Всероссийский мастерский турнир                                                                                            Two handed pinch grip block
г. Суздаль, 17 - 19 июня 2016 г.</t>
  </si>
  <si>
    <t>Шевченко С.</t>
  </si>
  <si>
    <t>19,5</t>
  </si>
  <si>
    <t>24,5</t>
  </si>
  <si>
    <t>Сучкова Анна</t>
  </si>
  <si>
    <t>Open (17.10.1979)/36</t>
  </si>
  <si>
    <t>12,0</t>
  </si>
  <si>
    <t>14,5</t>
  </si>
  <si>
    <t>34,5</t>
  </si>
  <si>
    <t>39,5</t>
  </si>
  <si>
    <t>65,6</t>
  </si>
  <si>
    <t>Всероссийский мастерский турнир                                                                                             HUB
г. Суздаль, 17 - 19 июня 2016 г.</t>
  </si>
  <si>
    <t>Ермолаева Дарья</t>
  </si>
  <si>
    <t>Open (01.04.1993)/23</t>
  </si>
  <si>
    <t>Ильин Максим</t>
  </si>
  <si>
    <t>Junior (17.09.1999)/16</t>
  </si>
  <si>
    <t>ВЕСОВАЯ КАТЕГОРИЯ   80</t>
  </si>
  <si>
    <t>Яковина Дмитрий</t>
  </si>
  <si>
    <t>Open (02.04.1979)/37</t>
  </si>
  <si>
    <t>Семыкин Иван</t>
  </si>
  <si>
    <t>Open (23.05.1991)/25</t>
  </si>
  <si>
    <t>Кочанов Александр</t>
  </si>
  <si>
    <t>Open (05.11.1992)/23</t>
  </si>
  <si>
    <t>Ейбог Александр</t>
  </si>
  <si>
    <t>Open (20.09.1979)/36</t>
  </si>
  <si>
    <t>Всероссийский мастерский турнир                                                                                      Apollon's Axle
г. Суздаль, 17 - 19 июня 2016 г.</t>
  </si>
  <si>
    <t>96,9</t>
  </si>
  <si>
    <t>105,3</t>
  </si>
  <si>
    <t xml:space="preserve">Панфилов А. </t>
  </si>
  <si>
    <t xml:space="preserve">Шевченко С. </t>
  </si>
  <si>
    <t>Потехина Екатерина</t>
  </si>
  <si>
    <t>Open (17.02.1988)/28</t>
  </si>
  <si>
    <t xml:space="preserve">сборная Иваново </t>
  </si>
  <si>
    <t>36,5</t>
  </si>
  <si>
    <t>41,5</t>
  </si>
  <si>
    <t>Open (22.03.1995)/21</t>
  </si>
  <si>
    <t>ВЕСОВАЯ КАТЕГОРИЯ   75+</t>
  </si>
  <si>
    <t>Шевченко Сергей</t>
  </si>
  <si>
    <t>Open (30.04.1974)/42</t>
  </si>
  <si>
    <t>Master 40+ (30.04.1974)/42</t>
  </si>
  <si>
    <t>86,5</t>
  </si>
  <si>
    <t>53,8</t>
  </si>
  <si>
    <t>60,4</t>
  </si>
  <si>
    <t>Потехин К.</t>
  </si>
  <si>
    <t>Минаев А.</t>
  </si>
  <si>
    <t>Всероссийский мастерский турнир                                                                                  Rolling Thunder
г. Суздаль, 17 - 19  июня 2016 г.</t>
  </si>
  <si>
    <t>Teen 13-19 (16.09.1998)/17</t>
  </si>
  <si>
    <t>33Rus team</t>
  </si>
  <si>
    <t>49</t>
  </si>
  <si>
    <t>Кудряшев А.</t>
  </si>
  <si>
    <t>ВЕСОВАЯ КАТЕГОРИЯ   67,5</t>
  </si>
  <si>
    <t>Teen 13-19 (11.03.2000)/16</t>
  </si>
  <si>
    <t>41</t>
  </si>
  <si>
    <t>0,7600</t>
  </si>
  <si>
    <t>0,70045</t>
  </si>
  <si>
    <t>Полетаев Андрей</t>
  </si>
  <si>
    <t>Teen 13-19 (23.12.1999)/16</t>
  </si>
  <si>
    <t>106,7</t>
  </si>
  <si>
    <t>Воронеж/Воронежская область</t>
  </si>
  <si>
    <t>29</t>
  </si>
  <si>
    <t>1435,0</t>
  </si>
  <si>
    <t>1090,6</t>
  </si>
  <si>
    <t>1837,5</t>
  </si>
  <si>
    <t>1287,0769</t>
  </si>
  <si>
    <t>1595,0</t>
  </si>
  <si>
    <t>905,402</t>
  </si>
  <si>
    <t>Баллы</t>
  </si>
  <si>
    <t>Сумма баллов</t>
  </si>
  <si>
    <t>Шумкова Анастасия</t>
  </si>
  <si>
    <t>Open (06.09.1978)/37</t>
  </si>
  <si>
    <t>18</t>
  </si>
  <si>
    <t>50</t>
  </si>
  <si>
    <t>20</t>
  </si>
  <si>
    <t>38</t>
  </si>
  <si>
    <t>4756,5000</t>
  </si>
  <si>
    <t>Касьянова Ольга</t>
  </si>
  <si>
    <t>Open (03.11.1984)/31</t>
  </si>
  <si>
    <t>4593,6232</t>
  </si>
  <si>
    <t>Пухова Анна</t>
  </si>
  <si>
    <t>Open (23.08.1989)/26</t>
  </si>
  <si>
    <t>36</t>
  </si>
  <si>
    <t>5011,9047</t>
  </si>
  <si>
    <t>Мазавина Елена</t>
  </si>
  <si>
    <t>Open (19.06.1987)/29</t>
  </si>
  <si>
    <t>33</t>
  </si>
  <si>
    <t>5097,3137</t>
  </si>
  <si>
    <t>Сурков Дмитрий</t>
  </si>
  <si>
    <t>Open (24.02.1989)/27</t>
  </si>
  <si>
    <t>40</t>
  </si>
  <si>
    <t>5355,3950</t>
  </si>
  <si>
    <t>Рошкован Артем</t>
  </si>
  <si>
    <t>Junior (26.07.1992)/23</t>
  </si>
  <si>
    <t>5406,7392</t>
  </si>
  <si>
    <t>Конев Николай</t>
  </si>
  <si>
    <t>Open (26.05.1989)/27</t>
  </si>
  <si>
    <t>5530,4073</t>
  </si>
  <si>
    <t>Калинин Кирилл</t>
  </si>
  <si>
    <t>Open (27.04.1990)/26</t>
  </si>
  <si>
    <t xml:space="preserve">Бомбардир </t>
  </si>
  <si>
    <t>23,0</t>
  </si>
  <si>
    <t>7051,0260</t>
  </si>
  <si>
    <t>Иванов Денис</t>
  </si>
  <si>
    <t>Open (25.03.1987)/29</t>
  </si>
  <si>
    <t>6403,3450</t>
  </si>
  <si>
    <t>Замесов Роман</t>
  </si>
  <si>
    <t>Open (06.01.1985)/31</t>
  </si>
  <si>
    <t>16</t>
  </si>
  <si>
    <t>32</t>
  </si>
  <si>
    <t>6037,0200</t>
  </si>
  <si>
    <t>Осокин Максим</t>
  </si>
  <si>
    <t>Junior (21.12.1992)/23</t>
  </si>
  <si>
    <t>110</t>
  </si>
  <si>
    <t>10</t>
  </si>
  <si>
    <t>5250,4500</t>
  </si>
  <si>
    <t>ВЕСОВАЯ КАТЕГОРИЯ   130</t>
  </si>
  <si>
    <t>Фадеев Николай</t>
  </si>
  <si>
    <t>Open (11.07.1977)/38</t>
  </si>
  <si>
    <t>130</t>
  </si>
  <si>
    <t>15</t>
  </si>
  <si>
    <t>58,9</t>
  </si>
  <si>
    <t>59,1</t>
  </si>
  <si>
    <t>64,7</t>
  </si>
  <si>
    <t>68,1</t>
  </si>
  <si>
    <t>57,9</t>
  </si>
  <si>
    <t>88,7</t>
  </si>
  <si>
    <t>89,1</t>
  </si>
  <si>
    <t>98,4</t>
  </si>
  <si>
    <t>94,6</t>
  </si>
  <si>
    <t>108,3</t>
  </si>
  <si>
    <t>121,7</t>
  </si>
  <si>
    <t>21</t>
  </si>
  <si>
    <t xml:space="preserve">Фотин А. </t>
  </si>
  <si>
    <t>Фотин А.</t>
  </si>
  <si>
    <t>Дунаев Генадий</t>
  </si>
  <si>
    <t>Junior (22.07.1993)/22</t>
  </si>
  <si>
    <t>Кислов Павел</t>
  </si>
  <si>
    <t>Open (26.05.1983)/33</t>
  </si>
  <si>
    <t>Уколкина Светлана</t>
  </si>
  <si>
    <t>Open (21.01.1987)/29</t>
  </si>
  <si>
    <t>13,0</t>
  </si>
  <si>
    <t>1027,1261</t>
  </si>
  <si>
    <t>Каштанов Сергей</t>
  </si>
  <si>
    <t>Open (28.07.1987)/28</t>
  </si>
  <si>
    <t>1619,3196</t>
  </si>
  <si>
    <t>1690,7760</t>
  </si>
  <si>
    <t>813,4500</t>
  </si>
  <si>
    <t>ВЕСОВАЯ КАТЕГОРИЯ   120</t>
  </si>
  <si>
    <t>Симановский Игорь</t>
  </si>
  <si>
    <t>Open (28.03.1965)/51</t>
  </si>
  <si>
    <t>2372,7600</t>
  </si>
  <si>
    <t>112,3</t>
  </si>
  <si>
    <t>13</t>
  </si>
  <si>
    <t>26</t>
  </si>
  <si>
    <t>5859,4221</t>
  </si>
  <si>
    <t xml:space="preserve">Железная Семья </t>
  </si>
  <si>
    <t>19,0</t>
  </si>
  <si>
    <t>3892,7008</t>
  </si>
  <si>
    <t>Юганова Найля</t>
  </si>
  <si>
    <t>Masters 45-49 (14.11.1968)/47</t>
  </si>
  <si>
    <t>6,0</t>
  </si>
  <si>
    <t>Саргсян Тигран</t>
  </si>
  <si>
    <t>Open (26.10.1991)/24</t>
  </si>
  <si>
    <t>90</t>
  </si>
  <si>
    <t>1890</t>
  </si>
  <si>
    <t>6271,3301</t>
  </si>
  <si>
    <t>Смирнов Дмитрий</t>
  </si>
  <si>
    <t>Junior (03.04.1993)/23</t>
  </si>
  <si>
    <t>100</t>
  </si>
  <si>
    <t>1600</t>
  </si>
  <si>
    <t>5909,3370</t>
  </si>
  <si>
    <t>Семенов Роман</t>
  </si>
  <si>
    <t>Open (12.11.1979)/36</t>
  </si>
  <si>
    <t>2300</t>
  </si>
  <si>
    <t>8188,9430</t>
  </si>
  <si>
    <t>Чахоткин Сергей</t>
  </si>
  <si>
    <t>Open (13.07.1982)/33</t>
  </si>
  <si>
    <t>25</t>
  </si>
  <si>
    <t>2500</t>
  </si>
  <si>
    <t>7463,9250</t>
  </si>
  <si>
    <t>Бакеев Адиль</t>
  </si>
  <si>
    <t>Masters 50-54 (27.10.1961)/54</t>
  </si>
  <si>
    <t>8</t>
  </si>
  <si>
    <t>800</t>
  </si>
  <si>
    <t>4339,5600</t>
  </si>
  <si>
    <t>Радченко Игорь</t>
  </si>
  <si>
    <t>Open (01.01.1985)/31</t>
  </si>
  <si>
    <t>2530</t>
  </si>
  <si>
    <t>7557,4125</t>
  </si>
  <si>
    <t>Осокин Дмитрий</t>
  </si>
  <si>
    <t>Open (03.11.1983)/32</t>
  </si>
  <si>
    <t>19</t>
  </si>
  <si>
    <t>2090</t>
  </si>
  <si>
    <t>6700,8375</t>
  </si>
  <si>
    <t>Потехин Кирилл</t>
  </si>
  <si>
    <t>Masters 40-44 (13.08.1971)/44</t>
  </si>
  <si>
    <t>2310</t>
  </si>
  <si>
    <t>7456,8263</t>
  </si>
  <si>
    <t>Кубок России                                                                                                                                                                              Жимовое двоеборье. 
Любители 
г. Суздаль, 17 - 19 июня 2016 г.</t>
  </si>
  <si>
    <t xml:space="preserve">Мешков </t>
  </si>
  <si>
    <t>Open (07.12.1982)/33</t>
  </si>
  <si>
    <t>77,6</t>
  </si>
  <si>
    <t>99,0</t>
  </si>
  <si>
    <t>98,8</t>
  </si>
  <si>
    <t>99,7</t>
  </si>
  <si>
    <t>94,5</t>
  </si>
  <si>
    <t>102,4</t>
  </si>
  <si>
    <t>100,2</t>
  </si>
  <si>
    <t>763,1008</t>
  </si>
  <si>
    <t>665,0</t>
  </si>
  <si>
    <t>Teen 14-17 (31.05.1999)/17</t>
  </si>
  <si>
    <t>2559,9000</t>
  </si>
  <si>
    <t xml:space="preserve">Санкт-Петербург </t>
  </si>
  <si>
    <t>4171,2620</t>
  </si>
  <si>
    <t>1000</t>
  </si>
  <si>
    <t>3185,5200</t>
  </si>
  <si>
    <t>Open (27.10.1961)/54</t>
  </si>
  <si>
    <t>750</t>
  </si>
  <si>
    <t>2899,2750</t>
  </si>
  <si>
    <t>4792,2600</t>
  </si>
  <si>
    <t>57,4</t>
  </si>
  <si>
    <t>Змеенков Андрей</t>
  </si>
  <si>
    <t>Open (05.08.1974)/41</t>
  </si>
  <si>
    <t>8413.0200</t>
  </si>
  <si>
    <t>63</t>
  </si>
  <si>
    <t>6300,0</t>
  </si>
  <si>
    <t>6600,7650</t>
  </si>
  <si>
    <t>Краснов Илья</t>
  </si>
  <si>
    <t>Open (29.09.1975)/40</t>
  </si>
  <si>
    <t>37</t>
  </si>
  <si>
    <t>9207,8125</t>
  </si>
  <si>
    <t>6205,5000</t>
  </si>
  <si>
    <t>Masters 40-44 (29.09.1975)/40</t>
  </si>
  <si>
    <t>Барягин Леонид</t>
  </si>
  <si>
    <t>Open (23.08.1961)/54</t>
  </si>
  <si>
    <t xml:space="preserve">сборная СССР </t>
  </si>
  <si>
    <t>5902,1235</t>
  </si>
  <si>
    <t xml:space="preserve">Каштанов С. </t>
  </si>
  <si>
    <t>121,6</t>
  </si>
  <si>
    <t xml:space="preserve">Саргсян </t>
  </si>
  <si>
    <t>Свеженцев Андрей</t>
  </si>
  <si>
    <t>Open (08.10.1979)/36</t>
  </si>
  <si>
    <t>101,2</t>
  </si>
  <si>
    <t>Рек.</t>
  </si>
  <si>
    <t>АБСОЛЮТНЫЙ ЗАЧЕТ</t>
  </si>
  <si>
    <t>Open (31.05.1997)/17</t>
  </si>
  <si>
    <t xml:space="preserve">Open (17.11.1974)/41 </t>
  </si>
  <si>
    <t>Богородицк Стронг</t>
  </si>
  <si>
    <t>Богородицк/Тульская область</t>
  </si>
  <si>
    <t>142,7</t>
  </si>
  <si>
    <t>Кубок России IPL                                                                                                                                               Присед без экипировки ДК
г. Суздаль, 17 - 19 июня 2016 г.</t>
  </si>
  <si>
    <t>Кубок России IPL                                                                                                                          Присед в однослойной экипировке ДК
г. Суздаль, 17 - 19 июня 2016 г.</t>
  </si>
  <si>
    <t>Кубок России IPL                                                                                                                                  Присед в однослойной экипировке 
г. Суздаль, 17 - 19 июня 2016 г.</t>
  </si>
  <si>
    <t>Кубок России IPL                                                                                                                                                Жим лежа в однослойной экипировке
г. Суздаль, 17 - 19 июня 2016 г.</t>
  </si>
  <si>
    <t>Бурнашов В., Длужневский С.</t>
  </si>
  <si>
    <t>Кубок России IPL                                                                                                                                                 Жим лежа без экипировки ДК
г. Суздаль, 17 - 19 июня 2016 г.</t>
  </si>
  <si>
    <t>Кубок России IPL                                                                                                                                                  Жим лежа без экипировки 
г. Суздаль, 17 - 19 июня 2016 г.</t>
  </si>
  <si>
    <t xml:space="preserve"> </t>
  </si>
  <si>
    <t>Кубок России IPL                                                                                                                                       Жим лежа в SOFT экипировке ДК
г. Суздаль, 17 - 19 июня 2016 г.</t>
  </si>
  <si>
    <t>Кубок России IPL                                                                                                                                             Жим лежа в SOFT экипировке 
г. Суздаль, 17 - 19 июня 2016 г.</t>
  </si>
  <si>
    <t>Кубок России IPL                                                                                                                                             Становая тяга в экипировке 
г. Суздаль, 17 - 19 июня 2016 г.</t>
  </si>
  <si>
    <t>Кубок России IPL                                                                                                                                                   Становая тяга без экипировки ДК
г. Суздаль, 17 - 19 июня 2016 г.</t>
  </si>
  <si>
    <t>Кубок России IPL                                                                                                                                                   Становая тяга без экипировки 
г. Суздаль, 17 - 19 июня 2016 г.</t>
  </si>
  <si>
    <t>Кубок России IPL                                                                                                                                                                         Пауэрлифтинг без экипировки
г. Суздаль, 17 - 19 июня 2016 г.</t>
  </si>
  <si>
    <t xml:space="preserve">   </t>
  </si>
  <si>
    <t>Кубок России IPL                                                                                                                                                                                               Пауэрлифтинг в однослойной экипировке
г. Суздаль, 17 - 19 июня 2016 г.</t>
  </si>
  <si>
    <t>Смирнов О., Длужневский С.</t>
  </si>
  <si>
    <t>Кубок России IPL                                                                                                                                                Силовое двоеборье в экипировке 
г. Суздаль, 17 - 19 июня 2016 г.</t>
  </si>
  <si>
    <t>Кубок России IPL                                                                                                                                                          Силовое двоеборье без экипировки ДК
г. Суздаль, 17 - 19 июня 2016 г.</t>
  </si>
  <si>
    <t xml:space="preserve">  </t>
  </si>
  <si>
    <t>Кубок России IPL                                                                                                                                                           Силовое двоеборье без экипировки 
г. Суздаль, 17 - 19 июня 2016 г.</t>
  </si>
  <si>
    <t>Кубок России                                                                                                                                                                 Пауэрспорт ДК
г. Суздаль, 17 - 19 июня 2016 г.</t>
  </si>
  <si>
    <t>Кубок России                                                                                                                                                          Пауэрспорт 
г. Суздаль, 17 - 19 июня 2016 г.</t>
  </si>
  <si>
    <t>Всероссийский мастерский турнир                                                                                                   Excalibur
г. Суздаль, 17 - 19 июня 2016 г.</t>
  </si>
  <si>
    <t>Иванов С., Корнилов Д.</t>
  </si>
  <si>
    <t>Кубок России                                                                                                                                                    Жим на максимум/Любители ДК 
г. Суздаль, 17 - 19 июня 2016 г.</t>
  </si>
  <si>
    <t>Кубок России                                                                                                                                                                                                                  Жимовое двоеборье 
Любители ДК
г. Суздаль, 17 - 19 июня 2016 г.</t>
  </si>
  <si>
    <t>Кубок России                                                                                                                         Многоповторный жим/Любители ДК
г. Суздаль, 17 - 19 июня 2016 г.</t>
  </si>
  <si>
    <t>Кубок России                                                                                                                                                  Жим на максимум/Любители 
г. Суздаль, 17 - 19 июня 2016 г.</t>
  </si>
  <si>
    <t>Кубок России                                                                                                                         Многоповторный жим/Любители 
г. Суздаль, 17 - 19 июня 2016 г.</t>
  </si>
  <si>
    <t>Кубок России                                                                                                                                                                                                    Жимовое двоеборье/Армейский жим
г. Суздаль, 17 - 19 июня 2016 г.</t>
  </si>
  <si>
    <t>Кубок России                                                                                                                         Многоповторный жим/Армейский жим
г. Суздаль, 17 - 19 июня 2016 г.</t>
  </si>
  <si>
    <t>Кубок России                                                                                                                                            Софт экипировка/Многоповторный жим
г. Суздаль, 17 - 19 июня 2016 г.</t>
  </si>
  <si>
    <t>Кубок России                                                                                                                                                                                     Жимовое двоеборье/Военный жим 
Г. Суздаль, 17 - 19 июня 2016 г.</t>
  </si>
  <si>
    <t>ВЕСОВАЯ КАТЕГОРИЯ   +130</t>
  </si>
  <si>
    <t>Кубок России                                                                                                                                                 Военный жим на максимум
г. Суздаль, 17 - 19 июня 2016 г.</t>
  </si>
  <si>
    <t>Кубок Восточной Европы GPA/IPO                                                                                                                                                                               Парная тяга без экипировки
Москва, 06 - 08 ноября 2015 г.</t>
  </si>
  <si>
    <t>Наумов Михаил</t>
  </si>
  <si>
    <t>Juniors 20-23 (21.04.1993)/23</t>
  </si>
  <si>
    <t>101,4930</t>
  </si>
  <si>
    <t>Жим стоя</t>
  </si>
  <si>
    <t>Подъем на бицепс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</si>
</sst>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_-* #,##0.0_р_._-;\-* #,##0.0_р_._-;_-* &quot;-&quot;??_р_._-;_-@_-"/>
  </numFmts>
  <fonts count="50">
    <font>
      <sz val="10"/>
      <name val="Arial Cyr"/>
      <family val="0"/>
    </font>
    <font>
      <sz val="24"/>
      <name val="Arial Cyr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trike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0" fillId="0" borderId="12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6" fillId="0" borderId="11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8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172" fontId="2" fillId="0" borderId="11" xfId="0" applyNumberFormat="1" applyFont="1" applyBorder="1" applyAlignment="1">
      <alignment horizontal="center"/>
    </xf>
    <xf numFmtId="172" fontId="2" fillId="0" borderId="12" xfId="0" applyNumberFormat="1" applyFont="1" applyBorder="1" applyAlignment="1">
      <alignment horizontal="center"/>
    </xf>
    <xf numFmtId="172" fontId="2" fillId="0" borderId="14" xfId="0" applyNumberFormat="1" applyFont="1" applyBorder="1" applyAlignment="1">
      <alignment horizontal="center"/>
    </xf>
    <xf numFmtId="172" fontId="0" fillId="0" borderId="0" xfId="0" applyNumberFormat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47" fillId="0" borderId="11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172" fontId="2" fillId="0" borderId="13" xfId="0" applyNumberFormat="1" applyFont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47" fillId="0" borderId="12" xfId="0" applyNumberFormat="1" applyFont="1" applyBorder="1" applyAlignment="1">
      <alignment horizontal="center"/>
    </xf>
    <xf numFmtId="49" fontId="47" fillId="0" borderId="13" xfId="0" applyNumberFormat="1" applyFont="1" applyBorder="1" applyAlignment="1">
      <alignment horizontal="center"/>
    </xf>
    <xf numFmtId="49" fontId="47" fillId="0" borderId="14" xfId="0" applyNumberFormat="1" applyFont="1" applyBorder="1" applyAlignment="1">
      <alignment horizontal="center"/>
    </xf>
    <xf numFmtId="49" fontId="48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49" fillId="0" borderId="11" xfId="0" applyNumberFormat="1" applyFont="1" applyBorder="1" applyAlignment="1">
      <alignment horizontal="center"/>
    </xf>
    <xf numFmtId="49" fontId="49" fillId="33" borderId="14" xfId="0" applyNumberFormat="1" applyFont="1" applyFill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172" fontId="2" fillId="0" borderId="12" xfId="0" applyNumberFormat="1" applyFont="1" applyFill="1" applyBorder="1" applyAlignment="1">
      <alignment horizontal="center"/>
    </xf>
    <xf numFmtId="49" fontId="47" fillId="0" borderId="12" xfId="0" applyNumberFormat="1" applyFont="1" applyFill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 indent="1"/>
    </xf>
    <xf numFmtId="49" fontId="4" fillId="0" borderId="1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47" fillId="0" borderId="14" xfId="0" applyNumberFormat="1" applyFont="1" applyFill="1" applyBorder="1" applyAlignment="1">
      <alignment horizontal="center"/>
    </xf>
    <xf numFmtId="49" fontId="47" fillId="0" borderId="13" xfId="0" applyNumberFormat="1" applyFont="1" applyFill="1" applyBorder="1" applyAlignment="1">
      <alignment horizontal="center"/>
    </xf>
    <xf numFmtId="49" fontId="47" fillId="0" borderId="11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/>
    </xf>
    <xf numFmtId="49" fontId="9" fillId="33" borderId="13" xfId="0" applyNumberFormat="1" applyFont="1" applyFill="1" applyBorder="1" applyAlignment="1">
      <alignment horizontal="center"/>
    </xf>
    <xf numFmtId="49" fontId="9" fillId="33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11" xfId="0" applyBorder="1" applyAlignment="1">
      <alignment horizontal="left"/>
    </xf>
    <xf numFmtId="49" fontId="4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2" fillId="0" borderId="15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2" fontId="2" fillId="0" borderId="15" xfId="0" applyNumberFormat="1" applyFont="1" applyBorder="1" applyAlignment="1">
      <alignment horizontal="center"/>
    </xf>
    <xf numFmtId="172" fontId="2" fillId="0" borderId="16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2" fontId="2" fillId="0" borderId="17" xfId="0" applyNumberFormat="1" applyFont="1" applyBorder="1" applyAlignment="1">
      <alignment horizontal="center"/>
    </xf>
    <xf numFmtId="172" fontId="2" fillId="0" borderId="18" xfId="0" applyNumberFormat="1" applyFont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47" fillId="0" borderId="17" xfId="0" applyNumberFormat="1" applyFont="1" applyBorder="1" applyAlignment="1">
      <alignment horizontal="center"/>
    </xf>
    <xf numFmtId="49" fontId="47" fillId="0" borderId="16" xfId="0" applyNumberFormat="1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172" fontId="2" fillId="0" borderId="2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172" fontId="5" fillId="0" borderId="0" xfId="0" applyNumberFormat="1" applyFont="1" applyAlignment="1">
      <alignment horizontal="center"/>
    </xf>
    <xf numFmtId="172" fontId="0" fillId="0" borderId="11" xfId="0" applyNumberForma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2" fillId="0" borderId="25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82" fontId="2" fillId="33" borderId="11" xfId="58" applyNumberFormat="1" applyFont="1" applyFill="1" applyBorder="1" applyAlignment="1">
      <alignment horizontal="center"/>
    </xf>
    <xf numFmtId="182" fontId="2" fillId="0" borderId="11" xfId="58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9" fillId="0" borderId="0" xfId="0" applyNumberFormat="1" applyFont="1" applyFill="1" applyBorder="1" applyAlignment="1">
      <alignment horizontal="center"/>
    </xf>
    <xf numFmtId="49" fontId="47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Fill="1" applyAlignment="1">
      <alignment horizontal="center"/>
    </xf>
    <xf numFmtId="172" fontId="3" fillId="0" borderId="26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/>
    </xf>
    <xf numFmtId="49" fontId="3" fillId="0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30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43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E1">
      <selection activeCell="G39" sqref="G39"/>
    </sheetView>
  </sheetViews>
  <sheetFormatPr defaultColWidth="8.75390625" defaultRowHeight="12.75"/>
  <cols>
    <col min="1" max="1" width="7.75390625" style="25" customWidth="1"/>
    <col min="2" max="2" width="24.75390625" style="11" bestFit="1" customWidth="1"/>
    <col min="3" max="3" width="27.25390625" style="11" bestFit="1" customWidth="1"/>
    <col min="4" max="4" width="10.125" style="11" bestFit="1" customWidth="1"/>
    <col min="5" max="5" width="8.25390625" style="11" bestFit="1" customWidth="1"/>
    <col min="6" max="6" width="15.25390625" style="11" customWidth="1"/>
    <col min="7" max="7" width="37.75390625" style="11" customWidth="1"/>
    <col min="8" max="10" width="5.625" style="11" bestFit="1" customWidth="1"/>
    <col min="11" max="11" width="5.125" style="11" customWidth="1"/>
    <col min="12" max="18" width="5.625" style="11" bestFit="1" customWidth="1"/>
    <col min="19" max="19" width="4.25390625" style="11" bestFit="1" customWidth="1"/>
    <col min="20" max="20" width="7.75390625" style="35" bestFit="1" customWidth="1"/>
    <col min="21" max="21" width="8.625" style="11" bestFit="1" customWidth="1"/>
    <col min="22" max="22" width="16.625" style="11" customWidth="1"/>
  </cols>
  <sheetData>
    <row r="1" spans="1:22" s="1" customFormat="1" ht="15" customHeight="1">
      <c r="A1" s="24"/>
      <c r="B1" s="150" t="s">
        <v>1429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2"/>
    </row>
    <row r="2" spans="1:22" s="1" customFormat="1" ht="91.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1:2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6" t="s">
        <v>709</v>
      </c>
      <c r="M3" s="146"/>
      <c r="N3" s="146"/>
      <c r="O3" s="146"/>
      <c r="P3" s="146" t="s">
        <v>710</v>
      </c>
      <c r="Q3" s="146"/>
      <c r="R3" s="146"/>
      <c r="S3" s="146"/>
      <c r="T3" s="144" t="s">
        <v>1</v>
      </c>
      <c r="U3" s="146" t="s">
        <v>3</v>
      </c>
      <c r="V3" s="161" t="s">
        <v>2</v>
      </c>
    </row>
    <row r="4" spans="1:2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778</v>
      </c>
      <c r="I4" s="3" t="s">
        <v>779</v>
      </c>
      <c r="J4" s="3" t="s">
        <v>780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145"/>
      <c r="U4" s="147"/>
      <c r="V4" s="162"/>
    </row>
    <row r="5" spans="2:21" ht="15">
      <c r="B5" s="163" t="s">
        <v>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2" ht="12.75">
      <c r="A6" s="25">
        <v>1</v>
      </c>
      <c r="B6" s="15" t="s">
        <v>375</v>
      </c>
      <c r="C6" s="15" t="s">
        <v>376</v>
      </c>
      <c r="D6" s="15" t="s">
        <v>841</v>
      </c>
      <c r="E6" s="15" t="str">
        <f>"0,9249"</f>
        <v>0,9249</v>
      </c>
      <c r="F6" s="15" t="s">
        <v>10</v>
      </c>
      <c r="G6" s="15" t="s">
        <v>377</v>
      </c>
      <c r="H6" s="36" t="s">
        <v>90</v>
      </c>
      <c r="I6" s="36" t="s">
        <v>321</v>
      </c>
      <c r="J6" s="39" t="s">
        <v>322</v>
      </c>
      <c r="K6" s="26"/>
      <c r="L6" s="36" t="s">
        <v>188</v>
      </c>
      <c r="M6" s="39" t="s">
        <v>205</v>
      </c>
      <c r="N6" s="36" t="s">
        <v>205</v>
      </c>
      <c r="O6" s="26"/>
      <c r="P6" s="36" t="s">
        <v>61</v>
      </c>
      <c r="Q6" s="36" t="s">
        <v>109</v>
      </c>
      <c r="R6" s="39" t="s">
        <v>126</v>
      </c>
      <c r="S6" s="26"/>
      <c r="T6" s="32">
        <v>470</v>
      </c>
      <c r="U6" s="27" t="str">
        <f>"434,7030"</f>
        <v>434,7030</v>
      </c>
      <c r="V6" s="15" t="s">
        <v>852</v>
      </c>
    </row>
    <row r="8" spans="2:21" ht="15">
      <c r="B8" s="142" t="s">
        <v>26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2" ht="12.75">
      <c r="A9" s="25">
        <v>1</v>
      </c>
      <c r="B9" s="13" t="s">
        <v>378</v>
      </c>
      <c r="C9" s="13" t="s">
        <v>379</v>
      </c>
      <c r="D9" s="13" t="s">
        <v>842</v>
      </c>
      <c r="E9" s="13" t="str">
        <f>"0,7422"</f>
        <v>0,7422</v>
      </c>
      <c r="F9" s="13" t="s">
        <v>10</v>
      </c>
      <c r="G9" s="13" t="s">
        <v>380</v>
      </c>
      <c r="H9" s="37" t="s">
        <v>11</v>
      </c>
      <c r="I9" s="44" t="s">
        <v>12</v>
      </c>
      <c r="J9" s="37" t="s">
        <v>12</v>
      </c>
      <c r="K9" s="29"/>
      <c r="L9" s="37" t="s">
        <v>179</v>
      </c>
      <c r="M9" s="37" t="s">
        <v>206</v>
      </c>
      <c r="N9" s="37" t="s">
        <v>197</v>
      </c>
      <c r="O9" s="29"/>
      <c r="P9" s="37" t="s">
        <v>108</v>
      </c>
      <c r="Q9" s="37" t="s">
        <v>102</v>
      </c>
      <c r="R9" s="44" t="s">
        <v>280</v>
      </c>
      <c r="S9" s="29"/>
      <c r="T9" s="33">
        <v>452.5</v>
      </c>
      <c r="U9" s="28" t="str">
        <f>"335,8455"</f>
        <v>335,8455</v>
      </c>
      <c r="V9" s="13" t="s">
        <v>728</v>
      </c>
    </row>
    <row r="10" spans="1:22" ht="12.75">
      <c r="A10" s="25">
        <v>1</v>
      </c>
      <c r="B10" s="14" t="s">
        <v>381</v>
      </c>
      <c r="C10" s="14" t="s">
        <v>382</v>
      </c>
      <c r="D10" s="14" t="s">
        <v>843</v>
      </c>
      <c r="E10" s="14" t="str">
        <f>"0,7352"</f>
        <v>0,7352</v>
      </c>
      <c r="F10" s="14" t="s">
        <v>75</v>
      </c>
      <c r="G10" s="14" t="s">
        <v>383</v>
      </c>
      <c r="H10" s="38" t="s">
        <v>54</v>
      </c>
      <c r="I10" s="38" t="s">
        <v>60</v>
      </c>
      <c r="J10" s="38" t="s">
        <v>108</v>
      </c>
      <c r="K10" s="31"/>
      <c r="L10" s="38" t="s">
        <v>179</v>
      </c>
      <c r="M10" s="38" t="s">
        <v>219</v>
      </c>
      <c r="N10" s="46" t="s">
        <v>213</v>
      </c>
      <c r="O10" s="31"/>
      <c r="P10" s="38" t="s">
        <v>86</v>
      </c>
      <c r="Q10" s="38" t="s">
        <v>66</v>
      </c>
      <c r="R10" s="46" t="s">
        <v>335</v>
      </c>
      <c r="S10" s="31"/>
      <c r="T10" s="34">
        <v>505</v>
      </c>
      <c r="U10" s="30" t="str">
        <f>"371,2760"</f>
        <v>371,2760</v>
      </c>
      <c r="V10" s="14" t="s">
        <v>853</v>
      </c>
    </row>
    <row r="12" spans="2:21" ht="15">
      <c r="B12" s="142" t="s">
        <v>7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1:22" ht="12.75">
      <c r="A13" s="25">
        <v>1</v>
      </c>
      <c r="B13" s="13" t="s">
        <v>384</v>
      </c>
      <c r="C13" s="13" t="s">
        <v>385</v>
      </c>
      <c r="D13" s="13" t="s">
        <v>691</v>
      </c>
      <c r="E13" s="13" t="str">
        <f>"0,6754"</f>
        <v>0,6754</v>
      </c>
      <c r="F13" s="13" t="s">
        <v>10</v>
      </c>
      <c r="G13" s="13" t="s">
        <v>696</v>
      </c>
      <c r="H13" s="37" t="s">
        <v>356</v>
      </c>
      <c r="I13" s="37" t="s">
        <v>386</v>
      </c>
      <c r="J13" s="37" t="s">
        <v>387</v>
      </c>
      <c r="K13" s="29"/>
      <c r="L13" s="37" t="s">
        <v>60</v>
      </c>
      <c r="M13" s="37" t="s">
        <v>321</v>
      </c>
      <c r="N13" s="44" t="s">
        <v>322</v>
      </c>
      <c r="O13" s="29"/>
      <c r="P13" s="37" t="s">
        <v>332</v>
      </c>
      <c r="Q13" s="44" t="s">
        <v>388</v>
      </c>
      <c r="R13" s="44" t="s">
        <v>388</v>
      </c>
      <c r="S13" s="29"/>
      <c r="T13" s="33">
        <v>822.5</v>
      </c>
      <c r="U13" s="28" t="str">
        <f>"555,5165"</f>
        <v>555,5165</v>
      </c>
      <c r="V13" s="13" t="s">
        <v>701</v>
      </c>
    </row>
    <row r="14" spans="1:22" ht="12.75">
      <c r="A14" s="25">
        <v>2</v>
      </c>
      <c r="B14" s="17" t="s">
        <v>389</v>
      </c>
      <c r="C14" s="17" t="s">
        <v>390</v>
      </c>
      <c r="D14" s="17" t="s">
        <v>844</v>
      </c>
      <c r="E14" s="17" t="str">
        <f>"0,6749"</f>
        <v>0,6749</v>
      </c>
      <c r="F14" s="17" t="s">
        <v>10</v>
      </c>
      <c r="G14" s="17" t="s">
        <v>851</v>
      </c>
      <c r="H14" s="43" t="s">
        <v>391</v>
      </c>
      <c r="I14" s="43" t="s">
        <v>340</v>
      </c>
      <c r="J14" s="43" t="s">
        <v>349</v>
      </c>
      <c r="K14" s="41"/>
      <c r="L14" s="43" t="s">
        <v>210</v>
      </c>
      <c r="M14" s="43" t="s">
        <v>242</v>
      </c>
      <c r="N14" s="45" t="s">
        <v>285</v>
      </c>
      <c r="O14" s="41"/>
      <c r="P14" s="43" t="s">
        <v>392</v>
      </c>
      <c r="Q14" s="43" t="s">
        <v>338</v>
      </c>
      <c r="R14" s="45" t="s">
        <v>351</v>
      </c>
      <c r="S14" s="41"/>
      <c r="T14" s="42">
        <v>682.5</v>
      </c>
      <c r="U14" s="40" t="str">
        <f>"460,6192"</f>
        <v>460,6192</v>
      </c>
      <c r="V14" s="17" t="s">
        <v>854</v>
      </c>
    </row>
    <row r="15" spans="1:22" ht="12.75">
      <c r="A15" s="25">
        <v>3</v>
      </c>
      <c r="B15" s="14" t="s">
        <v>393</v>
      </c>
      <c r="C15" s="14" t="s">
        <v>394</v>
      </c>
      <c r="D15" s="14" t="s">
        <v>844</v>
      </c>
      <c r="E15" s="14" t="str">
        <f>"0,6749"</f>
        <v>0,6749</v>
      </c>
      <c r="F15" s="14" t="s">
        <v>10</v>
      </c>
      <c r="G15" s="14" t="s">
        <v>380</v>
      </c>
      <c r="H15" s="38" t="s">
        <v>364</v>
      </c>
      <c r="I15" s="46" t="s">
        <v>315</v>
      </c>
      <c r="J15" s="46" t="s">
        <v>315</v>
      </c>
      <c r="K15" s="31"/>
      <c r="L15" s="38" t="s">
        <v>49</v>
      </c>
      <c r="M15" s="46" t="s">
        <v>242</v>
      </c>
      <c r="N15" s="46" t="s">
        <v>242</v>
      </c>
      <c r="O15" s="31"/>
      <c r="P15" s="38" t="s">
        <v>335</v>
      </c>
      <c r="Q15" s="38" t="s">
        <v>116</v>
      </c>
      <c r="R15" s="46" t="s">
        <v>364</v>
      </c>
      <c r="S15" s="31"/>
      <c r="T15" s="34">
        <v>625</v>
      </c>
      <c r="U15" s="30" t="str">
        <f>"421,8125"</f>
        <v>421,8125</v>
      </c>
      <c r="V15" s="14" t="s">
        <v>13</v>
      </c>
    </row>
    <row r="17" spans="2:21" ht="15">
      <c r="B17" s="142" t="s">
        <v>56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</row>
    <row r="18" spans="1:22" ht="12.75">
      <c r="A18" s="25">
        <v>1</v>
      </c>
      <c r="B18" s="15" t="s">
        <v>395</v>
      </c>
      <c r="C18" s="15" t="s">
        <v>396</v>
      </c>
      <c r="D18" s="15" t="s">
        <v>767</v>
      </c>
      <c r="E18" s="15" t="str">
        <f>"0,6088"</f>
        <v>0,6088</v>
      </c>
      <c r="F18" s="15" t="s">
        <v>10</v>
      </c>
      <c r="G18" s="15" t="s">
        <v>209</v>
      </c>
      <c r="H18" s="36" t="s">
        <v>108</v>
      </c>
      <c r="I18" s="36" t="s">
        <v>102</v>
      </c>
      <c r="J18" s="36" t="s">
        <v>86</v>
      </c>
      <c r="K18" s="26"/>
      <c r="L18" s="36" t="s">
        <v>25</v>
      </c>
      <c r="M18" s="36" t="s">
        <v>12</v>
      </c>
      <c r="N18" s="39" t="s">
        <v>200</v>
      </c>
      <c r="O18" s="26"/>
      <c r="P18" s="36" t="s">
        <v>364</v>
      </c>
      <c r="Q18" s="36" t="s">
        <v>315</v>
      </c>
      <c r="R18" s="39" t="s">
        <v>316</v>
      </c>
      <c r="S18" s="26"/>
      <c r="T18" s="32">
        <v>610</v>
      </c>
      <c r="U18" s="27" t="str">
        <f>"371,3680"</f>
        <v>371,3680</v>
      </c>
      <c r="V18" s="15" t="s">
        <v>13</v>
      </c>
    </row>
    <row r="20" spans="2:21" ht="15">
      <c r="B20" s="142" t="s">
        <v>91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</row>
    <row r="21" spans="1:22" ht="12.75">
      <c r="A21" s="25">
        <v>1</v>
      </c>
      <c r="B21" s="13" t="s">
        <v>397</v>
      </c>
      <c r="C21" s="13" t="s">
        <v>398</v>
      </c>
      <c r="D21" s="13" t="s">
        <v>698</v>
      </c>
      <c r="E21" s="13" t="str">
        <f>"0,5933"</f>
        <v>0,5933</v>
      </c>
      <c r="F21" s="13" t="s">
        <v>10</v>
      </c>
      <c r="G21" s="13" t="s">
        <v>696</v>
      </c>
      <c r="H21" s="44" t="s">
        <v>364</v>
      </c>
      <c r="I21" s="37" t="s">
        <v>364</v>
      </c>
      <c r="J21" s="37" t="s">
        <v>349</v>
      </c>
      <c r="K21" s="29"/>
      <c r="L21" s="37" t="s">
        <v>60</v>
      </c>
      <c r="M21" s="37" t="s">
        <v>108</v>
      </c>
      <c r="N21" s="37" t="s">
        <v>125</v>
      </c>
      <c r="O21" s="29"/>
      <c r="P21" s="37" t="s">
        <v>310</v>
      </c>
      <c r="Q21" s="37" t="s">
        <v>332</v>
      </c>
      <c r="R21" s="37" t="s">
        <v>399</v>
      </c>
      <c r="S21" s="29"/>
      <c r="T21" s="33">
        <v>775</v>
      </c>
      <c r="U21" s="28" t="str">
        <f>"459,8075"</f>
        <v>459,8075</v>
      </c>
      <c r="V21" s="13" t="s">
        <v>702</v>
      </c>
    </row>
    <row r="22" spans="1:22" ht="12.75">
      <c r="A22" s="25">
        <v>2</v>
      </c>
      <c r="B22" s="17" t="s">
        <v>400</v>
      </c>
      <c r="C22" s="17" t="s">
        <v>401</v>
      </c>
      <c r="D22" s="17" t="s">
        <v>845</v>
      </c>
      <c r="E22" s="17" t="str">
        <f>"0,5887"</f>
        <v>0,5887</v>
      </c>
      <c r="F22" s="17" t="s">
        <v>10</v>
      </c>
      <c r="G22" s="17" t="s">
        <v>402</v>
      </c>
      <c r="H22" s="43" t="s">
        <v>315</v>
      </c>
      <c r="I22" s="43" t="s">
        <v>309</v>
      </c>
      <c r="J22" s="43" t="s">
        <v>310</v>
      </c>
      <c r="K22" s="41"/>
      <c r="L22" s="43" t="s">
        <v>60</v>
      </c>
      <c r="M22" s="43" t="s">
        <v>108</v>
      </c>
      <c r="N22" s="43" t="s">
        <v>61</v>
      </c>
      <c r="O22" s="41"/>
      <c r="P22" s="43" t="s">
        <v>315</v>
      </c>
      <c r="Q22" s="45" t="s">
        <v>309</v>
      </c>
      <c r="R22" s="45" t="s">
        <v>309</v>
      </c>
      <c r="S22" s="41"/>
      <c r="T22" s="42">
        <v>735</v>
      </c>
      <c r="U22" s="40" t="str">
        <f>"432,6945"</f>
        <v>432,6945</v>
      </c>
      <c r="V22" s="17" t="s">
        <v>715</v>
      </c>
    </row>
    <row r="23" spans="1:22" ht="12.75">
      <c r="A23" s="25">
        <v>3</v>
      </c>
      <c r="B23" s="17" t="s">
        <v>403</v>
      </c>
      <c r="C23" s="17" t="s">
        <v>404</v>
      </c>
      <c r="D23" s="17" t="s">
        <v>846</v>
      </c>
      <c r="E23" s="17" t="str">
        <f>"0,5905"</f>
        <v>0,5905</v>
      </c>
      <c r="F23" s="17" t="s">
        <v>159</v>
      </c>
      <c r="G23" s="17" t="s">
        <v>135</v>
      </c>
      <c r="H23" s="43" t="s">
        <v>335</v>
      </c>
      <c r="I23" s="43" t="s">
        <v>116</v>
      </c>
      <c r="J23" s="43" t="s">
        <v>364</v>
      </c>
      <c r="K23" s="41"/>
      <c r="L23" s="43" t="s">
        <v>60</v>
      </c>
      <c r="M23" s="43" t="s">
        <v>108</v>
      </c>
      <c r="N23" s="43" t="s">
        <v>125</v>
      </c>
      <c r="O23" s="45" t="s">
        <v>102</v>
      </c>
      <c r="P23" s="43" t="s">
        <v>349</v>
      </c>
      <c r="Q23" s="45" t="s">
        <v>338</v>
      </c>
      <c r="R23" s="41"/>
      <c r="S23" s="41"/>
      <c r="T23" s="42">
        <v>702.5</v>
      </c>
      <c r="U23" s="40" t="str">
        <f>"414,8262"</f>
        <v>414,8262</v>
      </c>
      <c r="V23" s="17" t="s">
        <v>814</v>
      </c>
    </row>
    <row r="24" spans="1:22" ht="12.75">
      <c r="A24" s="25">
        <v>4</v>
      </c>
      <c r="B24" s="17" t="s">
        <v>405</v>
      </c>
      <c r="C24" s="17" t="s">
        <v>406</v>
      </c>
      <c r="D24" s="17" t="s">
        <v>847</v>
      </c>
      <c r="E24" s="17" t="str">
        <f>"0,5923"</f>
        <v>0,5923</v>
      </c>
      <c r="F24" s="17" t="s">
        <v>10</v>
      </c>
      <c r="G24" s="17" t="s">
        <v>24</v>
      </c>
      <c r="H24" s="43" t="s">
        <v>116</v>
      </c>
      <c r="I24" s="43" t="s">
        <v>364</v>
      </c>
      <c r="J24" s="43" t="s">
        <v>315</v>
      </c>
      <c r="K24" s="41"/>
      <c r="L24" s="43" t="s">
        <v>54</v>
      </c>
      <c r="M24" s="45" t="s">
        <v>226</v>
      </c>
      <c r="N24" s="43" t="s">
        <v>55</v>
      </c>
      <c r="O24" s="41"/>
      <c r="P24" s="43" t="s">
        <v>391</v>
      </c>
      <c r="Q24" s="45" t="s">
        <v>340</v>
      </c>
      <c r="R24" s="43" t="s">
        <v>349</v>
      </c>
      <c r="S24" s="41"/>
      <c r="T24" s="42">
        <v>700</v>
      </c>
      <c r="U24" s="40" t="str">
        <f>"414,6100"</f>
        <v>414,6100</v>
      </c>
      <c r="V24" s="17" t="s">
        <v>855</v>
      </c>
    </row>
    <row r="25" spans="1:22" ht="12.75">
      <c r="A25" s="25">
        <v>5</v>
      </c>
      <c r="B25" s="17" t="s">
        <v>407</v>
      </c>
      <c r="C25" s="17" t="s">
        <v>408</v>
      </c>
      <c r="D25" s="17" t="s">
        <v>181</v>
      </c>
      <c r="E25" s="17" t="str">
        <f>"0,5910"</f>
        <v>0,5910</v>
      </c>
      <c r="F25" s="17" t="s">
        <v>10</v>
      </c>
      <c r="G25" s="17" t="s">
        <v>409</v>
      </c>
      <c r="H25" s="43" t="s">
        <v>132</v>
      </c>
      <c r="I25" s="45" t="s">
        <v>335</v>
      </c>
      <c r="J25" s="45" t="s">
        <v>335</v>
      </c>
      <c r="K25" s="41"/>
      <c r="L25" s="43" t="s">
        <v>226</v>
      </c>
      <c r="M25" s="43" t="s">
        <v>90</v>
      </c>
      <c r="N25" s="43" t="s">
        <v>55</v>
      </c>
      <c r="O25" s="41"/>
      <c r="P25" s="43" t="s">
        <v>364</v>
      </c>
      <c r="Q25" s="43" t="s">
        <v>315</v>
      </c>
      <c r="R25" s="45" t="s">
        <v>349</v>
      </c>
      <c r="S25" s="41"/>
      <c r="T25" s="42">
        <v>655</v>
      </c>
      <c r="U25" s="40" t="str">
        <f>"387,1050"</f>
        <v>387,1050</v>
      </c>
      <c r="V25" s="17" t="s">
        <v>13</v>
      </c>
    </row>
    <row r="26" spans="1:22" ht="12.75">
      <c r="A26" s="25">
        <v>6</v>
      </c>
      <c r="B26" s="17" t="s">
        <v>410</v>
      </c>
      <c r="C26" s="17" t="s">
        <v>411</v>
      </c>
      <c r="D26" s="17" t="s">
        <v>848</v>
      </c>
      <c r="E26" s="17" t="str">
        <f>"0,5948"</f>
        <v>0,5948</v>
      </c>
      <c r="F26" s="17" t="s">
        <v>10</v>
      </c>
      <c r="G26" s="17" t="s">
        <v>24</v>
      </c>
      <c r="H26" s="43" t="s">
        <v>66</v>
      </c>
      <c r="I26" s="45" t="s">
        <v>104</v>
      </c>
      <c r="J26" s="43" t="s">
        <v>104</v>
      </c>
      <c r="K26" s="41"/>
      <c r="L26" s="43" t="s">
        <v>60</v>
      </c>
      <c r="M26" s="45" t="s">
        <v>321</v>
      </c>
      <c r="N26" s="43" t="s">
        <v>61</v>
      </c>
      <c r="O26" s="41"/>
      <c r="P26" s="43" t="s">
        <v>132</v>
      </c>
      <c r="Q26" s="43" t="s">
        <v>335</v>
      </c>
      <c r="R26" s="45" t="s">
        <v>116</v>
      </c>
      <c r="S26" s="41"/>
      <c r="T26" s="42">
        <v>630</v>
      </c>
      <c r="U26" s="40" t="str">
        <f>"374,7240"</f>
        <v>374,7240</v>
      </c>
      <c r="V26" s="17" t="s">
        <v>13</v>
      </c>
    </row>
    <row r="27" spans="1:22" ht="12.75">
      <c r="A27" s="25">
        <v>7</v>
      </c>
      <c r="B27" s="17" t="s">
        <v>412</v>
      </c>
      <c r="C27" s="17" t="s">
        <v>413</v>
      </c>
      <c r="D27" s="17" t="s">
        <v>849</v>
      </c>
      <c r="E27" s="17" t="str">
        <f>"0,5984"</f>
        <v>0,5984</v>
      </c>
      <c r="F27" s="17" t="s">
        <v>10</v>
      </c>
      <c r="G27" s="17" t="s">
        <v>414</v>
      </c>
      <c r="H27" s="43" t="s">
        <v>86</v>
      </c>
      <c r="I27" s="43" t="s">
        <v>66</v>
      </c>
      <c r="J27" s="43" t="s">
        <v>95</v>
      </c>
      <c r="K27" s="41"/>
      <c r="L27" s="43" t="s">
        <v>12</v>
      </c>
      <c r="M27" s="43" t="s">
        <v>253</v>
      </c>
      <c r="N27" s="43" t="s">
        <v>268</v>
      </c>
      <c r="O27" s="41"/>
      <c r="P27" s="43" t="s">
        <v>86</v>
      </c>
      <c r="Q27" s="43" t="s">
        <v>94</v>
      </c>
      <c r="R27" s="43" t="s">
        <v>95</v>
      </c>
      <c r="S27" s="41"/>
      <c r="T27" s="42">
        <v>607.5</v>
      </c>
      <c r="U27" s="40" t="str">
        <f>"363,5280"</f>
        <v>363,5280</v>
      </c>
      <c r="V27" s="17" t="s">
        <v>13</v>
      </c>
    </row>
    <row r="28" spans="1:22" ht="12.75">
      <c r="A28" s="25">
        <v>1</v>
      </c>
      <c r="B28" s="17" t="s">
        <v>403</v>
      </c>
      <c r="C28" s="17" t="s">
        <v>415</v>
      </c>
      <c r="D28" s="17" t="s">
        <v>846</v>
      </c>
      <c r="E28" s="17" t="str">
        <f>"0,5905"</f>
        <v>0,5905</v>
      </c>
      <c r="F28" s="17" t="s">
        <v>159</v>
      </c>
      <c r="G28" s="17" t="s">
        <v>135</v>
      </c>
      <c r="H28" s="43" t="s">
        <v>335</v>
      </c>
      <c r="I28" s="43" t="s">
        <v>116</v>
      </c>
      <c r="J28" s="43" t="s">
        <v>364</v>
      </c>
      <c r="K28" s="41"/>
      <c r="L28" s="43" t="s">
        <v>60</v>
      </c>
      <c r="M28" s="43" t="s">
        <v>108</v>
      </c>
      <c r="N28" s="43" t="s">
        <v>125</v>
      </c>
      <c r="O28" s="45" t="s">
        <v>102</v>
      </c>
      <c r="P28" s="43" t="s">
        <v>349</v>
      </c>
      <c r="Q28" s="45" t="s">
        <v>338</v>
      </c>
      <c r="R28" s="41"/>
      <c r="S28" s="41"/>
      <c r="T28" s="42">
        <v>702.5</v>
      </c>
      <c r="U28" s="40" t="str">
        <f>"433,0786"</f>
        <v>433,0786</v>
      </c>
      <c r="V28" s="17" t="s">
        <v>814</v>
      </c>
    </row>
    <row r="29" spans="1:22" ht="12.75">
      <c r="A29" s="25">
        <v>2</v>
      </c>
      <c r="B29" s="14" t="s">
        <v>412</v>
      </c>
      <c r="C29" s="14" t="s">
        <v>416</v>
      </c>
      <c r="D29" s="14" t="s">
        <v>849</v>
      </c>
      <c r="E29" s="14" t="str">
        <f>"0,5984"</f>
        <v>0,5984</v>
      </c>
      <c r="F29" s="14" t="s">
        <v>10</v>
      </c>
      <c r="G29" s="14" t="s">
        <v>414</v>
      </c>
      <c r="H29" s="38" t="s">
        <v>86</v>
      </c>
      <c r="I29" s="38" t="s">
        <v>66</v>
      </c>
      <c r="J29" s="38" t="s">
        <v>95</v>
      </c>
      <c r="K29" s="31"/>
      <c r="L29" s="38" t="s">
        <v>12</v>
      </c>
      <c r="M29" s="38" t="s">
        <v>253</v>
      </c>
      <c r="N29" s="38" t="s">
        <v>268</v>
      </c>
      <c r="O29" s="31"/>
      <c r="P29" s="38" t="s">
        <v>86</v>
      </c>
      <c r="Q29" s="38" t="s">
        <v>94</v>
      </c>
      <c r="R29" s="38" t="s">
        <v>95</v>
      </c>
      <c r="S29" s="31"/>
      <c r="T29" s="34">
        <v>607.5</v>
      </c>
      <c r="U29" s="30" t="str">
        <f>"363,5280"</f>
        <v>363,5280</v>
      </c>
      <c r="V29" s="14" t="s">
        <v>13</v>
      </c>
    </row>
    <row r="31" spans="2:21" ht="15">
      <c r="B31" s="143" t="s">
        <v>112</v>
      </c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</row>
    <row r="32" spans="1:22" ht="12.75">
      <c r="A32" s="25">
        <v>1</v>
      </c>
      <c r="B32" s="59" t="s">
        <v>417</v>
      </c>
      <c r="C32" s="59" t="s">
        <v>418</v>
      </c>
      <c r="D32" s="59" t="s">
        <v>699</v>
      </c>
      <c r="E32" s="59" t="str">
        <f>"0,5843"</f>
        <v>0,5843</v>
      </c>
      <c r="F32" s="59" t="s">
        <v>10</v>
      </c>
      <c r="G32" s="59" t="s">
        <v>209</v>
      </c>
      <c r="H32" s="37" t="s">
        <v>116</v>
      </c>
      <c r="I32" s="37" t="s">
        <v>364</v>
      </c>
      <c r="J32" s="37" t="s">
        <v>315</v>
      </c>
      <c r="K32" s="60"/>
      <c r="L32" s="37" t="s">
        <v>102</v>
      </c>
      <c r="M32" s="62" t="s">
        <v>86</v>
      </c>
      <c r="N32" s="62" t="s">
        <v>86</v>
      </c>
      <c r="O32" s="60"/>
      <c r="P32" s="37" t="s">
        <v>315</v>
      </c>
      <c r="Q32" s="62" t="s">
        <v>309</v>
      </c>
      <c r="R32" s="37" t="s">
        <v>357</v>
      </c>
      <c r="S32" s="60"/>
      <c r="T32" s="61">
        <v>735</v>
      </c>
      <c r="U32" s="56" t="str">
        <f>"429,4605"</f>
        <v>429,4605</v>
      </c>
      <c r="V32" s="13" t="s">
        <v>13</v>
      </c>
    </row>
    <row r="33" spans="1:22" ht="12.75">
      <c r="A33" s="25">
        <v>2</v>
      </c>
      <c r="B33" s="14" t="s">
        <v>120</v>
      </c>
      <c r="C33" s="14" t="s">
        <v>121</v>
      </c>
      <c r="D33" s="14" t="s">
        <v>850</v>
      </c>
      <c r="E33" s="14" t="str">
        <f>"0,5883"</f>
        <v>0,5883</v>
      </c>
      <c r="F33" s="14" t="s">
        <v>10</v>
      </c>
      <c r="G33" s="14" t="s">
        <v>122</v>
      </c>
      <c r="H33" s="38" t="s">
        <v>66</v>
      </c>
      <c r="I33" s="46" t="s">
        <v>335</v>
      </c>
      <c r="J33" s="38" t="s">
        <v>335</v>
      </c>
      <c r="K33" s="31"/>
      <c r="L33" s="38" t="s">
        <v>108</v>
      </c>
      <c r="M33" s="38" t="s">
        <v>102</v>
      </c>
      <c r="N33" s="38" t="s">
        <v>86</v>
      </c>
      <c r="O33" s="31"/>
      <c r="P33" s="38" t="s">
        <v>86</v>
      </c>
      <c r="Q33" s="38" t="s">
        <v>132</v>
      </c>
      <c r="R33" s="38" t="s">
        <v>116</v>
      </c>
      <c r="S33" s="31"/>
      <c r="T33" s="34">
        <v>670</v>
      </c>
      <c r="U33" s="30" t="str">
        <f>"394,1610"</f>
        <v>394,1610</v>
      </c>
      <c r="V33" s="14" t="s">
        <v>715</v>
      </c>
    </row>
    <row r="35" spans="2:3" ht="18">
      <c r="B35" s="12" t="s">
        <v>137</v>
      </c>
      <c r="C35" s="12"/>
    </row>
    <row r="37" spans="2:3" ht="14.25">
      <c r="B37" s="20"/>
      <c r="C37" s="21" t="s">
        <v>1423</v>
      </c>
    </row>
    <row r="38" spans="2:6" ht="15">
      <c r="B38" s="22" t="s">
        <v>139</v>
      </c>
      <c r="C38" s="22" t="s">
        <v>140</v>
      </c>
      <c r="D38" s="22" t="s">
        <v>141</v>
      </c>
      <c r="E38" s="22" t="s">
        <v>142</v>
      </c>
      <c r="F38" s="22" t="s">
        <v>143</v>
      </c>
    </row>
    <row r="39" spans="1:6" ht="12.75">
      <c r="A39" s="25">
        <v>1</v>
      </c>
      <c r="B39" s="19" t="s">
        <v>384</v>
      </c>
      <c r="C39" s="48" t="s">
        <v>138</v>
      </c>
      <c r="D39" s="49" t="s">
        <v>194</v>
      </c>
      <c r="E39" s="49" t="s">
        <v>419</v>
      </c>
      <c r="F39" s="49" t="s">
        <v>420</v>
      </c>
    </row>
    <row r="40" spans="1:6" ht="12.75">
      <c r="A40" s="25">
        <v>2</v>
      </c>
      <c r="B40" s="19" t="s">
        <v>389</v>
      </c>
      <c r="C40" s="48" t="s">
        <v>138</v>
      </c>
      <c r="D40" s="49" t="s">
        <v>744</v>
      </c>
      <c r="E40" s="49" t="s">
        <v>421</v>
      </c>
      <c r="F40" s="49" t="s">
        <v>422</v>
      </c>
    </row>
    <row r="41" spans="1:8" ht="12.75">
      <c r="A41" s="25">
        <v>3</v>
      </c>
      <c r="B41" s="19" t="s">
        <v>397</v>
      </c>
      <c r="C41" s="48" t="s">
        <v>138</v>
      </c>
      <c r="D41" s="49" t="s">
        <v>790</v>
      </c>
      <c r="E41" s="49" t="s">
        <v>423</v>
      </c>
      <c r="F41" s="49" t="s">
        <v>424</v>
      </c>
      <c r="H41" s="11" t="s">
        <v>1430</v>
      </c>
    </row>
  </sheetData>
  <sheetProtection/>
  <mergeCells count="20">
    <mergeCell ref="V3:V4"/>
    <mergeCell ref="B5:U5"/>
    <mergeCell ref="B8:U8"/>
    <mergeCell ref="B12:U12"/>
    <mergeCell ref="P3:S3"/>
    <mergeCell ref="B17:U17"/>
    <mergeCell ref="F3:F4"/>
    <mergeCell ref="G3:G4"/>
    <mergeCell ref="H3:K3"/>
    <mergeCell ref="L3:O3"/>
    <mergeCell ref="B20:U20"/>
    <mergeCell ref="B31:U31"/>
    <mergeCell ref="T3:T4"/>
    <mergeCell ref="U3:U4"/>
    <mergeCell ref="A3:A4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F30" sqref="F30"/>
    </sheetView>
  </sheetViews>
  <sheetFormatPr defaultColWidth="8.75390625" defaultRowHeight="12.75"/>
  <cols>
    <col min="1" max="1" width="7.00390625" style="0" customWidth="1"/>
    <col min="2" max="2" width="17.625" style="11" customWidth="1"/>
    <col min="3" max="3" width="27.25390625" style="11" bestFit="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27.875" style="11" bestFit="1" customWidth="1"/>
    <col min="8" max="8" width="4.625" style="11" bestFit="1" customWidth="1"/>
    <col min="9" max="9" width="4.125" style="11" customWidth="1"/>
    <col min="10" max="10" width="4.375" style="11" customWidth="1"/>
    <col min="11" max="11" width="7.25390625" style="11" customWidth="1"/>
    <col min="12" max="12" width="4.625" style="11" bestFit="1" customWidth="1"/>
    <col min="13" max="13" width="4.25390625" style="11" customWidth="1"/>
    <col min="14" max="14" width="3.625" style="11" customWidth="1"/>
    <col min="15" max="15" width="5.875" style="11" customWidth="1"/>
    <col min="16" max="16" width="7.75390625" style="11" bestFit="1" customWidth="1"/>
    <col min="17" max="17" width="8.625" style="11" bestFit="1" customWidth="1"/>
    <col min="18" max="18" width="12.125" style="11" bestFit="1" customWidth="1"/>
  </cols>
  <sheetData>
    <row r="1" spans="2:18" s="1" customFormat="1" ht="15" customHeight="1">
      <c r="B1" s="150" t="s">
        <v>708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</row>
    <row r="2" spans="2:18" s="1" customFormat="1" ht="98.2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</row>
    <row r="3" spans="1:18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6" t="s">
        <v>710</v>
      </c>
      <c r="M3" s="146"/>
      <c r="N3" s="146"/>
      <c r="O3" s="146"/>
      <c r="P3" s="146" t="s">
        <v>1</v>
      </c>
      <c r="Q3" s="146" t="s">
        <v>3</v>
      </c>
      <c r="R3" s="161" t="s">
        <v>2</v>
      </c>
    </row>
    <row r="4" spans="1:18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147"/>
      <c r="Q4" s="147"/>
      <c r="R4" s="162"/>
    </row>
    <row r="5" spans="2:17" ht="1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8" ht="12.75">
      <c r="A6" s="25">
        <v>1</v>
      </c>
      <c r="B6" s="15" t="s">
        <v>554</v>
      </c>
      <c r="C6" s="15" t="s">
        <v>555</v>
      </c>
      <c r="D6" s="15" t="s">
        <v>679</v>
      </c>
      <c r="E6" s="15" t="str">
        <f>"1,1967"</f>
        <v>1,1967</v>
      </c>
      <c r="F6" s="15" t="s">
        <v>45</v>
      </c>
      <c r="G6" s="15" t="s">
        <v>466</v>
      </c>
      <c r="H6" s="36" t="s">
        <v>18</v>
      </c>
      <c r="I6" s="16"/>
      <c r="J6" s="16"/>
      <c r="K6" s="16"/>
      <c r="L6" s="36" t="s">
        <v>556</v>
      </c>
      <c r="M6" s="16"/>
      <c r="N6" s="16"/>
      <c r="O6" s="16"/>
      <c r="P6" s="27">
        <v>142.5</v>
      </c>
      <c r="Q6" s="27" t="str">
        <f>"170,5297"</f>
        <v>170,5297</v>
      </c>
      <c r="R6" s="15" t="s">
        <v>645</v>
      </c>
    </row>
  </sheetData>
  <sheetProtection/>
  <mergeCells count="14">
    <mergeCell ref="F3:F4"/>
    <mergeCell ref="G3:G4"/>
    <mergeCell ref="H3:K3"/>
    <mergeCell ref="L3:O3"/>
    <mergeCell ref="A3:A4"/>
    <mergeCell ref="P3:P4"/>
    <mergeCell ref="Q3:Q4"/>
    <mergeCell ref="R3:R4"/>
    <mergeCell ref="B5:Q5"/>
    <mergeCell ref="B1:R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3" sqref="A3:N4"/>
    </sheetView>
  </sheetViews>
  <sheetFormatPr defaultColWidth="8.75390625" defaultRowHeight="12.75"/>
  <cols>
    <col min="1" max="1" width="9.125" style="25" customWidth="1"/>
    <col min="2" max="2" width="23.25390625" style="11" customWidth="1"/>
    <col min="3" max="3" width="27.25390625" style="11" bestFit="1" customWidth="1"/>
    <col min="4" max="4" width="10.125" style="11" bestFit="1" customWidth="1"/>
    <col min="5" max="5" width="8.25390625" style="11" bestFit="1" customWidth="1"/>
    <col min="6" max="6" width="13.25390625" style="11" customWidth="1"/>
    <col min="7" max="7" width="28.75390625" style="11" bestFit="1" customWidth="1"/>
    <col min="8" max="10" width="5.625" style="11" bestFit="1" customWidth="1"/>
    <col min="11" max="11" width="4.875" style="11" customWidth="1"/>
    <col min="12" max="12" width="10.625" style="35" customWidth="1"/>
    <col min="13" max="13" width="8.625" style="11" bestFit="1" customWidth="1"/>
    <col min="14" max="14" width="15.00390625" style="11" bestFit="1" customWidth="1"/>
  </cols>
  <sheetData>
    <row r="1" spans="1:14" s="1" customFormat="1" ht="15" customHeight="1">
      <c r="A1" s="24"/>
      <c r="B1" s="150" t="s">
        <v>695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81.7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170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665</v>
      </c>
      <c r="C6" s="15" t="s">
        <v>666</v>
      </c>
      <c r="D6" s="15" t="s">
        <v>697</v>
      </c>
      <c r="E6" s="15" t="str">
        <f>"1,1295"</f>
        <v>1,1295</v>
      </c>
      <c r="F6" s="15" t="s">
        <v>10</v>
      </c>
      <c r="G6" s="15" t="s">
        <v>437</v>
      </c>
      <c r="H6" s="36" t="s">
        <v>40</v>
      </c>
      <c r="I6" s="36" t="s">
        <v>41</v>
      </c>
      <c r="J6" s="36" t="s">
        <v>49</v>
      </c>
      <c r="K6" s="26"/>
      <c r="L6" s="32">
        <v>135</v>
      </c>
      <c r="M6" s="27" t="str">
        <f>"152,4825"</f>
        <v>152,4825</v>
      </c>
      <c r="N6" s="15" t="s">
        <v>700</v>
      </c>
    </row>
    <row r="8" spans="2:13" ht="15">
      <c r="B8" s="142" t="s">
        <v>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384</v>
      </c>
      <c r="C9" s="15" t="s">
        <v>385</v>
      </c>
      <c r="D9" s="15" t="s">
        <v>691</v>
      </c>
      <c r="E9" s="15" t="str">
        <f>"0,6754"</f>
        <v>0,6754</v>
      </c>
      <c r="F9" s="15" t="s">
        <v>10</v>
      </c>
      <c r="G9" s="15" t="s">
        <v>683</v>
      </c>
      <c r="H9" s="36" t="s">
        <v>387</v>
      </c>
      <c r="I9" s="26"/>
      <c r="J9" s="26"/>
      <c r="K9" s="26"/>
      <c r="L9" s="32">
        <v>340</v>
      </c>
      <c r="M9" s="27" t="str">
        <f>"229,6360"</f>
        <v>229,6360</v>
      </c>
      <c r="N9" s="15" t="s">
        <v>701</v>
      </c>
    </row>
    <row r="11" spans="2:13" ht="15">
      <c r="B11" s="142" t="s">
        <v>91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12.75">
      <c r="A12" s="25">
        <v>1</v>
      </c>
      <c r="B12" s="15" t="s">
        <v>397</v>
      </c>
      <c r="C12" s="15" t="s">
        <v>398</v>
      </c>
      <c r="D12" s="15" t="s">
        <v>698</v>
      </c>
      <c r="E12" s="15" t="str">
        <f>"0,5933"</f>
        <v>0,5933</v>
      </c>
      <c r="F12" s="15" t="s">
        <v>10</v>
      </c>
      <c r="G12" s="15" t="s">
        <v>696</v>
      </c>
      <c r="H12" s="36" t="s">
        <v>349</v>
      </c>
      <c r="I12" s="26"/>
      <c r="J12" s="26"/>
      <c r="K12" s="26"/>
      <c r="L12" s="32">
        <v>265</v>
      </c>
      <c r="M12" s="27" t="str">
        <f>"157,2245"</f>
        <v>157,2245</v>
      </c>
      <c r="N12" s="15" t="s">
        <v>702</v>
      </c>
    </row>
    <row r="14" spans="2:13" ht="15">
      <c r="B14" s="142" t="s">
        <v>112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4" ht="12.75">
      <c r="A15" s="25">
        <v>1</v>
      </c>
      <c r="B15" s="15" t="s">
        <v>313</v>
      </c>
      <c r="C15" s="15" t="s">
        <v>314</v>
      </c>
      <c r="D15" s="15" t="s">
        <v>699</v>
      </c>
      <c r="E15" s="15" t="str">
        <f>"0,5843"</f>
        <v>0,5843</v>
      </c>
      <c r="F15" s="15" t="s">
        <v>10</v>
      </c>
      <c r="G15" s="15" t="s">
        <v>279</v>
      </c>
      <c r="H15" s="39" t="s">
        <v>309</v>
      </c>
      <c r="I15" s="36" t="s">
        <v>357</v>
      </c>
      <c r="J15" s="36" t="s">
        <v>339</v>
      </c>
      <c r="K15" s="26"/>
      <c r="L15" s="32">
        <v>295</v>
      </c>
      <c r="M15" s="27" t="str">
        <f>"172,3685"</f>
        <v>172,3685</v>
      </c>
      <c r="N15" s="15" t="s">
        <v>703</v>
      </c>
    </row>
  </sheetData>
  <sheetProtection/>
  <mergeCells count="16">
    <mergeCell ref="B14:M14"/>
    <mergeCell ref="L3:L4"/>
    <mergeCell ref="M3:M4"/>
    <mergeCell ref="N3:N4"/>
    <mergeCell ref="B5:M5"/>
    <mergeCell ref="B8:M8"/>
    <mergeCell ref="B11:M11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F32" sqref="F32"/>
    </sheetView>
  </sheetViews>
  <sheetFormatPr defaultColWidth="8.75390625" defaultRowHeight="12.75"/>
  <cols>
    <col min="1" max="1" width="7.25390625" style="25" customWidth="1"/>
    <col min="2" max="2" width="19.875" style="11" customWidth="1"/>
    <col min="3" max="3" width="27.25390625" style="11" bestFit="1" customWidth="1"/>
    <col min="4" max="4" width="10.125" style="11" bestFit="1" customWidth="1"/>
    <col min="5" max="5" width="8.25390625" style="11" bestFit="1" customWidth="1"/>
    <col min="6" max="6" width="17.75390625" style="11" customWidth="1"/>
    <col min="7" max="7" width="35.75390625" style="11" customWidth="1"/>
    <col min="8" max="8" width="5.625" style="11" bestFit="1" customWidth="1"/>
    <col min="9" max="10" width="4.625" style="11" bestFit="1" customWidth="1"/>
    <col min="11" max="11" width="6.125" style="11" customWidth="1"/>
    <col min="12" max="12" width="12.00390625" style="35" customWidth="1"/>
    <col min="13" max="13" width="8.625" style="11" bestFit="1" customWidth="1"/>
    <col min="14" max="14" width="17.125" style="11" customWidth="1"/>
  </cols>
  <sheetData>
    <row r="1" spans="1:14" s="1" customFormat="1" ht="15" customHeight="1">
      <c r="A1" s="24"/>
      <c r="B1" s="150" t="s">
        <v>1416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93.7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617</v>
      </c>
      <c r="C6" s="15" t="s">
        <v>618</v>
      </c>
      <c r="D6" s="15" t="s">
        <v>690</v>
      </c>
      <c r="E6" s="15" t="str">
        <f>"0,9103"</f>
        <v>0,9103</v>
      </c>
      <c r="F6" s="15" t="s">
        <v>45</v>
      </c>
      <c r="G6" s="15" t="s">
        <v>466</v>
      </c>
      <c r="H6" s="36" t="s">
        <v>18</v>
      </c>
      <c r="I6" s="36" t="s">
        <v>20</v>
      </c>
      <c r="J6" s="36" t="s">
        <v>441</v>
      </c>
      <c r="K6" s="26"/>
      <c r="L6" s="32">
        <v>80</v>
      </c>
      <c r="M6" s="27" t="str">
        <f>"72,8240"</f>
        <v>72,8240</v>
      </c>
      <c r="N6" s="15" t="s">
        <v>694</v>
      </c>
    </row>
    <row r="8" spans="2:13" ht="15">
      <c r="B8" s="142" t="s">
        <v>7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3" t="s">
        <v>464</v>
      </c>
      <c r="C9" s="13" t="s">
        <v>465</v>
      </c>
      <c r="D9" s="13" t="s">
        <v>691</v>
      </c>
      <c r="E9" s="13" t="str">
        <f>"0,6754"</f>
        <v>0,6754</v>
      </c>
      <c r="F9" s="13" t="s">
        <v>45</v>
      </c>
      <c r="G9" s="13" t="s">
        <v>466</v>
      </c>
      <c r="H9" s="37" t="s">
        <v>60</v>
      </c>
      <c r="I9" s="29"/>
      <c r="J9" s="29"/>
      <c r="K9" s="29"/>
      <c r="L9" s="33">
        <v>170</v>
      </c>
      <c r="M9" s="28" t="str">
        <f>"114,8180"</f>
        <v>114,8180</v>
      </c>
      <c r="N9" s="13" t="s">
        <v>13</v>
      </c>
    </row>
    <row r="10" spans="1:14" ht="12.75">
      <c r="A10" s="25">
        <v>1</v>
      </c>
      <c r="B10" s="14" t="s">
        <v>464</v>
      </c>
      <c r="C10" s="14" t="s">
        <v>470</v>
      </c>
      <c r="D10" s="14" t="s">
        <v>691</v>
      </c>
      <c r="E10" s="14" t="str">
        <f>"0,6754"</f>
        <v>0,6754</v>
      </c>
      <c r="F10" s="14" t="s">
        <v>45</v>
      </c>
      <c r="G10" s="14" t="s">
        <v>466</v>
      </c>
      <c r="H10" s="38" t="s">
        <v>60</v>
      </c>
      <c r="I10" s="31"/>
      <c r="J10" s="31"/>
      <c r="K10" s="31"/>
      <c r="L10" s="34">
        <v>170</v>
      </c>
      <c r="M10" s="30" t="str">
        <f>"116,4255"</f>
        <v>116,4255</v>
      </c>
      <c r="N10" s="14" t="s">
        <v>13</v>
      </c>
    </row>
    <row r="12" spans="2:13" ht="15">
      <c r="B12" s="142" t="s">
        <v>91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4" ht="12.75">
      <c r="A13" s="25">
        <v>1</v>
      </c>
      <c r="B13" s="15" t="s">
        <v>283</v>
      </c>
      <c r="C13" s="15" t="s">
        <v>284</v>
      </c>
      <c r="D13" s="15" t="s">
        <v>692</v>
      </c>
      <c r="E13" s="15" t="str">
        <f>"0,5941"</f>
        <v>0,5941</v>
      </c>
      <c r="F13" s="15" t="s">
        <v>10</v>
      </c>
      <c r="G13" s="15" t="s">
        <v>693</v>
      </c>
      <c r="H13" s="36" t="s">
        <v>335</v>
      </c>
      <c r="I13" s="26"/>
      <c r="J13" s="26"/>
      <c r="K13" s="26"/>
      <c r="L13" s="32">
        <v>230</v>
      </c>
      <c r="M13" s="27" t="str">
        <f>"136,6430"</f>
        <v>136,6430</v>
      </c>
      <c r="N13" s="15" t="s">
        <v>13</v>
      </c>
    </row>
  </sheetData>
  <sheetProtection/>
  <mergeCells count="15">
    <mergeCell ref="B5:M5"/>
    <mergeCell ref="B8:M8"/>
    <mergeCell ref="B12:M12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D28" sqref="D28"/>
    </sheetView>
  </sheetViews>
  <sheetFormatPr defaultColWidth="8.75390625" defaultRowHeight="12.75"/>
  <cols>
    <col min="1" max="1" width="7.125" style="0" customWidth="1"/>
    <col min="2" max="2" width="17.25390625" style="11" customWidth="1"/>
    <col min="3" max="3" width="25.25390625" style="1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26.75390625" style="11" customWidth="1"/>
    <col min="8" max="10" width="5.625" style="11" bestFit="1" customWidth="1"/>
    <col min="11" max="11" width="4.625" style="11" customWidth="1"/>
    <col min="12" max="12" width="11.25390625" style="11" customWidth="1"/>
    <col min="13" max="13" width="8.625" style="11" bestFit="1" customWidth="1"/>
    <col min="14" max="14" width="16.875" style="11" customWidth="1"/>
  </cols>
  <sheetData>
    <row r="1" spans="1:14" s="1" customFormat="1" ht="15" customHeight="1">
      <c r="A1" s="24"/>
      <c r="B1" s="150" t="s">
        <v>685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86.2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509</v>
      </c>
      <c r="C6" s="15" t="s">
        <v>510</v>
      </c>
      <c r="D6" s="15" t="s">
        <v>686</v>
      </c>
      <c r="E6" s="15" t="str">
        <f>"0,6729"</f>
        <v>0,6729</v>
      </c>
      <c r="F6" s="15" t="s">
        <v>10</v>
      </c>
      <c r="G6" s="15" t="s">
        <v>689</v>
      </c>
      <c r="H6" s="36" t="s">
        <v>132</v>
      </c>
      <c r="I6" s="36" t="s">
        <v>391</v>
      </c>
      <c r="J6" s="36" t="s">
        <v>315</v>
      </c>
      <c r="K6" s="26"/>
      <c r="L6" s="27" t="s">
        <v>315</v>
      </c>
      <c r="M6" s="27" t="str">
        <f>"174,9540"</f>
        <v>174,9540</v>
      </c>
      <c r="N6" s="15" t="s">
        <v>13</v>
      </c>
    </row>
    <row r="8" spans="2:13" ht="15">
      <c r="B8" s="142" t="s">
        <v>112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545</v>
      </c>
      <c r="C9" s="15" t="s">
        <v>546</v>
      </c>
      <c r="D9" s="15" t="s">
        <v>687</v>
      </c>
      <c r="E9" s="15" t="str">
        <f>"0,5733"</f>
        <v>0,5733</v>
      </c>
      <c r="F9" s="15" t="s">
        <v>159</v>
      </c>
      <c r="G9" s="15" t="s">
        <v>135</v>
      </c>
      <c r="H9" s="36" t="s">
        <v>310</v>
      </c>
      <c r="I9" s="26"/>
      <c r="J9" s="26"/>
      <c r="K9" s="26"/>
      <c r="L9" s="27" t="s">
        <v>310</v>
      </c>
      <c r="M9" s="27" t="str">
        <f>"166,2570"</f>
        <v>166,2570</v>
      </c>
      <c r="N9" s="15" t="s">
        <v>688</v>
      </c>
    </row>
  </sheetData>
  <sheetProtection/>
  <mergeCells count="14"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  <mergeCell ref="B5:M5"/>
    <mergeCell ref="B8:M8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39" sqref="C39"/>
    </sheetView>
  </sheetViews>
  <sheetFormatPr defaultColWidth="8.75390625" defaultRowHeight="12.75"/>
  <cols>
    <col min="1" max="1" width="7.25390625" style="25" customWidth="1"/>
    <col min="2" max="2" width="21.625" style="11" customWidth="1"/>
    <col min="3" max="3" width="27.25390625" style="11" bestFit="1" customWidth="1"/>
    <col min="4" max="4" width="10.125" style="11" bestFit="1" customWidth="1"/>
    <col min="5" max="5" width="8.25390625" style="11" bestFit="1" customWidth="1"/>
    <col min="6" max="6" width="18.00390625" style="11" customWidth="1"/>
    <col min="7" max="7" width="31.375" style="11" bestFit="1" customWidth="1"/>
    <col min="8" max="10" width="5.625" style="11" bestFit="1" customWidth="1"/>
    <col min="11" max="11" width="6.625" style="11" customWidth="1"/>
    <col min="12" max="12" width="11.375" style="35" customWidth="1"/>
    <col min="13" max="13" width="8.625" style="11" bestFit="1" customWidth="1"/>
    <col min="14" max="14" width="15.125" style="11" customWidth="1"/>
  </cols>
  <sheetData>
    <row r="1" spans="1:14" s="1" customFormat="1" ht="15" customHeight="1">
      <c r="A1" s="24"/>
      <c r="B1" s="150" t="s">
        <v>684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87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554</v>
      </c>
      <c r="C6" s="15" t="s">
        <v>555</v>
      </c>
      <c r="D6" s="15" t="s">
        <v>679</v>
      </c>
      <c r="E6" s="15" t="str">
        <f>"1,1967"</f>
        <v>1,1967</v>
      </c>
      <c r="F6" s="15" t="s">
        <v>45</v>
      </c>
      <c r="G6" s="15" t="s">
        <v>466</v>
      </c>
      <c r="H6" s="39" t="s">
        <v>192</v>
      </c>
      <c r="I6" s="39" t="s">
        <v>326</v>
      </c>
      <c r="J6" s="36" t="s">
        <v>193</v>
      </c>
      <c r="K6" s="26"/>
      <c r="L6" s="32">
        <v>77.5</v>
      </c>
      <c r="M6" s="27" t="str">
        <f>"92,7442"</f>
        <v>92,7442</v>
      </c>
      <c r="N6" s="15" t="s">
        <v>557</v>
      </c>
    </row>
    <row r="8" spans="2:13" ht="15">
      <c r="B8" s="142" t="s">
        <v>21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667</v>
      </c>
      <c r="C9" s="15" t="s">
        <v>616</v>
      </c>
      <c r="D9" s="15" t="s">
        <v>680</v>
      </c>
      <c r="E9" s="15" t="str">
        <f>"1,0374"</f>
        <v>1,0374</v>
      </c>
      <c r="F9" s="15" t="s">
        <v>203</v>
      </c>
      <c r="G9" s="15" t="s">
        <v>204</v>
      </c>
      <c r="H9" s="39" t="s">
        <v>11</v>
      </c>
      <c r="I9" s="36" t="s">
        <v>12</v>
      </c>
      <c r="J9" s="39" t="s">
        <v>253</v>
      </c>
      <c r="K9" s="26"/>
      <c r="L9" s="32">
        <v>150</v>
      </c>
      <c r="M9" s="27" t="str">
        <f>"155,6100"</f>
        <v>155,6100</v>
      </c>
      <c r="N9" s="15" t="s">
        <v>677</v>
      </c>
    </row>
    <row r="11" spans="2:13" ht="15">
      <c r="B11" s="142" t="s">
        <v>50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12.75">
      <c r="A12" s="25">
        <v>1</v>
      </c>
      <c r="B12" s="15" t="s">
        <v>240</v>
      </c>
      <c r="C12" s="15" t="s">
        <v>241</v>
      </c>
      <c r="D12" s="15" t="s">
        <v>681</v>
      </c>
      <c r="E12" s="15" t="str">
        <f>"0,6579"</f>
        <v>0,6579</v>
      </c>
      <c r="F12" s="15" t="s">
        <v>10</v>
      </c>
      <c r="G12" s="15" t="s">
        <v>683</v>
      </c>
      <c r="H12" s="39" t="s">
        <v>66</v>
      </c>
      <c r="I12" s="39" t="s">
        <v>335</v>
      </c>
      <c r="J12" s="36" t="s">
        <v>335</v>
      </c>
      <c r="K12" s="26"/>
      <c r="L12" s="32">
        <v>230</v>
      </c>
      <c r="M12" s="27" t="str">
        <f>"151,3170"</f>
        <v>151,3170</v>
      </c>
      <c r="N12" s="15" t="s">
        <v>678</v>
      </c>
    </row>
    <row r="14" spans="2:13" ht="15">
      <c r="B14" s="142" t="s">
        <v>56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4" ht="12.75">
      <c r="A15" s="25">
        <v>1</v>
      </c>
      <c r="B15" s="13" t="s">
        <v>668</v>
      </c>
      <c r="C15" s="13" t="s">
        <v>669</v>
      </c>
      <c r="D15" s="13" t="s">
        <v>682</v>
      </c>
      <c r="E15" s="13" t="str">
        <f>"0,6096"</f>
        <v>0,6096</v>
      </c>
      <c r="F15" s="13" t="s">
        <v>45</v>
      </c>
      <c r="G15" s="13" t="s">
        <v>466</v>
      </c>
      <c r="H15" s="37" t="s">
        <v>54</v>
      </c>
      <c r="I15" s="37" t="s">
        <v>108</v>
      </c>
      <c r="J15" s="37" t="s">
        <v>86</v>
      </c>
      <c r="K15" s="29"/>
      <c r="L15" s="33">
        <v>200</v>
      </c>
      <c r="M15" s="28" t="str">
        <f>"121,9200"</f>
        <v>121,9200</v>
      </c>
      <c r="N15" s="13" t="s">
        <v>645</v>
      </c>
    </row>
    <row r="16" spans="1:14" ht="12.75">
      <c r="A16" s="25">
        <v>1</v>
      </c>
      <c r="B16" s="14" t="s">
        <v>668</v>
      </c>
      <c r="C16" s="14" t="s">
        <v>670</v>
      </c>
      <c r="D16" s="14" t="s">
        <v>682</v>
      </c>
      <c r="E16" s="14" t="str">
        <f>"0,6096"</f>
        <v>0,6096</v>
      </c>
      <c r="F16" s="14" t="s">
        <v>45</v>
      </c>
      <c r="G16" s="14" t="s">
        <v>466</v>
      </c>
      <c r="H16" s="38" t="s">
        <v>54</v>
      </c>
      <c r="I16" s="38" t="s">
        <v>108</v>
      </c>
      <c r="J16" s="38" t="s">
        <v>86</v>
      </c>
      <c r="K16" s="31"/>
      <c r="L16" s="34">
        <v>200</v>
      </c>
      <c r="M16" s="30" t="str">
        <f>"122,5296"</f>
        <v>122,5296</v>
      </c>
      <c r="N16" s="14" t="s">
        <v>645</v>
      </c>
    </row>
  </sheetData>
  <sheetProtection/>
  <mergeCells count="16">
    <mergeCell ref="B14:M14"/>
    <mergeCell ref="L3:L4"/>
    <mergeCell ref="M3:M4"/>
    <mergeCell ref="N3:N4"/>
    <mergeCell ref="B5:M5"/>
    <mergeCell ref="B8:M8"/>
    <mergeCell ref="B11:M11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G27" sqref="G27"/>
    </sheetView>
  </sheetViews>
  <sheetFormatPr defaultColWidth="8.75390625" defaultRowHeight="12.75"/>
  <cols>
    <col min="1" max="1" width="8.75390625" style="0" customWidth="1"/>
    <col min="2" max="2" width="20.25390625" style="11" customWidth="1"/>
    <col min="3" max="3" width="26.25390625" style="11" customWidth="1"/>
    <col min="4" max="4" width="10.125" style="11" bestFit="1" customWidth="1"/>
    <col min="5" max="5" width="8.25390625" style="11" bestFit="1" customWidth="1"/>
    <col min="6" max="6" width="18.25390625" style="11" customWidth="1"/>
    <col min="7" max="7" width="28.25390625" style="11" bestFit="1" customWidth="1"/>
    <col min="8" max="8" width="5.625" style="11" bestFit="1" customWidth="1"/>
    <col min="9" max="9" width="5.00390625" style="11" customWidth="1"/>
    <col min="10" max="10" width="3.375" style="11" customWidth="1"/>
    <col min="11" max="11" width="5.25390625" style="11" customWidth="1"/>
    <col min="12" max="12" width="11.125" style="11" customWidth="1"/>
    <col min="13" max="13" width="8.625" style="11" bestFit="1" customWidth="1"/>
    <col min="14" max="14" width="17.625" style="11" bestFit="1" customWidth="1"/>
  </cols>
  <sheetData>
    <row r="1" spans="2:14" s="1" customFormat="1" ht="15" customHeight="1">
      <c r="B1" s="150" t="s">
        <v>1418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2:14" s="1" customFormat="1" ht="88.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336</v>
      </c>
      <c r="C6" s="15" t="s">
        <v>337</v>
      </c>
      <c r="D6" s="15" t="s">
        <v>706</v>
      </c>
      <c r="E6" s="15" t="str">
        <f>"0,6838"</f>
        <v>0,6838</v>
      </c>
      <c r="F6" s="15" t="s">
        <v>29</v>
      </c>
      <c r="G6" s="15" t="s">
        <v>30</v>
      </c>
      <c r="H6" s="36" t="s">
        <v>332</v>
      </c>
      <c r="I6" s="26"/>
      <c r="J6" s="26"/>
      <c r="K6" s="26"/>
      <c r="L6" s="27" t="s">
        <v>332</v>
      </c>
      <c r="M6" s="27" t="str">
        <f>"208,5590"</f>
        <v>208,5590</v>
      </c>
      <c r="N6" s="15" t="s">
        <v>707</v>
      </c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G29" sqref="G29"/>
    </sheetView>
  </sheetViews>
  <sheetFormatPr defaultColWidth="8.75390625" defaultRowHeight="12.75"/>
  <cols>
    <col min="1" max="1" width="7.125" style="0" customWidth="1"/>
    <col min="2" max="2" width="18.875" style="11" customWidth="1"/>
    <col min="3" max="3" width="27.25390625" style="11" bestFit="1" customWidth="1"/>
    <col min="4" max="4" width="10.125" style="11" bestFit="1" customWidth="1"/>
    <col min="5" max="5" width="8.25390625" style="11" bestFit="1" customWidth="1"/>
    <col min="6" max="6" width="12.875" style="11" customWidth="1"/>
    <col min="7" max="7" width="26.875" style="11" customWidth="1"/>
    <col min="8" max="8" width="5.625" style="11" bestFit="1" customWidth="1"/>
    <col min="9" max="9" width="5.375" style="11" customWidth="1"/>
    <col min="10" max="10" width="5.125" style="11" customWidth="1"/>
    <col min="11" max="11" width="5.375" style="11" customWidth="1"/>
    <col min="12" max="12" width="10.75390625" style="11" customWidth="1"/>
    <col min="13" max="13" width="8.625" style="11" bestFit="1" customWidth="1"/>
    <col min="14" max="14" width="14.75390625" style="11" bestFit="1" customWidth="1"/>
  </cols>
  <sheetData>
    <row r="1" spans="2:14" s="1" customFormat="1" ht="15" customHeight="1">
      <c r="B1" s="150" t="s">
        <v>1417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2:14" s="1" customFormat="1" ht="88.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367</v>
      </c>
      <c r="C6" s="15" t="s">
        <v>368</v>
      </c>
      <c r="D6" s="15" t="s">
        <v>704</v>
      </c>
      <c r="E6" s="15" t="str">
        <f>"0,6129"</f>
        <v>0,6129</v>
      </c>
      <c r="F6" s="15" t="s">
        <v>10</v>
      </c>
      <c r="G6" s="15" t="s">
        <v>683</v>
      </c>
      <c r="H6" s="36" t="s">
        <v>315</v>
      </c>
      <c r="I6" s="26"/>
      <c r="J6" s="26"/>
      <c r="K6" s="26"/>
      <c r="L6" s="27" t="s">
        <v>315</v>
      </c>
      <c r="M6" s="27" t="str">
        <f>"159,3540"</f>
        <v>159,3540</v>
      </c>
      <c r="N6" s="15" t="s">
        <v>705</v>
      </c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zoomScalePageLayoutView="0" workbookViewId="0" topLeftCell="A7">
      <selection activeCell="G56" sqref="G56"/>
    </sheetView>
  </sheetViews>
  <sheetFormatPr defaultColWidth="9.00390625" defaultRowHeight="12.75"/>
  <cols>
    <col min="1" max="1" width="7.25390625" style="24" customWidth="1"/>
    <col min="2" max="2" width="26.75390625" style="72" bestFit="1" customWidth="1"/>
    <col min="3" max="3" width="26.625" style="5" bestFit="1" customWidth="1"/>
    <col min="4" max="4" width="10.125" style="5" bestFit="1" customWidth="1"/>
    <col min="5" max="5" width="8.25390625" style="5" bestFit="1" customWidth="1"/>
    <col min="6" max="6" width="21.75390625" style="5" bestFit="1" customWidth="1"/>
    <col min="7" max="7" width="32.75390625" style="5" bestFit="1" customWidth="1"/>
    <col min="8" max="10" width="5.625" style="1" bestFit="1" customWidth="1"/>
    <col min="11" max="11" width="4.625" style="1" bestFit="1" customWidth="1"/>
    <col min="12" max="12" width="11.375" style="4" customWidth="1"/>
    <col min="13" max="13" width="8.625" style="1" bestFit="1" customWidth="1"/>
    <col min="14" max="14" width="16.875" style="5" customWidth="1"/>
    <col min="15" max="16384" width="11.375" style="1" customWidth="1"/>
  </cols>
  <sheetData>
    <row r="1" spans="2:14" ht="15" customHeight="1">
      <c r="B1" s="150" t="s">
        <v>1422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2:14" ht="81.7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7" t="s">
        <v>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4" t="s">
        <v>778</v>
      </c>
      <c r="B6" s="64" t="s">
        <v>8</v>
      </c>
      <c r="C6" s="6" t="s">
        <v>9</v>
      </c>
      <c r="D6" s="6" t="s">
        <v>870</v>
      </c>
      <c r="E6" s="6" t="str">
        <f>"0,9076"</f>
        <v>0,9076</v>
      </c>
      <c r="F6" s="6" t="s">
        <v>10</v>
      </c>
      <c r="G6" s="6" t="s">
        <v>874</v>
      </c>
      <c r="H6" s="36" t="s">
        <v>11</v>
      </c>
      <c r="I6" s="80" t="s">
        <v>12</v>
      </c>
      <c r="J6" s="75"/>
      <c r="K6" s="75"/>
      <c r="L6" s="55" t="s">
        <v>11</v>
      </c>
      <c r="M6" s="55" t="str">
        <f>"127,0640"</f>
        <v>127,0640</v>
      </c>
      <c r="N6" s="6" t="s">
        <v>13</v>
      </c>
    </row>
    <row r="8" spans="2:13" ht="15">
      <c r="B8" s="166" t="s">
        <v>14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4" t="s">
        <v>778</v>
      </c>
      <c r="B9" s="64" t="s">
        <v>15</v>
      </c>
      <c r="C9" s="6" t="s">
        <v>16</v>
      </c>
      <c r="D9" s="6" t="s">
        <v>919</v>
      </c>
      <c r="E9" s="6" t="str">
        <f>"0,8253"</f>
        <v>0,8253</v>
      </c>
      <c r="F9" s="6" t="s">
        <v>10</v>
      </c>
      <c r="G9" s="6" t="s">
        <v>17</v>
      </c>
      <c r="H9" s="36" t="s">
        <v>18</v>
      </c>
      <c r="I9" s="80" t="s">
        <v>19</v>
      </c>
      <c r="J9" s="36" t="s">
        <v>19</v>
      </c>
      <c r="K9" s="80" t="s">
        <v>20</v>
      </c>
      <c r="L9" s="55" t="s">
        <v>19</v>
      </c>
      <c r="M9" s="55" t="str">
        <f>"49,5180"</f>
        <v>49,5180</v>
      </c>
      <c r="N9" s="6" t="s">
        <v>938</v>
      </c>
    </row>
    <row r="11" spans="2:13" ht="15">
      <c r="B11" s="166" t="s">
        <v>21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12.75">
      <c r="A12" s="24" t="s">
        <v>778</v>
      </c>
      <c r="B12" s="64" t="s">
        <v>22</v>
      </c>
      <c r="C12" s="6" t="s">
        <v>23</v>
      </c>
      <c r="D12" s="6" t="s">
        <v>920</v>
      </c>
      <c r="E12" s="6" t="str">
        <f>"0,7872"</f>
        <v>0,7872</v>
      </c>
      <c r="F12" s="6" t="s">
        <v>10</v>
      </c>
      <c r="G12" s="6" t="s">
        <v>24</v>
      </c>
      <c r="H12" s="80" t="s">
        <v>11</v>
      </c>
      <c r="I12" s="36" t="s">
        <v>25</v>
      </c>
      <c r="J12" s="80" t="s">
        <v>12</v>
      </c>
      <c r="K12" s="75"/>
      <c r="L12" s="55" t="s">
        <v>25</v>
      </c>
      <c r="M12" s="55" t="str">
        <f>"114,1440"</f>
        <v>114,1440</v>
      </c>
      <c r="N12" s="6" t="s">
        <v>13</v>
      </c>
    </row>
    <row r="14" spans="2:13" ht="15">
      <c r="B14" s="166" t="s">
        <v>26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4" ht="12.75">
      <c r="A15" s="24" t="s">
        <v>778</v>
      </c>
      <c r="B15" s="64" t="s">
        <v>27</v>
      </c>
      <c r="C15" s="6" t="s">
        <v>28</v>
      </c>
      <c r="D15" s="6" t="s">
        <v>921</v>
      </c>
      <c r="E15" s="6" t="str">
        <f>"0,7186"</f>
        <v>0,7186</v>
      </c>
      <c r="F15" s="6" t="s">
        <v>29</v>
      </c>
      <c r="G15" s="6" t="s">
        <v>30</v>
      </c>
      <c r="H15" s="36" t="s">
        <v>25</v>
      </c>
      <c r="I15" s="80" t="s">
        <v>12</v>
      </c>
      <c r="J15" s="80" t="s">
        <v>12</v>
      </c>
      <c r="K15" s="75"/>
      <c r="L15" s="55" t="s">
        <v>25</v>
      </c>
      <c r="M15" s="55" t="str">
        <f>"104,1970"</f>
        <v>104,1970</v>
      </c>
      <c r="N15" s="6" t="s">
        <v>917</v>
      </c>
    </row>
    <row r="17" spans="2:13" ht="15">
      <c r="B17" s="166" t="s">
        <v>7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4" ht="12.75">
      <c r="A18" s="24" t="s">
        <v>778</v>
      </c>
      <c r="B18" s="65" t="s">
        <v>31</v>
      </c>
      <c r="C18" s="7" t="s">
        <v>32</v>
      </c>
      <c r="D18" s="7" t="s">
        <v>706</v>
      </c>
      <c r="E18" s="7" t="str">
        <f>"0,6838"</f>
        <v>0,6838</v>
      </c>
      <c r="F18" s="7" t="s">
        <v>10</v>
      </c>
      <c r="G18" s="7" t="s">
        <v>33</v>
      </c>
      <c r="H18" s="37" t="s">
        <v>12</v>
      </c>
      <c r="I18" s="60"/>
      <c r="J18" s="60"/>
      <c r="K18" s="60"/>
      <c r="L18" s="56" t="s">
        <v>12</v>
      </c>
      <c r="M18" s="56" t="str">
        <f>"102,5700"</f>
        <v>102,5700</v>
      </c>
      <c r="N18" s="7" t="s">
        <v>939</v>
      </c>
    </row>
    <row r="19" spans="1:14" ht="12.75">
      <c r="A19" s="24" t="s">
        <v>779</v>
      </c>
      <c r="B19" s="66" t="s">
        <v>35</v>
      </c>
      <c r="C19" s="8" t="s">
        <v>36</v>
      </c>
      <c r="D19" s="8" t="s">
        <v>922</v>
      </c>
      <c r="E19" s="8" t="str">
        <f>"0,6709"</f>
        <v>0,6709</v>
      </c>
      <c r="F19" s="8" t="s">
        <v>10</v>
      </c>
      <c r="G19" s="8" t="s">
        <v>696</v>
      </c>
      <c r="H19" s="43" t="s">
        <v>11</v>
      </c>
      <c r="I19" s="43" t="s">
        <v>25</v>
      </c>
      <c r="J19" s="76"/>
      <c r="K19" s="76"/>
      <c r="L19" s="58" t="s">
        <v>25</v>
      </c>
      <c r="M19" s="58" t="str">
        <f>"97,2805"</f>
        <v>97,2805</v>
      </c>
      <c r="N19" s="8" t="s">
        <v>13</v>
      </c>
    </row>
    <row r="20" spans="1:14" ht="12.75">
      <c r="A20" s="24" t="s">
        <v>780</v>
      </c>
      <c r="B20" s="66" t="s">
        <v>38</v>
      </c>
      <c r="C20" s="8" t="s">
        <v>39</v>
      </c>
      <c r="D20" s="8" t="s">
        <v>923</v>
      </c>
      <c r="E20" s="8" t="str">
        <f>"0,6865"</f>
        <v>0,6865</v>
      </c>
      <c r="F20" s="8" t="s">
        <v>29</v>
      </c>
      <c r="G20" s="8" t="s">
        <v>30</v>
      </c>
      <c r="H20" s="43" t="s">
        <v>40</v>
      </c>
      <c r="I20" s="43" t="s">
        <v>41</v>
      </c>
      <c r="J20" s="79" t="s">
        <v>42</v>
      </c>
      <c r="K20" s="76"/>
      <c r="L20" s="58" t="s">
        <v>41</v>
      </c>
      <c r="M20" s="58" t="str">
        <f>"89,2450"</f>
        <v>89,2450</v>
      </c>
      <c r="N20" s="8" t="s">
        <v>917</v>
      </c>
    </row>
    <row r="21" spans="1:14" ht="12.75">
      <c r="A21" s="24" t="s">
        <v>946</v>
      </c>
      <c r="B21" s="67" t="s">
        <v>43</v>
      </c>
      <c r="C21" s="9" t="s">
        <v>44</v>
      </c>
      <c r="D21" s="9" t="s">
        <v>844</v>
      </c>
      <c r="E21" s="9" t="str">
        <f>"0,6749"</f>
        <v>0,6749</v>
      </c>
      <c r="F21" s="9" t="s">
        <v>45</v>
      </c>
      <c r="G21" s="9" t="s">
        <v>46</v>
      </c>
      <c r="H21" s="38" t="s">
        <v>47</v>
      </c>
      <c r="I21" s="38" t="s">
        <v>48</v>
      </c>
      <c r="J21" s="78" t="s">
        <v>49</v>
      </c>
      <c r="K21" s="77"/>
      <c r="L21" s="57" t="s">
        <v>48</v>
      </c>
      <c r="M21" s="57" t="str">
        <f>"86,0497"</f>
        <v>86,0497</v>
      </c>
      <c r="N21" s="9" t="s">
        <v>13</v>
      </c>
    </row>
    <row r="23" spans="2:13" ht="15">
      <c r="B23" s="166" t="s">
        <v>50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</row>
    <row r="24" spans="1:14" ht="12.75">
      <c r="A24" s="24" t="s">
        <v>778</v>
      </c>
      <c r="B24" s="64" t="s">
        <v>51</v>
      </c>
      <c r="C24" s="6" t="s">
        <v>52</v>
      </c>
      <c r="D24" s="6" t="s">
        <v>766</v>
      </c>
      <c r="E24" s="6" t="str">
        <f>"0,6436"</f>
        <v>0,6436</v>
      </c>
      <c r="F24" s="6" t="s">
        <v>10</v>
      </c>
      <c r="G24" s="6" t="s">
        <v>53</v>
      </c>
      <c r="H24" s="36" t="s">
        <v>54</v>
      </c>
      <c r="I24" s="80" t="s">
        <v>55</v>
      </c>
      <c r="J24" s="80" t="s">
        <v>55</v>
      </c>
      <c r="K24" s="75"/>
      <c r="L24" s="55" t="s">
        <v>54</v>
      </c>
      <c r="M24" s="55" t="str">
        <f>"102,9760"</f>
        <v>102,9760</v>
      </c>
      <c r="N24" s="6" t="s">
        <v>940</v>
      </c>
    </row>
    <row r="26" spans="2:13" ht="15">
      <c r="B26" s="166" t="s">
        <v>56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</row>
    <row r="27" spans="1:14" ht="12.75">
      <c r="A27" s="24" t="s">
        <v>778</v>
      </c>
      <c r="B27" s="65" t="s">
        <v>57</v>
      </c>
      <c r="C27" s="7" t="s">
        <v>58</v>
      </c>
      <c r="D27" s="7" t="s">
        <v>924</v>
      </c>
      <c r="E27" s="7" t="str">
        <f>"0,6272"</f>
        <v>0,6272</v>
      </c>
      <c r="F27" s="7" t="s">
        <v>10</v>
      </c>
      <c r="G27" s="7" t="s">
        <v>59</v>
      </c>
      <c r="H27" s="37" t="s">
        <v>60</v>
      </c>
      <c r="I27" s="62" t="s">
        <v>61</v>
      </c>
      <c r="J27" s="37" t="s">
        <v>61</v>
      </c>
      <c r="K27" s="60"/>
      <c r="L27" s="56" t="s">
        <v>61</v>
      </c>
      <c r="M27" s="56" t="str">
        <f>"116,0320"</f>
        <v>116,0320</v>
      </c>
      <c r="N27" s="7" t="s">
        <v>941</v>
      </c>
    </row>
    <row r="28" spans="1:14" ht="12.75">
      <c r="A28" s="24" t="s">
        <v>778</v>
      </c>
      <c r="B28" s="66" t="s">
        <v>62</v>
      </c>
      <c r="C28" s="8" t="s">
        <v>63</v>
      </c>
      <c r="D28" s="8" t="s">
        <v>925</v>
      </c>
      <c r="E28" s="8" t="str">
        <f>"0,6106"</f>
        <v>0,6106</v>
      </c>
      <c r="F28" s="8" t="s">
        <v>64</v>
      </c>
      <c r="G28" s="8" t="s">
        <v>65</v>
      </c>
      <c r="H28" s="43" t="s">
        <v>66</v>
      </c>
      <c r="I28" s="43" t="s">
        <v>67</v>
      </c>
      <c r="J28" s="79" t="s">
        <v>68</v>
      </c>
      <c r="K28" s="76"/>
      <c r="L28" s="58" t="s">
        <v>67</v>
      </c>
      <c r="M28" s="58" t="str">
        <f>"132,8055"</f>
        <v>132,8055</v>
      </c>
      <c r="N28" s="8" t="s">
        <v>13</v>
      </c>
    </row>
    <row r="29" spans="1:14" ht="12.75">
      <c r="A29" s="24" t="s">
        <v>779</v>
      </c>
      <c r="B29" s="66" t="s">
        <v>69</v>
      </c>
      <c r="C29" s="8" t="s">
        <v>70</v>
      </c>
      <c r="D29" s="8" t="s">
        <v>925</v>
      </c>
      <c r="E29" s="8" t="str">
        <f>"0,6106"</f>
        <v>0,6106</v>
      </c>
      <c r="F29" s="8" t="s">
        <v>10</v>
      </c>
      <c r="G29" s="8" t="s">
        <v>71</v>
      </c>
      <c r="H29" s="43" t="s">
        <v>54</v>
      </c>
      <c r="I29" s="43" t="s">
        <v>72</v>
      </c>
      <c r="J29" s="43" t="s">
        <v>60</v>
      </c>
      <c r="K29" s="76"/>
      <c r="L29" s="58" t="s">
        <v>60</v>
      </c>
      <c r="M29" s="58" t="str">
        <f>"103,8020"</f>
        <v>103,8020</v>
      </c>
      <c r="N29" s="8" t="s">
        <v>13</v>
      </c>
    </row>
    <row r="30" spans="1:14" ht="12.75">
      <c r="A30" s="24" t="s">
        <v>780</v>
      </c>
      <c r="B30" s="66" t="s">
        <v>73</v>
      </c>
      <c r="C30" s="8" t="s">
        <v>74</v>
      </c>
      <c r="D30" s="8" t="s">
        <v>926</v>
      </c>
      <c r="E30" s="8" t="str">
        <f>"0,6177"</f>
        <v>0,6177</v>
      </c>
      <c r="F30" s="8" t="s">
        <v>75</v>
      </c>
      <c r="G30" s="8" t="s">
        <v>76</v>
      </c>
      <c r="H30" s="43" t="s">
        <v>72</v>
      </c>
      <c r="I30" s="79" t="s">
        <v>60</v>
      </c>
      <c r="J30" s="79" t="s">
        <v>55</v>
      </c>
      <c r="K30" s="76"/>
      <c r="L30" s="58" t="s">
        <v>72</v>
      </c>
      <c r="M30" s="58" t="str">
        <f>"101,9205"</f>
        <v>101,9205</v>
      </c>
      <c r="N30" s="8" t="s">
        <v>942</v>
      </c>
    </row>
    <row r="31" spans="2:14" ht="12.75">
      <c r="B31" s="66" t="s">
        <v>77</v>
      </c>
      <c r="C31" s="8" t="s">
        <v>78</v>
      </c>
      <c r="D31" s="8" t="s">
        <v>927</v>
      </c>
      <c r="E31" s="8" t="str">
        <f>"0,6200"</f>
        <v>0,6200</v>
      </c>
      <c r="F31" s="8" t="s">
        <v>10</v>
      </c>
      <c r="G31" s="8" t="s">
        <v>79</v>
      </c>
      <c r="H31" s="79" t="s">
        <v>66</v>
      </c>
      <c r="I31" s="79" t="s">
        <v>66</v>
      </c>
      <c r="J31" s="79" t="s">
        <v>66</v>
      </c>
      <c r="K31" s="76"/>
      <c r="L31" s="58" t="s">
        <v>713</v>
      </c>
      <c r="M31" s="58" t="s">
        <v>713</v>
      </c>
      <c r="N31" s="8" t="s">
        <v>13</v>
      </c>
    </row>
    <row r="32" spans="2:14" ht="12.75">
      <c r="B32" s="66" t="s">
        <v>80</v>
      </c>
      <c r="C32" s="8" t="s">
        <v>81</v>
      </c>
      <c r="D32" s="8" t="s">
        <v>928</v>
      </c>
      <c r="E32" s="8" t="str">
        <f>"0,6172"</f>
        <v>0,6172</v>
      </c>
      <c r="F32" s="8" t="s">
        <v>10</v>
      </c>
      <c r="G32" s="8" t="s">
        <v>82</v>
      </c>
      <c r="H32" s="79" t="s">
        <v>61</v>
      </c>
      <c r="I32" s="79" t="s">
        <v>61</v>
      </c>
      <c r="J32" s="76"/>
      <c r="K32" s="76"/>
      <c r="L32" s="58" t="s">
        <v>713</v>
      </c>
      <c r="M32" s="58" t="s">
        <v>713</v>
      </c>
      <c r="N32" s="8" t="s">
        <v>943</v>
      </c>
    </row>
    <row r="33" spans="2:14" ht="12.75">
      <c r="B33" s="66" t="s">
        <v>83</v>
      </c>
      <c r="C33" s="8" t="s">
        <v>84</v>
      </c>
      <c r="D33" s="8" t="s">
        <v>896</v>
      </c>
      <c r="E33" s="8" t="str">
        <f>"0,6121"</f>
        <v>0,6121</v>
      </c>
      <c r="F33" s="8" t="s">
        <v>10</v>
      </c>
      <c r="G33" s="8" t="s">
        <v>85</v>
      </c>
      <c r="H33" s="79" t="s">
        <v>86</v>
      </c>
      <c r="I33" s="79" t="s">
        <v>86</v>
      </c>
      <c r="J33" s="79" t="s">
        <v>86</v>
      </c>
      <c r="K33" s="76"/>
      <c r="L33" s="58" t="s">
        <v>713</v>
      </c>
      <c r="M33" s="58" t="s">
        <v>713</v>
      </c>
      <c r="N33" s="8" t="s">
        <v>13</v>
      </c>
    </row>
    <row r="34" spans="2:14" ht="12.75">
      <c r="B34" s="67" t="s">
        <v>87</v>
      </c>
      <c r="C34" s="9" t="s">
        <v>88</v>
      </c>
      <c r="D34" s="9" t="s">
        <v>768</v>
      </c>
      <c r="E34" s="9" t="str">
        <f>"0,6091"</f>
        <v>0,6091</v>
      </c>
      <c r="F34" s="9" t="s">
        <v>10</v>
      </c>
      <c r="G34" s="9" t="s">
        <v>89</v>
      </c>
      <c r="H34" s="78" t="s">
        <v>72</v>
      </c>
      <c r="I34" s="78" t="s">
        <v>60</v>
      </c>
      <c r="J34" s="78" t="s">
        <v>90</v>
      </c>
      <c r="K34" s="77"/>
      <c r="L34" s="57" t="s">
        <v>713</v>
      </c>
      <c r="M34" s="57" t="s">
        <v>713</v>
      </c>
      <c r="N34" s="9" t="s">
        <v>944</v>
      </c>
    </row>
    <row r="36" spans="2:13" ht="15">
      <c r="B36" s="166" t="s">
        <v>91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</row>
    <row r="37" spans="1:14" ht="12.75">
      <c r="A37" s="24" t="s">
        <v>778</v>
      </c>
      <c r="B37" s="65" t="s">
        <v>92</v>
      </c>
      <c r="C37" s="7" t="s">
        <v>93</v>
      </c>
      <c r="D37" s="7" t="s">
        <v>929</v>
      </c>
      <c r="E37" s="7" t="str">
        <f>"0,5902"</f>
        <v>0,5902</v>
      </c>
      <c r="F37" s="7" t="s">
        <v>10</v>
      </c>
      <c r="G37" s="7" t="s">
        <v>696</v>
      </c>
      <c r="H37" s="37" t="s">
        <v>94</v>
      </c>
      <c r="I37" s="62" t="s">
        <v>95</v>
      </c>
      <c r="J37" s="62" t="s">
        <v>95</v>
      </c>
      <c r="K37" s="60"/>
      <c r="L37" s="56" t="s">
        <v>94</v>
      </c>
      <c r="M37" s="56" t="str">
        <f>"125,4175"</f>
        <v>125,4175</v>
      </c>
      <c r="N37" s="7" t="s">
        <v>13</v>
      </c>
    </row>
    <row r="38" spans="1:14" ht="12.75">
      <c r="A38" s="24" t="s">
        <v>779</v>
      </c>
      <c r="B38" s="66" t="s">
        <v>96</v>
      </c>
      <c r="C38" s="8" t="s">
        <v>97</v>
      </c>
      <c r="D38" s="8" t="s">
        <v>725</v>
      </c>
      <c r="E38" s="8" t="str">
        <f>"0,5916"</f>
        <v>0,5916</v>
      </c>
      <c r="F38" s="8" t="s">
        <v>10</v>
      </c>
      <c r="G38" s="8" t="s">
        <v>98</v>
      </c>
      <c r="H38" s="79" t="s">
        <v>66</v>
      </c>
      <c r="I38" s="43" t="s">
        <v>66</v>
      </c>
      <c r="J38" s="79" t="s">
        <v>95</v>
      </c>
      <c r="K38" s="76"/>
      <c r="L38" s="58" t="s">
        <v>66</v>
      </c>
      <c r="M38" s="58" t="str">
        <f>"124,2360"</f>
        <v>124,2360</v>
      </c>
      <c r="N38" s="8" t="s">
        <v>13</v>
      </c>
    </row>
    <row r="39" spans="1:14" ht="12.75">
      <c r="A39" s="24" t="s">
        <v>780</v>
      </c>
      <c r="B39" s="66" t="s">
        <v>99</v>
      </c>
      <c r="C39" s="8" t="s">
        <v>100</v>
      </c>
      <c r="D39" s="8" t="s">
        <v>930</v>
      </c>
      <c r="E39" s="8" t="str">
        <f>"0,5900"</f>
        <v>0,5900</v>
      </c>
      <c r="F39" s="8" t="s">
        <v>10</v>
      </c>
      <c r="G39" s="8" t="s">
        <v>101</v>
      </c>
      <c r="H39" s="43" t="s">
        <v>102</v>
      </c>
      <c r="I39" s="43" t="s">
        <v>103</v>
      </c>
      <c r="J39" s="79" t="s">
        <v>104</v>
      </c>
      <c r="K39" s="76"/>
      <c r="L39" s="58" t="s">
        <v>103</v>
      </c>
      <c r="M39" s="58" t="str">
        <f>"120,9500"</f>
        <v>120,9500</v>
      </c>
      <c r="N39" s="8" t="s">
        <v>13</v>
      </c>
    </row>
    <row r="40" spans="1:14" ht="12.75">
      <c r="A40" s="24" t="s">
        <v>778</v>
      </c>
      <c r="B40" s="66" t="s">
        <v>105</v>
      </c>
      <c r="C40" s="8" t="s">
        <v>106</v>
      </c>
      <c r="D40" s="8" t="s">
        <v>931</v>
      </c>
      <c r="E40" s="8" t="str">
        <f>"0,5954"</f>
        <v>0,5954</v>
      </c>
      <c r="F40" s="8" t="s">
        <v>10</v>
      </c>
      <c r="G40" s="8" t="s">
        <v>107</v>
      </c>
      <c r="H40" s="43" t="s">
        <v>108</v>
      </c>
      <c r="I40" s="43" t="s">
        <v>109</v>
      </c>
      <c r="J40" s="43" t="s">
        <v>86</v>
      </c>
      <c r="K40" s="76"/>
      <c r="L40" s="58" t="s">
        <v>86</v>
      </c>
      <c r="M40" s="58" t="str">
        <f>"126,2248"</f>
        <v>126,2248</v>
      </c>
      <c r="N40" s="8" t="s">
        <v>775</v>
      </c>
    </row>
    <row r="41" spans="1:14" ht="12.75">
      <c r="A41" s="24" t="s">
        <v>779</v>
      </c>
      <c r="B41" s="67" t="s">
        <v>110</v>
      </c>
      <c r="C41" s="9" t="s">
        <v>111</v>
      </c>
      <c r="D41" s="9" t="s">
        <v>932</v>
      </c>
      <c r="E41" s="9" t="str">
        <f>"0,5924"</f>
        <v>0,5924</v>
      </c>
      <c r="F41" s="9" t="s">
        <v>10</v>
      </c>
      <c r="G41" s="9" t="s">
        <v>696</v>
      </c>
      <c r="H41" s="38" t="s">
        <v>72</v>
      </c>
      <c r="I41" s="78" t="s">
        <v>90</v>
      </c>
      <c r="J41" s="78" t="s">
        <v>90</v>
      </c>
      <c r="K41" s="77"/>
      <c r="L41" s="57" t="s">
        <v>72</v>
      </c>
      <c r="M41" s="57" t="str">
        <f>"117,9794"</f>
        <v>117,9794</v>
      </c>
      <c r="N41" s="9" t="s">
        <v>13</v>
      </c>
    </row>
    <row r="43" spans="2:13" ht="15">
      <c r="B43" s="166" t="s">
        <v>112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4" ht="12.75">
      <c r="A44" s="24" t="s">
        <v>778</v>
      </c>
      <c r="B44" s="65" t="s">
        <v>113</v>
      </c>
      <c r="C44" s="7" t="s">
        <v>114</v>
      </c>
      <c r="D44" s="7" t="s">
        <v>933</v>
      </c>
      <c r="E44" s="7" t="str">
        <f>"0,5757"</f>
        <v>0,5757</v>
      </c>
      <c r="F44" s="7" t="s">
        <v>10</v>
      </c>
      <c r="G44" s="7" t="s">
        <v>101</v>
      </c>
      <c r="H44" s="37" t="s">
        <v>68</v>
      </c>
      <c r="I44" s="37" t="s">
        <v>115</v>
      </c>
      <c r="J44" s="62" t="s">
        <v>116</v>
      </c>
      <c r="K44" s="60"/>
      <c r="L44" s="56" t="s">
        <v>115</v>
      </c>
      <c r="M44" s="56" t="str">
        <f>"133,8502"</f>
        <v>133,8502</v>
      </c>
      <c r="N44" s="7" t="s">
        <v>776</v>
      </c>
    </row>
    <row r="45" spans="1:14" ht="12.75">
      <c r="A45" s="24" t="s">
        <v>779</v>
      </c>
      <c r="B45" s="66" t="s">
        <v>117</v>
      </c>
      <c r="C45" s="8" t="s">
        <v>118</v>
      </c>
      <c r="D45" s="8" t="s">
        <v>934</v>
      </c>
      <c r="E45" s="8" t="str">
        <f>"0,5737"</f>
        <v>0,5737</v>
      </c>
      <c r="F45" s="8" t="s">
        <v>10</v>
      </c>
      <c r="G45" s="8" t="s">
        <v>696</v>
      </c>
      <c r="H45" s="43" t="s">
        <v>119</v>
      </c>
      <c r="I45" s="43" t="s">
        <v>66</v>
      </c>
      <c r="J45" s="43" t="s">
        <v>94</v>
      </c>
      <c r="K45" s="76"/>
      <c r="L45" s="58" t="s">
        <v>94</v>
      </c>
      <c r="M45" s="58" t="str">
        <f>"121,9113"</f>
        <v>121,9113</v>
      </c>
      <c r="N45" s="8" t="s">
        <v>13</v>
      </c>
    </row>
    <row r="46" spans="1:14" ht="12.75">
      <c r="A46" s="24" t="s">
        <v>780</v>
      </c>
      <c r="B46" s="66" t="s">
        <v>120</v>
      </c>
      <c r="C46" s="8" t="s">
        <v>121</v>
      </c>
      <c r="D46" s="8" t="s">
        <v>935</v>
      </c>
      <c r="E46" s="8" t="str">
        <f>"0,5874"</f>
        <v>0,5874</v>
      </c>
      <c r="F46" s="8" t="s">
        <v>10</v>
      </c>
      <c r="G46" s="8" t="s">
        <v>122</v>
      </c>
      <c r="H46" s="43" t="s">
        <v>102</v>
      </c>
      <c r="I46" s="43" t="s">
        <v>86</v>
      </c>
      <c r="J46" s="79" t="s">
        <v>94</v>
      </c>
      <c r="K46" s="76"/>
      <c r="L46" s="58" t="s">
        <v>86</v>
      </c>
      <c r="M46" s="58" t="str">
        <f>"117,4800"</f>
        <v>117,4800</v>
      </c>
      <c r="N46" s="8" t="s">
        <v>715</v>
      </c>
    </row>
    <row r="47" spans="1:14" ht="12.75">
      <c r="A47" s="24" t="s">
        <v>946</v>
      </c>
      <c r="B47" s="66" t="s">
        <v>123</v>
      </c>
      <c r="C47" s="8" t="s">
        <v>124</v>
      </c>
      <c r="D47" s="8" t="s">
        <v>219</v>
      </c>
      <c r="E47" s="8" t="str">
        <f>"0,5811"</f>
        <v>0,5811</v>
      </c>
      <c r="F47" s="8" t="s">
        <v>29</v>
      </c>
      <c r="G47" s="8" t="s">
        <v>30</v>
      </c>
      <c r="H47" s="43" t="s">
        <v>125</v>
      </c>
      <c r="I47" s="43" t="s">
        <v>126</v>
      </c>
      <c r="J47" s="79" t="s">
        <v>119</v>
      </c>
      <c r="K47" s="76"/>
      <c r="L47" s="58" t="s">
        <v>126</v>
      </c>
      <c r="M47" s="58" t="str">
        <f>"114,7672"</f>
        <v>114,7672</v>
      </c>
      <c r="N47" s="8" t="s">
        <v>945</v>
      </c>
    </row>
    <row r="48" spans="1:14" ht="12.75">
      <c r="A48" s="24" t="s">
        <v>778</v>
      </c>
      <c r="B48" s="67" t="s">
        <v>123</v>
      </c>
      <c r="C48" s="9" t="s">
        <v>127</v>
      </c>
      <c r="D48" s="9" t="s">
        <v>219</v>
      </c>
      <c r="E48" s="9" t="str">
        <f>"0,5811"</f>
        <v>0,5811</v>
      </c>
      <c r="F48" s="9" t="s">
        <v>29</v>
      </c>
      <c r="G48" s="9" t="s">
        <v>30</v>
      </c>
      <c r="H48" s="38" t="s">
        <v>125</v>
      </c>
      <c r="I48" s="38" t="s">
        <v>126</v>
      </c>
      <c r="J48" s="78" t="s">
        <v>119</v>
      </c>
      <c r="K48" s="77"/>
      <c r="L48" s="57" t="s">
        <v>126</v>
      </c>
      <c r="M48" s="57" t="str">
        <f>"116,3740"</f>
        <v>116,3740</v>
      </c>
      <c r="N48" s="9" t="s">
        <v>945</v>
      </c>
    </row>
    <row r="50" spans="2:13" ht="15">
      <c r="B50" s="166" t="s">
        <v>128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</row>
    <row r="51" spans="1:14" ht="12.75">
      <c r="A51" s="24" t="s">
        <v>778</v>
      </c>
      <c r="B51" s="65" t="s">
        <v>129</v>
      </c>
      <c r="C51" s="7" t="s">
        <v>130</v>
      </c>
      <c r="D51" s="7" t="s">
        <v>936</v>
      </c>
      <c r="E51" s="7" t="str">
        <f>"0,5692"</f>
        <v>0,5692</v>
      </c>
      <c r="F51" s="7" t="s">
        <v>10</v>
      </c>
      <c r="G51" s="7" t="s">
        <v>131</v>
      </c>
      <c r="H51" s="37" t="s">
        <v>86</v>
      </c>
      <c r="I51" s="37" t="s">
        <v>94</v>
      </c>
      <c r="J51" s="37" t="s">
        <v>132</v>
      </c>
      <c r="K51" s="60"/>
      <c r="L51" s="56" t="s">
        <v>132</v>
      </c>
      <c r="M51" s="56" t="str">
        <f>"126,9771"</f>
        <v>126,9771</v>
      </c>
      <c r="N51" s="7" t="s">
        <v>13</v>
      </c>
    </row>
    <row r="52" spans="1:14" ht="12.75">
      <c r="A52" s="24" t="s">
        <v>779</v>
      </c>
      <c r="B52" s="67" t="s">
        <v>133</v>
      </c>
      <c r="C52" s="9" t="s">
        <v>134</v>
      </c>
      <c r="D52" s="9" t="s">
        <v>937</v>
      </c>
      <c r="E52" s="9" t="str">
        <f>"0,5605"</f>
        <v>0,5605</v>
      </c>
      <c r="F52" s="9" t="s">
        <v>10</v>
      </c>
      <c r="G52" s="9" t="s">
        <v>135</v>
      </c>
      <c r="H52" s="78" t="s">
        <v>136</v>
      </c>
      <c r="I52" s="38" t="s">
        <v>94</v>
      </c>
      <c r="J52" s="38" t="s">
        <v>132</v>
      </c>
      <c r="K52" s="77"/>
      <c r="L52" s="57" t="s">
        <v>132</v>
      </c>
      <c r="M52" s="57" t="str">
        <f>"123,3100"</f>
        <v>123,3100</v>
      </c>
      <c r="N52" s="9" t="s">
        <v>13</v>
      </c>
    </row>
    <row r="54" spans="2:3" ht="18">
      <c r="B54" s="68" t="s">
        <v>137</v>
      </c>
      <c r="C54" s="68"/>
    </row>
    <row r="55" spans="2:3" ht="14.25">
      <c r="B55" s="69"/>
      <c r="C55" s="73" t="s">
        <v>1423</v>
      </c>
    </row>
    <row r="56" spans="2:6" ht="15">
      <c r="B56" s="70" t="s">
        <v>139</v>
      </c>
      <c r="C56" s="74" t="s">
        <v>140</v>
      </c>
      <c r="D56" s="74" t="s">
        <v>141</v>
      </c>
      <c r="E56" s="74" t="s">
        <v>142</v>
      </c>
      <c r="F56" s="10" t="s">
        <v>143</v>
      </c>
    </row>
    <row r="57" spans="1:6" ht="12.75">
      <c r="A57" s="24" t="s">
        <v>778</v>
      </c>
      <c r="B57" s="71" t="s">
        <v>113</v>
      </c>
      <c r="C57" s="1" t="s">
        <v>138</v>
      </c>
      <c r="D57" s="24" t="s">
        <v>806</v>
      </c>
      <c r="E57" s="24" t="s">
        <v>115</v>
      </c>
      <c r="F57" s="24" t="s">
        <v>145</v>
      </c>
    </row>
    <row r="58" spans="1:6" ht="12.75">
      <c r="A58" s="24" t="s">
        <v>779</v>
      </c>
      <c r="B58" s="71" t="s">
        <v>62</v>
      </c>
      <c r="C58" s="1" t="s">
        <v>138</v>
      </c>
      <c r="D58" s="24" t="s">
        <v>772</v>
      </c>
      <c r="E58" s="24" t="s">
        <v>67</v>
      </c>
      <c r="F58" s="24" t="s">
        <v>146</v>
      </c>
    </row>
    <row r="59" spans="1:6" ht="12.75">
      <c r="A59" s="24" t="s">
        <v>780</v>
      </c>
      <c r="B59" s="71" t="s">
        <v>92</v>
      </c>
      <c r="C59" s="1" t="s">
        <v>138</v>
      </c>
      <c r="D59" s="24" t="s">
        <v>790</v>
      </c>
      <c r="E59" s="24" t="s">
        <v>94</v>
      </c>
      <c r="F59" s="24" t="s">
        <v>147</v>
      </c>
    </row>
  </sheetData>
  <sheetProtection/>
  <mergeCells count="22">
    <mergeCell ref="B43:M43"/>
    <mergeCell ref="B50:M50"/>
    <mergeCell ref="B5:M5"/>
    <mergeCell ref="B8:M8"/>
    <mergeCell ref="B11:M11"/>
    <mergeCell ref="B14:M14"/>
    <mergeCell ref="N3:N4"/>
    <mergeCell ref="G3:G4"/>
    <mergeCell ref="L3:L4"/>
    <mergeCell ref="B26:M26"/>
    <mergeCell ref="B36:M36"/>
    <mergeCell ref="M3:M4"/>
    <mergeCell ref="F3:F4"/>
    <mergeCell ref="E3:E4"/>
    <mergeCell ref="B17:M17"/>
    <mergeCell ref="B23:M23"/>
    <mergeCell ref="A3:A4"/>
    <mergeCell ref="B1:N2"/>
    <mergeCell ref="H3:K3"/>
    <mergeCell ref="B3:B4"/>
    <mergeCell ref="C3:C4"/>
    <mergeCell ref="D3:D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8">
      <selection activeCell="A48" sqref="A48:N48"/>
    </sheetView>
  </sheetViews>
  <sheetFormatPr defaultColWidth="8.75390625" defaultRowHeight="12.75"/>
  <cols>
    <col min="1" max="1" width="7.125" style="25" customWidth="1"/>
    <col min="2" max="2" width="25.75390625" style="11" bestFit="1" customWidth="1"/>
    <col min="3" max="3" width="27.25390625" style="11" bestFit="1" customWidth="1"/>
    <col min="4" max="4" width="10.125" style="11" bestFit="1" customWidth="1"/>
    <col min="5" max="5" width="8.25390625" style="11" bestFit="1" customWidth="1"/>
    <col min="6" max="6" width="17.875" style="11" customWidth="1"/>
    <col min="7" max="7" width="38.375" style="11" bestFit="1" customWidth="1"/>
    <col min="8" max="11" width="5.625" style="11" bestFit="1" customWidth="1"/>
    <col min="12" max="12" width="10.875" style="35" customWidth="1"/>
    <col min="13" max="13" width="8.625" style="11" bestFit="1" customWidth="1"/>
    <col min="14" max="14" width="15.625" style="11" customWidth="1"/>
  </cols>
  <sheetData>
    <row r="1" spans="1:14" s="1" customFormat="1" ht="15" customHeight="1">
      <c r="A1" s="24"/>
      <c r="B1" s="150" t="s">
        <v>1421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78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148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3" t="s">
        <v>149</v>
      </c>
      <c r="C6" s="13" t="s">
        <v>150</v>
      </c>
      <c r="D6" s="13" t="s">
        <v>881</v>
      </c>
      <c r="E6" s="13" t="str">
        <f>"1,4316"</f>
        <v>1,4316</v>
      </c>
      <c r="F6" s="13" t="s">
        <v>45</v>
      </c>
      <c r="G6" s="13" t="s">
        <v>151</v>
      </c>
      <c r="H6" s="37" t="s">
        <v>18</v>
      </c>
      <c r="I6" s="37" t="s">
        <v>152</v>
      </c>
      <c r="J6" s="37" t="s">
        <v>153</v>
      </c>
      <c r="K6" s="44" t="s">
        <v>154</v>
      </c>
      <c r="L6" s="33">
        <v>54</v>
      </c>
      <c r="M6" s="28" t="str">
        <f>"77,3064"</f>
        <v>77,3064</v>
      </c>
      <c r="N6" s="13" t="s">
        <v>903</v>
      </c>
    </row>
    <row r="7" spans="1:14" ht="12.75">
      <c r="A7" s="25">
        <v>1</v>
      </c>
      <c r="B7" s="14" t="s">
        <v>149</v>
      </c>
      <c r="C7" s="14" t="s">
        <v>155</v>
      </c>
      <c r="D7" s="14" t="s">
        <v>881</v>
      </c>
      <c r="E7" s="14" t="str">
        <f>"1,4316"</f>
        <v>1,4316</v>
      </c>
      <c r="F7" s="14" t="s">
        <v>45</v>
      </c>
      <c r="G7" s="14" t="s">
        <v>151</v>
      </c>
      <c r="H7" s="38" t="s">
        <v>18</v>
      </c>
      <c r="I7" s="38" t="s">
        <v>152</v>
      </c>
      <c r="J7" s="38" t="s">
        <v>153</v>
      </c>
      <c r="K7" s="46" t="s">
        <v>154</v>
      </c>
      <c r="L7" s="34">
        <v>54</v>
      </c>
      <c r="M7" s="30" t="str">
        <f>"77,3064"</f>
        <v>77,3064</v>
      </c>
      <c r="N7" s="14" t="s">
        <v>903</v>
      </c>
    </row>
    <row r="9" spans="2:13" ht="15">
      <c r="B9" s="142" t="s">
        <v>156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4" ht="12.75">
      <c r="A10" s="25">
        <v>1</v>
      </c>
      <c r="B10" s="13" t="s">
        <v>157</v>
      </c>
      <c r="C10" s="13" t="s">
        <v>158</v>
      </c>
      <c r="D10" s="13" t="s">
        <v>822</v>
      </c>
      <c r="E10" s="13" t="str">
        <f>"1,3043"</f>
        <v>1,3043</v>
      </c>
      <c r="F10" s="13" t="s">
        <v>159</v>
      </c>
      <c r="G10" s="13" t="s">
        <v>135</v>
      </c>
      <c r="H10" s="37" t="s">
        <v>152</v>
      </c>
      <c r="I10" s="37" t="s">
        <v>160</v>
      </c>
      <c r="J10" s="37" t="s">
        <v>19</v>
      </c>
      <c r="K10" s="29"/>
      <c r="L10" s="33">
        <v>60</v>
      </c>
      <c r="M10" s="28" t="str">
        <f>"78,2580"</f>
        <v>78,2580</v>
      </c>
      <c r="N10" s="13" t="s">
        <v>904</v>
      </c>
    </row>
    <row r="11" spans="1:14" ht="12.75">
      <c r="A11" s="25">
        <v>2</v>
      </c>
      <c r="B11" s="14" t="s">
        <v>161</v>
      </c>
      <c r="C11" s="14" t="s">
        <v>162</v>
      </c>
      <c r="D11" s="14" t="s">
        <v>882</v>
      </c>
      <c r="E11" s="14" t="str">
        <f>"1,2730"</f>
        <v>1,2730</v>
      </c>
      <c r="F11" s="14" t="s">
        <v>10</v>
      </c>
      <c r="G11" s="14" t="s">
        <v>696</v>
      </c>
      <c r="H11" s="46" t="s">
        <v>19</v>
      </c>
      <c r="I11" s="38" t="s">
        <v>19</v>
      </c>
      <c r="J11" s="46" t="s">
        <v>163</v>
      </c>
      <c r="K11" s="31"/>
      <c r="L11" s="34">
        <v>60</v>
      </c>
      <c r="M11" s="30" t="str">
        <f>"76,3800"</f>
        <v>76,3800</v>
      </c>
      <c r="N11" s="14" t="s">
        <v>905</v>
      </c>
    </row>
    <row r="13" spans="2:13" ht="15">
      <c r="B13" s="142" t="s">
        <v>164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2:14" ht="12.75">
      <c r="B14" s="13" t="s">
        <v>165</v>
      </c>
      <c r="C14" s="13" t="s">
        <v>166</v>
      </c>
      <c r="D14" s="13" t="s">
        <v>883</v>
      </c>
      <c r="E14" s="13" t="str">
        <f>"1,2002"</f>
        <v>1,2002</v>
      </c>
      <c r="F14" s="13" t="s">
        <v>10</v>
      </c>
      <c r="G14" s="13" t="s">
        <v>696</v>
      </c>
      <c r="H14" s="44" t="s">
        <v>160</v>
      </c>
      <c r="I14" s="44" t="s">
        <v>163</v>
      </c>
      <c r="J14" s="44" t="s">
        <v>163</v>
      </c>
      <c r="K14" s="29"/>
      <c r="L14" s="50">
        <v>0</v>
      </c>
      <c r="M14" s="28" t="s">
        <v>713</v>
      </c>
      <c r="N14" s="13" t="s">
        <v>906</v>
      </c>
    </row>
    <row r="15" spans="2:14" ht="12.75">
      <c r="B15" s="14" t="s">
        <v>167</v>
      </c>
      <c r="C15" s="14" t="s">
        <v>168</v>
      </c>
      <c r="D15" s="14" t="s">
        <v>781</v>
      </c>
      <c r="E15" s="14" t="str">
        <f>"1,1900"</f>
        <v>1,1900</v>
      </c>
      <c r="F15" s="14" t="s">
        <v>10</v>
      </c>
      <c r="G15" s="14" t="s">
        <v>696</v>
      </c>
      <c r="H15" s="46" t="s">
        <v>169</v>
      </c>
      <c r="I15" s="46" t="s">
        <v>169</v>
      </c>
      <c r="J15" s="46" t="s">
        <v>169</v>
      </c>
      <c r="K15" s="31"/>
      <c r="L15" s="51">
        <v>0</v>
      </c>
      <c r="M15" s="30" t="s">
        <v>713</v>
      </c>
      <c r="N15" s="14" t="s">
        <v>907</v>
      </c>
    </row>
    <row r="17" spans="2:13" ht="15">
      <c r="B17" s="142" t="s">
        <v>170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</row>
    <row r="18" spans="1:14" ht="12.75">
      <c r="A18" s="25">
        <v>1</v>
      </c>
      <c r="B18" s="13" t="s">
        <v>171</v>
      </c>
      <c r="C18" s="13" t="s">
        <v>172</v>
      </c>
      <c r="D18" s="13" t="s">
        <v>19</v>
      </c>
      <c r="E18" s="13" t="str">
        <f>"1,1149"</f>
        <v>1,1149</v>
      </c>
      <c r="F18" s="13" t="s">
        <v>10</v>
      </c>
      <c r="G18" s="13" t="s">
        <v>696</v>
      </c>
      <c r="H18" s="37" t="s">
        <v>19</v>
      </c>
      <c r="I18" s="44" t="s">
        <v>169</v>
      </c>
      <c r="J18" s="44" t="s">
        <v>169</v>
      </c>
      <c r="K18" s="29"/>
      <c r="L18" s="33">
        <v>60</v>
      </c>
      <c r="M18" s="28" t="str">
        <f>"66,8940"</f>
        <v>66,8940</v>
      </c>
      <c r="N18" s="13" t="s">
        <v>13</v>
      </c>
    </row>
    <row r="19" spans="1:14" ht="12.75">
      <c r="A19" s="25">
        <v>1</v>
      </c>
      <c r="B19" s="14" t="s">
        <v>173</v>
      </c>
      <c r="C19" s="14" t="s">
        <v>174</v>
      </c>
      <c r="D19" s="14" t="s">
        <v>884</v>
      </c>
      <c r="E19" s="14" t="str">
        <f>"1,1401"</f>
        <v>1,1401</v>
      </c>
      <c r="F19" s="14" t="s">
        <v>10</v>
      </c>
      <c r="G19" s="14" t="s">
        <v>696</v>
      </c>
      <c r="H19" s="38" t="s">
        <v>20</v>
      </c>
      <c r="I19" s="46" t="s">
        <v>169</v>
      </c>
      <c r="J19" s="46" t="s">
        <v>169</v>
      </c>
      <c r="K19" s="31"/>
      <c r="L19" s="34">
        <v>65</v>
      </c>
      <c r="M19" s="30" t="str">
        <f>"74,1065"</f>
        <v>74,1065</v>
      </c>
      <c r="N19" s="14" t="s">
        <v>908</v>
      </c>
    </row>
    <row r="21" spans="2:13" ht="15">
      <c r="B21" s="142" t="s">
        <v>21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4" ht="12.75">
      <c r="A22" s="25">
        <v>1</v>
      </c>
      <c r="B22" s="13" t="s">
        <v>175</v>
      </c>
      <c r="C22" s="13" t="s">
        <v>176</v>
      </c>
      <c r="D22" s="13" t="s">
        <v>825</v>
      </c>
      <c r="E22" s="13" t="str">
        <f>"1,0994"</f>
        <v>1,0994</v>
      </c>
      <c r="F22" s="13" t="s">
        <v>10</v>
      </c>
      <c r="G22" s="13" t="s">
        <v>177</v>
      </c>
      <c r="H22" s="37" t="s">
        <v>178</v>
      </c>
      <c r="I22" s="37" t="s">
        <v>179</v>
      </c>
      <c r="J22" s="37" t="s">
        <v>180</v>
      </c>
      <c r="K22" s="37" t="s">
        <v>181</v>
      </c>
      <c r="L22" s="33">
        <v>107.5</v>
      </c>
      <c r="M22" s="28" t="str">
        <f>"118,1855"</f>
        <v>118,1855</v>
      </c>
      <c r="N22" s="13" t="s">
        <v>812</v>
      </c>
    </row>
    <row r="23" spans="1:14" ht="12.75">
      <c r="A23" s="25">
        <v>1</v>
      </c>
      <c r="B23" s="14" t="s">
        <v>175</v>
      </c>
      <c r="C23" s="14" t="s">
        <v>182</v>
      </c>
      <c r="D23" s="14" t="s">
        <v>825</v>
      </c>
      <c r="E23" s="14" t="str">
        <f>"1,0994"</f>
        <v>1,0994</v>
      </c>
      <c r="F23" s="14" t="s">
        <v>10</v>
      </c>
      <c r="G23" s="14" t="s">
        <v>177</v>
      </c>
      <c r="H23" s="38" t="s">
        <v>178</v>
      </c>
      <c r="I23" s="38" t="s">
        <v>179</v>
      </c>
      <c r="J23" s="38" t="s">
        <v>180</v>
      </c>
      <c r="K23" s="38" t="s">
        <v>181</v>
      </c>
      <c r="L23" s="34">
        <v>107.5</v>
      </c>
      <c r="M23" s="30" t="str">
        <f>"118,1855"</f>
        <v>118,1855</v>
      </c>
      <c r="N23" s="14" t="s">
        <v>812</v>
      </c>
    </row>
    <row r="25" spans="2:13" ht="15">
      <c r="B25" s="142" t="s">
        <v>26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</row>
    <row r="26" spans="1:14" ht="12.75">
      <c r="A26" s="25">
        <v>1</v>
      </c>
      <c r="B26" s="15" t="s">
        <v>183</v>
      </c>
      <c r="C26" s="15" t="s">
        <v>184</v>
      </c>
      <c r="D26" s="15" t="s">
        <v>885</v>
      </c>
      <c r="E26" s="15" t="str">
        <f>"0,9760"</f>
        <v>0,9760</v>
      </c>
      <c r="F26" s="15" t="s">
        <v>64</v>
      </c>
      <c r="G26" s="15" t="s">
        <v>185</v>
      </c>
      <c r="H26" s="36" t="s">
        <v>186</v>
      </c>
      <c r="I26" s="36" t="s">
        <v>187</v>
      </c>
      <c r="J26" s="36" t="s">
        <v>188</v>
      </c>
      <c r="K26" s="26"/>
      <c r="L26" s="32">
        <v>95</v>
      </c>
      <c r="M26" s="27" t="str">
        <f>"92,7200"</f>
        <v>92,7200</v>
      </c>
      <c r="N26" s="15" t="s">
        <v>909</v>
      </c>
    </row>
    <row r="28" spans="2:13" ht="15">
      <c r="B28" s="142" t="s">
        <v>21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4" ht="12.75">
      <c r="A29" s="25">
        <v>1</v>
      </c>
      <c r="B29" s="13" t="s">
        <v>189</v>
      </c>
      <c r="C29" s="13" t="s">
        <v>190</v>
      </c>
      <c r="D29" s="13" t="s">
        <v>718</v>
      </c>
      <c r="E29" s="13" t="str">
        <f>"0,7823"</f>
        <v>0,7823</v>
      </c>
      <c r="F29" s="13" t="s">
        <v>45</v>
      </c>
      <c r="G29" s="13" t="s">
        <v>191</v>
      </c>
      <c r="H29" s="37" t="s">
        <v>192</v>
      </c>
      <c r="I29" s="37" t="s">
        <v>193</v>
      </c>
      <c r="J29" s="37" t="s">
        <v>194</v>
      </c>
      <c r="K29" s="29"/>
      <c r="L29" s="33">
        <v>82.5</v>
      </c>
      <c r="M29" s="28" t="str">
        <f>"64,5397"</f>
        <v>64,5397</v>
      </c>
      <c r="N29" s="13" t="s">
        <v>903</v>
      </c>
    </row>
    <row r="30" spans="1:14" ht="12.75">
      <c r="A30" s="25">
        <v>1</v>
      </c>
      <c r="B30" s="14" t="s">
        <v>195</v>
      </c>
      <c r="C30" s="14" t="s">
        <v>196</v>
      </c>
      <c r="D30" s="14" t="s">
        <v>169</v>
      </c>
      <c r="E30" s="14" t="str">
        <f>"0,7710"</f>
        <v>0,7710</v>
      </c>
      <c r="F30" s="14" t="s">
        <v>10</v>
      </c>
      <c r="G30" s="14" t="s">
        <v>696</v>
      </c>
      <c r="H30" s="38" t="s">
        <v>197</v>
      </c>
      <c r="I30" s="31"/>
      <c r="J30" s="31"/>
      <c r="K30" s="31"/>
      <c r="L30" s="34">
        <v>112.5</v>
      </c>
      <c r="M30" s="30" t="str">
        <f>"86,7375"</f>
        <v>86,7375</v>
      </c>
      <c r="N30" s="14" t="s">
        <v>702</v>
      </c>
    </row>
    <row r="32" spans="2:13" ht="15">
      <c r="B32" s="142" t="s">
        <v>26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4" ht="12.75">
      <c r="A33" s="25">
        <v>1</v>
      </c>
      <c r="B33" s="13" t="s">
        <v>198</v>
      </c>
      <c r="C33" s="13" t="s">
        <v>199</v>
      </c>
      <c r="D33" s="13" t="s">
        <v>886</v>
      </c>
      <c r="E33" s="13" t="str">
        <f>"0,7146"</f>
        <v>0,7146</v>
      </c>
      <c r="F33" s="13" t="s">
        <v>10</v>
      </c>
      <c r="G33" s="13" t="s">
        <v>24</v>
      </c>
      <c r="H33" s="37" t="s">
        <v>12</v>
      </c>
      <c r="I33" s="44" t="s">
        <v>200</v>
      </c>
      <c r="J33" s="44" t="s">
        <v>200</v>
      </c>
      <c r="K33" s="29"/>
      <c r="L33" s="33">
        <v>150</v>
      </c>
      <c r="M33" s="28" t="str">
        <f>"107,1900"</f>
        <v>107,1900</v>
      </c>
      <c r="N33" s="13" t="s">
        <v>13</v>
      </c>
    </row>
    <row r="34" spans="1:14" ht="12.75">
      <c r="A34" s="25">
        <v>2</v>
      </c>
      <c r="B34" s="17" t="s">
        <v>201</v>
      </c>
      <c r="C34" s="17" t="s">
        <v>202</v>
      </c>
      <c r="D34" s="17" t="s">
        <v>887</v>
      </c>
      <c r="E34" s="17" t="str">
        <f>"0,7367"</f>
        <v>0,7367</v>
      </c>
      <c r="F34" s="17" t="s">
        <v>203</v>
      </c>
      <c r="G34" s="17" t="s">
        <v>204</v>
      </c>
      <c r="H34" s="45" t="s">
        <v>205</v>
      </c>
      <c r="I34" s="43" t="s">
        <v>205</v>
      </c>
      <c r="J34" s="43" t="s">
        <v>206</v>
      </c>
      <c r="K34" s="41"/>
      <c r="L34" s="42">
        <v>110</v>
      </c>
      <c r="M34" s="40" t="str">
        <f>"81,0370"</f>
        <v>81,0370</v>
      </c>
      <c r="N34" s="17" t="s">
        <v>732</v>
      </c>
    </row>
    <row r="35" spans="1:14" ht="12.75">
      <c r="A35" s="25">
        <v>1</v>
      </c>
      <c r="B35" s="17" t="s">
        <v>207</v>
      </c>
      <c r="C35" s="17" t="s">
        <v>208</v>
      </c>
      <c r="D35" s="17" t="s">
        <v>888</v>
      </c>
      <c r="E35" s="17" t="str">
        <f>"0,7207"</f>
        <v>0,7207</v>
      </c>
      <c r="F35" s="17" t="s">
        <v>10</v>
      </c>
      <c r="G35" s="17" t="s">
        <v>209</v>
      </c>
      <c r="H35" s="43" t="s">
        <v>41</v>
      </c>
      <c r="I35" s="45" t="s">
        <v>210</v>
      </c>
      <c r="J35" s="43" t="s">
        <v>210</v>
      </c>
      <c r="K35" s="41"/>
      <c r="L35" s="42">
        <v>137.5</v>
      </c>
      <c r="M35" s="40" t="str">
        <f>"99,0963"</f>
        <v>99,0963</v>
      </c>
      <c r="N35" s="17" t="s">
        <v>910</v>
      </c>
    </row>
    <row r="36" spans="1:14" ht="12.75">
      <c r="A36" s="25">
        <v>1</v>
      </c>
      <c r="B36" s="14" t="s">
        <v>211</v>
      </c>
      <c r="C36" s="14" t="s">
        <v>212</v>
      </c>
      <c r="D36" s="14" t="s">
        <v>888</v>
      </c>
      <c r="E36" s="14" t="str">
        <f>"0,7207"</f>
        <v>0,7207</v>
      </c>
      <c r="F36" s="14" t="s">
        <v>10</v>
      </c>
      <c r="G36" s="14" t="s">
        <v>696</v>
      </c>
      <c r="H36" s="46" t="s">
        <v>213</v>
      </c>
      <c r="I36" s="38" t="s">
        <v>213</v>
      </c>
      <c r="J36" s="46" t="s">
        <v>40</v>
      </c>
      <c r="K36" s="31"/>
      <c r="L36" s="34">
        <v>120</v>
      </c>
      <c r="M36" s="30" t="str">
        <f>"86,4840"</f>
        <v>86,4840</v>
      </c>
      <c r="N36" s="14" t="s">
        <v>906</v>
      </c>
    </row>
    <row r="38" spans="2:13" ht="15">
      <c r="B38" s="142" t="s">
        <v>7</v>
      </c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</row>
    <row r="39" spans="1:14" ht="12.75">
      <c r="A39" s="25">
        <v>1</v>
      </c>
      <c r="B39" s="13" t="s">
        <v>214</v>
      </c>
      <c r="C39" s="13" t="s">
        <v>215</v>
      </c>
      <c r="D39" s="13" t="s">
        <v>830</v>
      </c>
      <c r="E39" s="13" t="str">
        <f>"0,6806"</f>
        <v>0,6806</v>
      </c>
      <c r="F39" s="13" t="s">
        <v>64</v>
      </c>
      <c r="G39" s="13" t="s">
        <v>216</v>
      </c>
      <c r="H39" s="44" t="s">
        <v>25</v>
      </c>
      <c r="I39" s="44" t="s">
        <v>25</v>
      </c>
      <c r="J39" s="37" t="s">
        <v>25</v>
      </c>
      <c r="K39" s="29"/>
      <c r="L39" s="33">
        <v>145</v>
      </c>
      <c r="M39" s="28" t="str">
        <f>"98,6870"</f>
        <v>98,6870</v>
      </c>
      <c r="N39" s="13" t="s">
        <v>911</v>
      </c>
    </row>
    <row r="40" spans="1:14" ht="12.75">
      <c r="A40" s="25">
        <v>2</v>
      </c>
      <c r="B40" s="17" t="s">
        <v>217</v>
      </c>
      <c r="C40" s="17" t="s">
        <v>218</v>
      </c>
      <c r="D40" s="17" t="s">
        <v>889</v>
      </c>
      <c r="E40" s="17" t="str">
        <f>"0,6843"</f>
        <v>0,6843</v>
      </c>
      <c r="F40" s="17" t="s">
        <v>64</v>
      </c>
      <c r="G40" s="17" t="s">
        <v>185</v>
      </c>
      <c r="H40" s="43" t="s">
        <v>206</v>
      </c>
      <c r="I40" s="43" t="s">
        <v>219</v>
      </c>
      <c r="J40" s="45" t="s">
        <v>213</v>
      </c>
      <c r="K40" s="41"/>
      <c r="L40" s="42">
        <v>115</v>
      </c>
      <c r="M40" s="40" t="str">
        <f>"78,6945"</f>
        <v>78,6945</v>
      </c>
      <c r="N40" s="17" t="s">
        <v>912</v>
      </c>
    </row>
    <row r="41" spans="2:14" ht="12.75">
      <c r="B41" s="17" t="s">
        <v>220</v>
      </c>
      <c r="C41" s="17" t="s">
        <v>221</v>
      </c>
      <c r="D41" s="17" t="s">
        <v>844</v>
      </c>
      <c r="E41" s="17" t="str">
        <f>"0,6749"</f>
        <v>0,6749</v>
      </c>
      <c r="F41" s="17" t="s">
        <v>10</v>
      </c>
      <c r="G41" s="17" t="s">
        <v>696</v>
      </c>
      <c r="H41" s="45" t="s">
        <v>222</v>
      </c>
      <c r="I41" s="45" t="s">
        <v>222</v>
      </c>
      <c r="J41" s="45" t="s">
        <v>222</v>
      </c>
      <c r="K41" s="41"/>
      <c r="L41" s="54">
        <v>0</v>
      </c>
      <c r="M41" s="40" t="s">
        <v>713</v>
      </c>
      <c r="N41" s="17" t="s">
        <v>223</v>
      </c>
    </row>
    <row r="42" spans="1:14" ht="12.75">
      <c r="A42" s="25">
        <v>1</v>
      </c>
      <c r="B42" s="17" t="s">
        <v>224</v>
      </c>
      <c r="C42" s="17" t="s">
        <v>225</v>
      </c>
      <c r="D42" s="17" t="s">
        <v>890</v>
      </c>
      <c r="E42" s="17" t="str">
        <f>"0,6774"</f>
        <v>0,6774</v>
      </c>
      <c r="F42" s="17" t="s">
        <v>10</v>
      </c>
      <c r="G42" s="17" t="s">
        <v>101</v>
      </c>
      <c r="H42" s="43" t="s">
        <v>226</v>
      </c>
      <c r="I42" s="43" t="s">
        <v>55</v>
      </c>
      <c r="J42" s="45" t="s">
        <v>108</v>
      </c>
      <c r="K42" s="41"/>
      <c r="L42" s="42">
        <v>175</v>
      </c>
      <c r="M42" s="40" t="str">
        <f>"118,5450"</f>
        <v>118,5450</v>
      </c>
      <c r="N42" s="17" t="s">
        <v>913</v>
      </c>
    </row>
    <row r="43" spans="1:14" ht="12.75">
      <c r="A43" s="25">
        <v>1</v>
      </c>
      <c r="B43" s="17" t="s">
        <v>227</v>
      </c>
      <c r="C43" s="17" t="s">
        <v>228</v>
      </c>
      <c r="D43" s="17" t="s">
        <v>891</v>
      </c>
      <c r="E43" s="17" t="str">
        <f>"0,6779"</f>
        <v>0,6779</v>
      </c>
      <c r="F43" s="17" t="s">
        <v>10</v>
      </c>
      <c r="G43" s="17" t="s">
        <v>879</v>
      </c>
      <c r="H43" s="43" t="s">
        <v>49</v>
      </c>
      <c r="I43" s="45" t="s">
        <v>11</v>
      </c>
      <c r="J43" s="45" t="s">
        <v>11</v>
      </c>
      <c r="K43" s="41"/>
      <c r="L43" s="42">
        <v>135</v>
      </c>
      <c r="M43" s="40" t="str">
        <f>"95,5432"</f>
        <v>95,5432</v>
      </c>
      <c r="N43" s="17" t="s">
        <v>13</v>
      </c>
    </row>
    <row r="44" spans="1:14" ht="12.75">
      <c r="A44" s="25">
        <v>2</v>
      </c>
      <c r="B44" s="14" t="s">
        <v>229</v>
      </c>
      <c r="C44" s="14" t="s">
        <v>230</v>
      </c>
      <c r="D44" s="14" t="s">
        <v>764</v>
      </c>
      <c r="E44" s="14" t="str">
        <f>"0,6854"</f>
        <v>0,6854</v>
      </c>
      <c r="F44" s="14" t="s">
        <v>203</v>
      </c>
      <c r="G44" s="14" t="s">
        <v>204</v>
      </c>
      <c r="H44" s="46" t="s">
        <v>40</v>
      </c>
      <c r="I44" s="46" t="s">
        <v>40</v>
      </c>
      <c r="J44" s="38" t="s">
        <v>40</v>
      </c>
      <c r="K44" s="31"/>
      <c r="L44" s="34">
        <v>125</v>
      </c>
      <c r="M44" s="30" t="str">
        <f>"85,6750"</f>
        <v>85,6750</v>
      </c>
      <c r="N44" s="14" t="s">
        <v>732</v>
      </c>
    </row>
    <row r="46" spans="2:13" ht="15">
      <c r="B46" s="142" t="s">
        <v>50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</row>
    <row r="47" spans="1:14" ht="12.75">
      <c r="A47" s="25">
        <v>1</v>
      </c>
      <c r="B47" s="13" t="s">
        <v>231</v>
      </c>
      <c r="C47" s="13" t="s">
        <v>232</v>
      </c>
      <c r="D47" s="13" t="s">
        <v>719</v>
      </c>
      <c r="E47" s="13" t="str">
        <f>"0,6421"</f>
        <v>0,6421</v>
      </c>
      <c r="F47" s="13" t="s">
        <v>10</v>
      </c>
      <c r="G47" s="13" t="s">
        <v>216</v>
      </c>
      <c r="H47" s="37" t="s">
        <v>42</v>
      </c>
      <c r="I47" s="29"/>
      <c r="J47" s="29"/>
      <c r="K47" s="29"/>
      <c r="L47" s="33">
        <v>132.5</v>
      </c>
      <c r="M47" s="28" t="str">
        <f>"85,0782"</f>
        <v>85,0782</v>
      </c>
      <c r="N47" s="13" t="s">
        <v>914</v>
      </c>
    </row>
    <row r="48" spans="1:14" ht="12.75">
      <c r="A48" s="25">
        <v>1</v>
      </c>
      <c r="B48" s="17" t="s">
        <v>1453</v>
      </c>
      <c r="C48" s="17" t="s">
        <v>1454</v>
      </c>
      <c r="D48" s="17" t="s">
        <v>720</v>
      </c>
      <c r="E48" s="17" t="str">
        <f>"0,6444"</f>
        <v>0,6444</v>
      </c>
      <c r="F48" s="17" t="s">
        <v>10</v>
      </c>
      <c r="G48" s="17" t="s">
        <v>696</v>
      </c>
      <c r="H48" s="43" t="s">
        <v>11</v>
      </c>
      <c r="I48" s="43" t="s">
        <v>239</v>
      </c>
      <c r="J48" s="43" t="s">
        <v>253</v>
      </c>
      <c r="K48" s="41"/>
      <c r="L48" s="42">
        <v>157.5</v>
      </c>
      <c r="M48" s="40" t="s">
        <v>1455</v>
      </c>
      <c r="N48" s="17" t="s">
        <v>13</v>
      </c>
    </row>
    <row r="49" spans="1:14" ht="12.75">
      <c r="A49" s="25">
        <v>1</v>
      </c>
      <c r="B49" s="17" t="s">
        <v>233</v>
      </c>
      <c r="C49" s="17" t="s">
        <v>234</v>
      </c>
      <c r="D49" s="17" t="s">
        <v>892</v>
      </c>
      <c r="E49" s="17" t="str">
        <f>"0,6440"</f>
        <v>0,6440</v>
      </c>
      <c r="F49" s="17" t="s">
        <v>10</v>
      </c>
      <c r="G49" s="17" t="s">
        <v>185</v>
      </c>
      <c r="H49" s="43" t="s">
        <v>226</v>
      </c>
      <c r="I49" s="43" t="s">
        <v>55</v>
      </c>
      <c r="J49" s="43" t="s">
        <v>108</v>
      </c>
      <c r="K49" s="41"/>
      <c r="L49" s="42">
        <v>180</v>
      </c>
      <c r="M49" s="40" t="str">
        <f>"115,9200"</f>
        <v>115,9200</v>
      </c>
      <c r="N49" s="17" t="s">
        <v>13</v>
      </c>
    </row>
    <row r="50" spans="1:14" ht="12.75">
      <c r="A50" s="25">
        <v>2</v>
      </c>
      <c r="B50" s="17" t="s">
        <v>235</v>
      </c>
      <c r="C50" s="17" t="s">
        <v>236</v>
      </c>
      <c r="D50" s="17" t="s">
        <v>893</v>
      </c>
      <c r="E50" s="17" t="str">
        <f>"0,6483"</f>
        <v>0,6483</v>
      </c>
      <c r="F50" s="17" t="s">
        <v>203</v>
      </c>
      <c r="G50" s="17" t="s">
        <v>696</v>
      </c>
      <c r="H50" s="43" t="s">
        <v>54</v>
      </c>
      <c r="I50" s="43" t="s">
        <v>226</v>
      </c>
      <c r="J50" s="45" t="s">
        <v>55</v>
      </c>
      <c r="K50" s="41"/>
      <c r="L50" s="42">
        <v>167.5</v>
      </c>
      <c r="M50" s="40" t="str">
        <f>"108,5902"</f>
        <v>108,5902</v>
      </c>
      <c r="N50" s="17" t="s">
        <v>732</v>
      </c>
    </row>
    <row r="51" spans="1:14" ht="12.75">
      <c r="A51" s="25">
        <v>3</v>
      </c>
      <c r="B51" s="17" t="s">
        <v>237</v>
      </c>
      <c r="C51" s="17" t="s">
        <v>238</v>
      </c>
      <c r="D51" s="17" t="s">
        <v>862</v>
      </c>
      <c r="E51" s="17" t="str">
        <f>"0,6557"</f>
        <v>0,6557</v>
      </c>
      <c r="F51" s="17" t="s">
        <v>159</v>
      </c>
      <c r="G51" s="17" t="s">
        <v>135</v>
      </c>
      <c r="H51" s="43" t="s">
        <v>11</v>
      </c>
      <c r="I51" s="43" t="s">
        <v>239</v>
      </c>
      <c r="J51" s="45" t="s">
        <v>200</v>
      </c>
      <c r="K51" s="41"/>
      <c r="L51" s="42">
        <v>152.5</v>
      </c>
      <c r="M51" s="40" t="str">
        <f>"99,9943"</f>
        <v>99,9943</v>
      </c>
      <c r="N51" s="17" t="s">
        <v>814</v>
      </c>
    </row>
    <row r="52" spans="1:14" ht="12.75">
      <c r="A52" s="25">
        <v>4</v>
      </c>
      <c r="B52" s="17" t="s">
        <v>240</v>
      </c>
      <c r="C52" s="17" t="s">
        <v>241</v>
      </c>
      <c r="D52" s="17" t="s">
        <v>681</v>
      </c>
      <c r="E52" s="17" t="str">
        <f>"0,6579"</f>
        <v>0,6579</v>
      </c>
      <c r="F52" s="17" t="s">
        <v>10</v>
      </c>
      <c r="G52" s="17" t="s">
        <v>696</v>
      </c>
      <c r="H52" s="43" t="s">
        <v>242</v>
      </c>
      <c r="I52" s="41"/>
      <c r="J52" s="41"/>
      <c r="K52" s="41"/>
      <c r="L52" s="42">
        <v>142.5</v>
      </c>
      <c r="M52" s="40" t="str">
        <f>"93,7507"</f>
        <v>93,7507</v>
      </c>
      <c r="N52" s="17" t="s">
        <v>722</v>
      </c>
    </row>
    <row r="53" spans="2:14" ht="12.75">
      <c r="B53" s="17" t="s">
        <v>243</v>
      </c>
      <c r="C53" s="17" t="s">
        <v>244</v>
      </c>
      <c r="D53" s="17" t="s">
        <v>894</v>
      </c>
      <c r="E53" s="17" t="str">
        <f>"0,6495"</f>
        <v>0,6495</v>
      </c>
      <c r="F53" s="17" t="s">
        <v>10</v>
      </c>
      <c r="G53" s="17" t="s">
        <v>696</v>
      </c>
      <c r="H53" s="45" t="s">
        <v>219</v>
      </c>
      <c r="I53" s="45" t="s">
        <v>213</v>
      </c>
      <c r="J53" s="45" t="s">
        <v>213</v>
      </c>
      <c r="K53" s="41"/>
      <c r="L53" s="54">
        <v>0</v>
      </c>
      <c r="M53" s="40" t="s">
        <v>713</v>
      </c>
      <c r="N53" s="17" t="s">
        <v>13</v>
      </c>
    </row>
    <row r="54" spans="2:14" ht="12.75">
      <c r="B54" s="17" t="s">
        <v>245</v>
      </c>
      <c r="C54" s="17" t="s">
        <v>246</v>
      </c>
      <c r="D54" s="17" t="s">
        <v>766</v>
      </c>
      <c r="E54" s="17" t="str">
        <f>"0,6436"</f>
        <v>0,6436</v>
      </c>
      <c r="F54" s="17" t="s">
        <v>10</v>
      </c>
      <c r="G54" s="17" t="s">
        <v>247</v>
      </c>
      <c r="H54" s="45" t="s">
        <v>11</v>
      </c>
      <c r="I54" s="45" t="s">
        <v>11</v>
      </c>
      <c r="J54" s="45" t="s">
        <v>11</v>
      </c>
      <c r="K54" s="41"/>
      <c r="L54" s="54">
        <v>0</v>
      </c>
      <c r="M54" s="40" t="s">
        <v>713</v>
      </c>
      <c r="N54" s="17" t="s">
        <v>915</v>
      </c>
    </row>
    <row r="55" spans="1:14" ht="12.75">
      <c r="A55" s="25">
        <v>1</v>
      </c>
      <c r="B55" s="17" t="s">
        <v>248</v>
      </c>
      <c r="C55" s="17" t="s">
        <v>249</v>
      </c>
      <c r="D55" s="17" t="s">
        <v>720</v>
      </c>
      <c r="E55" s="17" t="str">
        <f>"0,6444"</f>
        <v>0,6444</v>
      </c>
      <c r="F55" s="17" t="s">
        <v>10</v>
      </c>
      <c r="G55" s="17" t="s">
        <v>250</v>
      </c>
      <c r="H55" s="43" t="s">
        <v>54</v>
      </c>
      <c r="I55" s="45" t="s">
        <v>72</v>
      </c>
      <c r="J55" s="45" t="s">
        <v>72</v>
      </c>
      <c r="K55" s="41"/>
      <c r="L55" s="42">
        <v>160</v>
      </c>
      <c r="M55" s="40" t="str">
        <f>"104,5475"</f>
        <v>104,5475</v>
      </c>
      <c r="N55" s="17" t="s">
        <v>916</v>
      </c>
    </row>
    <row r="56" spans="1:14" ht="12.75">
      <c r="A56" s="25">
        <v>1</v>
      </c>
      <c r="B56" s="14" t="s">
        <v>251</v>
      </c>
      <c r="C56" s="14" t="s">
        <v>252</v>
      </c>
      <c r="D56" s="14" t="s">
        <v>187</v>
      </c>
      <c r="E56" s="14" t="str">
        <f>"0,6384"</f>
        <v>0,6384</v>
      </c>
      <c r="F56" s="14" t="s">
        <v>29</v>
      </c>
      <c r="G56" s="14" t="s">
        <v>30</v>
      </c>
      <c r="H56" s="38" t="s">
        <v>25</v>
      </c>
      <c r="I56" s="38" t="s">
        <v>12</v>
      </c>
      <c r="J56" s="46" t="s">
        <v>253</v>
      </c>
      <c r="K56" s="31"/>
      <c r="L56" s="34">
        <v>150</v>
      </c>
      <c r="M56" s="30" t="str">
        <f>"103,2293"</f>
        <v>103,2293</v>
      </c>
      <c r="N56" s="14" t="s">
        <v>917</v>
      </c>
    </row>
    <row r="58" spans="2:13" ht="15">
      <c r="B58" s="142" t="s">
        <v>56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</row>
    <row r="59" spans="1:14" ht="12.75">
      <c r="A59" s="25">
        <v>1</v>
      </c>
      <c r="B59" s="13" t="s">
        <v>254</v>
      </c>
      <c r="C59" s="13" t="s">
        <v>255</v>
      </c>
      <c r="D59" s="13" t="s">
        <v>895</v>
      </c>
      <c r="E59" s="13" t="str">
        <f>"0,6345"</f>
        <v>0,6345</v>
      </c>
      <c r="F59" s="13" t="s">
        <v>10</v>
      </c>
      <c r="G59" s="13" t="s">
        <v>256</v>
      </c>
      <c r="H59" s="37" t="s">
        <v>55</v>
      </c>
      <c r="I59" s="44" t="s">
        <v>61</v>
      </c>
      <c r="J59" s="44" t="s">
        <v>61</v>
      </c>
      <c r="K59" s="29"/>
      <c r="L59" s="33">
        <v>175</v>
      </c>
      <c r="M59" s="28" t="str">
        <f>"111,0375"</f>
        <v>111,0375</v>
      </c>
      <c r="N59" s="13" t="s">
        <v>13</v>
      </c>
    </row>
    <row r="60" spans="1:14" ht="12.75">
      <c r="A60" s="25">
        <v>2</v>
      </c>
      <c r="B60" s="17" t="s">
        <v>257</v>
      </c>
      <c r="C60" s="17" t="s">
        <v>258</v>
      </c>
      <c r="D60" s="17" t="s">
        <v>896</v>
      </c>
      <c r="E60" s="17" t="str">
        <f>"0,6121"</f>
        <v>0,6121</v>
      </c>
      <c r="F60" s="17" t="s">
        <v>10</v>
      </c>
      <c r="G60" s="17" t="s">
        <v>101</v>
      </c>
      <c r="H60" s="43" t="s">
        <v>54</v>
      </c>
      <c r="I60" s="43" t="s">
        <v>60</v>
      </c>
      <c r="J60" s="45" t="s">
        <v>108</v>
      </c>
      <c r="K60" s="41"/>
      <c r="L60" s="42">
        <v>170</v>
      </c>
      <c r="M60" s="40" t="str">
        <f>"104,0570"</f>
        <v>104,0570</v>
      </c>
      <c r="N60" s="17" t="s">
        <v>259</v>
      </c>
    </row>
    <row r="61" spans="1:14" ht="12.75">
      <c r="A61" s="25">
        <v>3</v>
      </c>
      <c r="B61" s="17" t="s">
        <v>260</v>
      </c>
      <c r="C61" s="17" t="s">
        <v>261</v>
      </c>
      <c r="D61" s="17" t="s">
        <v>896</v>
      </c>
      <c r="E61" s="17" t="str">
        <f>"0,6121"</f>
        <v>0,6121</v>
      </c>
      <c r="F61" s="17" t="s">
        <v>10</v>
      </c>
      <c r="G61" s="17" t="s">
        <v>262</v>
      </c>
      <c r="H61" s="43" t="s">
        <v>54</v>
      </c>
      <c r="I61" s="43" t="s">
        <v>226</v>
      </c>
      <c r="J61" s="45" t="s">
        <v>90</v>
      </c>
      <c r="K61" s="41"/>
      <c r="L61" s="42">
        <v>167.5</v>
      </c>
      <c r="M61" s="40" t="str">
        <f>"102,5268"</f>
        <v>102,5268</v>
      </c>
      <c r="N61" s="17" t="s">
        <v>34</v>
      </c>
    </row>
    <row r="62" spans="1:14" ht="12.75">
      <c r="A62" s="25">
        <v>1</v>
      </c>
      <c r="B62" s="17" t="s">
        <v>263</v>
      </c>
      <c r="C62" s="17" t="s">
        <v>264</v>
      </c>
      <c r="D62" s="17" t="s">
        <v>897</v>
      </c>
      <c r="E62" s="17" t="str">
        <f>"0,6098"</f>
        <v>0,6098</v>
      </c>
      <c r="F62" s="17" t="s">
        <v>10</v>
      </c>
      <c r="G62" s="17" t="s">
        <v>265</v>
      </c>
      <c r="H62" s="43" t="s">
        <v>11</v>
      </c>
      <c r="I62" s="45" t="s">
        <v>200</v>
      </c>
      <c r="J62" s="43" t="s">
        <v>200</v>
      </c>
      <c r="K62" s="41"/>
      <c r="L62" s="42">
        <v>155</v>
      </c>
      <c r="M62" s="40" t="str">
        <f>"118,1487"</f>
        <v>118,1487</v>
      </c>
      <c r="N62" s="17" t="s">
        <v>13</v>
      </c>
    </row>
    <row r="63" spans="1:14" ht="12.75">
      <c r="A63" s="25">
        <v>1</v>
      </c>
      <c r="B63" s="14" t="s">
        <v>266</v>
      </c>
      <c r="C63" s="14" t="s">
        <v>267</v>
      </c>
      <c r="D63" s="14" t="s">
        <v>799</v>
      </c>
      <c r="E63" s="14" t="str">
        <f>"0,6142"</f>
        <v>0,6142</v>
      </c>
      <c r="F63" s="14" t="s">
        <v>10</v>
      </c>
      <c r="G63" s="14" t="s">
        <v>696</v>
      </c>
      <c r="H63" s="38" t="s">
        <v>253</v>
      </c>
      <c r="I63" s="38" t="s">
        <v>268</v>
      </c>
      <c r="J63" s="46" t="s">
        <v>72</v>
      </c>
      <c r="K63" s="31"/>
      <c r="L63" s="34">
        <v>162.5</v>
      </c>
      <c r="M63" s="30" t="str">
        <f>"137,7343"</f>
        <v>137,7343</v>
      </c>
      <c r="N63" s="14" t="s">
        <v>269</v>
      </c>
    </row>
    <row r="65" spans="2:13" ht="15">
      <c r="B65" s="142" t="s">
        <v>91</v>
      </c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</row>
    <row r="66" spans="1:14" ht="12.75">
      <c r="A66" s="25">
        <v>1</v>
      </c>
      <c r="B66" s="13" t="s">
        <v>270</v>
      </c>
      <c r="C66" s="13" t="s">
        <v>271</v>
      </c>
      <c r="D66" s="13" t="s">
        <v>898</v>
      </c>
      <c r="E66" s="13" t="str">
        <f>"0,6074"</f>
        <v>0,6074</v>
      </c>
      <c r="F66" s="13" t="s">
        <v>64</v>
      </c>
      <c r="G66" s="13" t="s">
        <v>216</v>
      </c>
      <c r="H66" s="37" t="s">
        <v>104</v>
      </c>
      <c r="I66" s="44" t="s">
        <v>132</v>
      </c>
      <c r="J66" s="37" t="s">
        <v>132</v>
      </c>
      <c r="K66" s="29"/>
      <c r="L66" s="33">
        <v>220</v>
      </c>
      <c r="M66" s="28" t="str">
        <f>"133,6280"</f>
        <v>133,6280</v>
      </c>
      <c r="N66" s="13" t="s">
        <v>13</v>
      </c>
    </row>
    <row r="67" spans="1:14" ht="12.75">
      <c r="A67" s="25">
        <v>2</v>
      </c>
      <c r="B67" s="17" t="s">
        <v>272</v>
      </c>
      <c r="C67" s="17" t="s">
        <v>273</v>
      </c>
      <c r="D67" s="17" t="s">
        <v>899</v>
      </c>
      <c r="E67" s="17" t="str">
        <f>"0,6002"</f>
        <v>0,6002</v>
      </c>
      <c r="F67" s="17" t="s">
        <v>10</v>
      </c>
      <c r="G67" s="17" t="s">
        <v>880</v>
      </c>
      <c r="H67" s="43" t="s">
        <v>86</v>
      </c>
      <c r="I67" s="43" t="s">
        <v>66</v>
      </c>
      <c r="J67" s="43" t="s">
        <v>67</v>
      </c>
      <c r="K67" s="41"/>
      <c r="L67" s="42">
        <v>217.5</v>
      </c>
      <c r="M67" s="40" t="str">
        <f>"130,5435"</f>
        <v>130,5435</v>
      </c>
      <c r="N67" s="17" t="s">
        <v>918</v>
      </c>
    </row>
    <row r="68" spans="1:14" ht="12.75">
      <c r="A68" s="25">
        <v>3</v>
      </c>
      <c r="B68" s="17" t="s">
        <v>274</v>
      </c>
      <c r="C68" s="17" t="s">
        <v>275</v>
      </c>
      <c r="D68" s="17" t="s">
        <v>900</v>
      </c>
      <c r="E68" s="17" t="str">
        <f>"0,5964"</f>
        <v>0,5964</v>
      </c>
      <c r="F68" s="17" t="s">
        <v>10</v>
      </c>
      <c r="G68" s="17" t="s">
        <v>276</v>
      </c>
      <c r="H68" s="43" t="s">
        <v>102</v>
      </c>
      <c r="I68" s="45" t="s">
        <v>86</v>
      </c>
      <c r="J68" s="43" t="s">
        <v>86</v>
      </c>
      <c r="K68" s="41"/>
      <c r="L68" s="42">
        <v>200</v>
      </c>
      <c r="M68" s="40" t="str">
        <f>"119,2800"</f>
        <v>119,2800</v>
      </c>
      <c r="N68" s="17" t="s">
        <v>13</v>
      </c>
    </row>
    <row r="69" spans="1:14" ht="12.75">
      <c r="A69" s="25">
        <v>4</v>
      </c>
      <c r="B69" s="17" t="s">
        <v>277</v>
      </c>
      <c r="C69" s="17" t="s">
        <v>278</v>
      </c>
      <c r="D69" s="17" t="s">
        <v>901</v>
      </c>
      <c r="E69" s="17" t="str">
        <f>"0,6017"</f>
        <v>0,6017</v>
      </c>
      <c r="F69" s="17" t="s">
        <v>10</v>
      </c>
      <c r="G69" s="17" t="s">
        <v>279</v>
      </c>
      <c r="H69" s="43" t="s">
        <v>108</v>
      </c>
      <c r="I69" s="43" t="s">
        <v>125</v>
      </c>
      <c r="J69" s="43" t="s">
        <v>280</v>
      </c>
      <c r="K69" s="41"/>
      <c r="L69" s="42">
        <v>195</v>
      </c>
      <c r="M69" s="40" t="str">
        <f>"117,3315"</f>
        <v>117,3315</v>
      </c>
      <c r="N69" s="17" t="s">
        <v>13</v>
      </c>
    </row>
    <row r="70" spans="1:14" ht="12.75">
      <c r="A70" s="25">
        <v>5</v>
      </c>
      <c r="B70" s="17" t="s">
        <v>281</v>
      </c>
      <c r="C70" s="17" t="s">
        <v>282</v>
      </c>
      <c r="D70" s="17" t="s">
        <v>786</v>
      </c>
      <c r="E70" s="17" t="str">
        <f>"0,5919"</f>
        <v>0,5919</v>
      </c>
      <c r="F70" s="17" t="s">
        <v>10</v>
      </c>
      <c r="G70" s="17" t="s">
        <v>101</v>
      </c>
      <c r="H70" s="43" t="s">
        <v>54</v>
      </c>
      <c r="I70" s="43" t="s">
        <v>60</v>
      </c>
      <c r="J70" s="45" t="s">
        <v>55</v>
      </c>
      <c r="K70" s="41"/>
      <c r="L70" s="42">
        <v>170</v>
      </c>
      <c r="M70" s="40" t="str">
        <f>"100,6230"</f>
        <v>100,6230</v>
      </c>
      <c r="N70" s="17" t="s">
        <v>13</v>
      </c>
    </row>
    <row r="71" spans="1:14" ht="12.75">
      <c r="A71" s="25">
        <v>6</v>
      </c>
      <c r="B71" s="14" t="s">
        <v>283</v>
      </c>
      <c r="C71" s="14" t="s">
        <v>284</v>
      </c>
      <c r="D71" s="14" t="s">
        <v>692</v>
      </c>
      <c r="E71" s="14" t="str">
        <f>"0,5941"</f>
        <v>0,5941</v>
      </c>
      <c r="F71" s="14" t="s">
        <v>10</v>
      </c>
      <c r="G71" s="14" t="s">
        <v>693</v>
      </c>
      <c r="H71" s="38" t="s">
        <v>11</v>
      </c>
      <c r="I71" s="38" t="s">
        <v>285</v>
      </c>
      <c r="J71" s="46" t="s">
        <v>12</v>
      </c>
      <c r="K71" s="31"/>
      <c r="L71" s="34">
        <v>147.5</v>
      </c>
      <c r="M71" s="30" t="str">
        <f>"87,6297"</f>
        <v>87,6297</v>
      </c>
      <c r="N71" s="14" t="s">
        <v>13</v>
      </c>
    </row>
    <row r="73" spans="2:13" ht="15">
      <c r="B73" s="142" t="s">
        <v>112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spans="1:14" ht="12.75">
      <c r="A74" s="25">
        <v>1</v>
      </c>
      <c r="B74" s="15" t="s">
        <v>286</v>
      </c>
      <c r="C74" s="15" t="s">
        <v>287</v>
      </c>
      <c r="D74" s="15" t="s">
        <v>902</v>
      </c>
      <c r="E74" s="15" t="str">
        <f>"0,5744"</f>
        <v>0,5744</v>
      </c>
      <c r="F74" s="15" t="s">
        <v>64</v>
      </c>
      <c r="G74" s="15" t="s">
        <v>185</v>
      </c>
      <c r="H74" s="36" t="s">
        <v>60</v>
      </c>
      <c r="I74" s="36" t="s">
        <v>108</v>
      </c>
      <c r="J74" s="36" t="s">
        <v>61</v>
      </c>
      <c r="K74" s="26"/>
      <c r="L74" s="32">
        <v>185</v>
      </c>
      <c r="M74" s="27" t="str">
        <f>"106,2640"</f>
        <v>106,2640</v>
      </c>
      <c r="N74" s="15" t="s">
        <v>739</v>
      </c>
    </row>
    <row r="76" spans="2:13" ht="15">
      <c r="B76" s="142" t="s">
        <v>128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</row>
    <row r="77" spans="1:14" ht="12.75">
      <c r="A77" s="25">
        <v>1</v>
      </c>
      <c r="B77" s="15" t="s">
        <v>288</v>
      </c>
      <c r="C77" s="15" t="s">
        <v>289</v>
      </c>
      <c r="D77" s="15" t="s">
        <v>49</v>
      </c>
      <c r="E77" s="15" t="str">
        <f>"0,5620"</f>
        <v>0,5620</v>
      </c>
      <c r="F77" s="15" t="s">
        <v>10</v>
      </c>
      <c r="G77" s="15" t="s">
        <v>696</v>
      </c>
      <c r="H77" s="36" t="s">
        <v>61</v>
      </c>
      <c r="I77" s="36" t="s">
        <v>109</v>
      </c>
      <c r="J77" s="36" t="s">
        <v>86</v>
      </c>
      <c r="K77" s="26"/>
      <c r="L77" s="32">
        <v>200</v>
      </c>
      <c r="M77" s="27" t="str">
        <f>"112,4000"</f>
        <v>112,4000</v>
      </c>
      <c r="N77" s="15" t="s">
        <v>223</v>
      </c>
    </row>
    <row r="79" spans="2:3" ht="18">
      <c r="B79" s="12" t="s">
        <v>137</v>
      </c>
      <c r="C79" s="12"/>
    </row>
    <row r="81" spans="2:3" ht="14.25">
      <c r="B81" s="20"/>
      <c r="C81" s="21"/>
    </row>
    <row r="82" spans="2:6" ht="15">
      <c r="B82" s="22" t="s">
        <v>139</v>
      </c>
      <c r="C82" s="22" t="s">
        <v>140</v>
      </c>
      <c r="D82" s="22" t="s">
        <v>141</v>
      </c>
      <c r="E82" s="22" t="s">
        <v>142</v>
      </c>
      <c r="F82" s="22" t="s">
        <v>143</v>
      </c>
    </row>
    <row r="83" spans="1:6" ht="12.75">
      <c r="A83" s="25">
        <v>1</v>
      </c>
      <c r="B83" s="19" t="s">
        <v>270</v>
      </c>
      <c r="C83" s="48" t="s">
        <v>138</v>
      </c>
      <c r="D83" s="49" t="s">
        <v>790</v>
      </c>
      <c r="E83" s="49" t="s">
        <v>132</v>
      </c>
      <c r="F83" s="49" t="s">
        <v>290</v>
      </c>
    </row>
    <row r="84" spans="1:6" ht="12.75">
      <c r="A84" s="25">
        <v>2</v>
      </c>
      <c r="B84" s="19" t="s">
        <v>272</v>
      </c>
      <c r="C84" s="48" t="s">
        <v>138</v>
      </c>
      <c r="D84" s="49" t="s">
        <v>206</v>
      </c>
      <c r="E84" s="49" t="s">
        <v>67</v>
      </c>
      <c r="F84" s="49" t="s">
        <v>291</v>
      </c>
    </row>
    <row r="85" spans="1:6" ht="12.75">
      <c r="A85" s="25">
        <v>3</v>
      </c>
      <c r="B85" s="19" t="s">
        <v>274</v>
      </c>
      <c r="C85" s="48" t="s">
        <v>138</v>
      </c>
      <c r="D85" s="49" t="s">
        <v>790</v>
      </c>
      <c r="E85" s="49" t="s">
        <v>86</v>
      </c>
      <c r="F85" s="49" t="s">
        <v>292</v>
      </c>
    </row>
  </sheetData>
  <sheetProtection/>
  <mergeCells count="26">
    <mergeCell ref="B46:M46"/>
    <mergeCell ref="B58:M58"/>
    <mergeCell ref="B65:M65"/>
    <mergeCell ref="B73:M73"/>
    <mergeCell ref="B76:M76"/>
    <mergeCell ref="B17:M17"/>
    <mergeCell ref="B21:M21"/>
    <mergeCell ref="B25:M25"/>
    <mergeCell ref="B28:M28"/>
    <mergeCell ref="B32:M32"/>
    <mergeCell ref="B38:M38"/>
    <mergeCell ref="L3:L4"/>
    <mergeCell ref="M3:M4"/>
    <mergeCell ref="N3:N4"/>
    <mergeCell ref="B5:M5"/>
    <mergeCell ref="B9:M9"/>
    <mergeCell ref="B13:M13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C37" sqref="C37"/>
    </sheetView>
  </sheetViews>
  <sheetFormatPr defaultColWidth="8.75390625" defaultRowHeight="12.75"/>
  <cols>
    <col min="1" max="1" width="7.875" style="25" customWidth="1"/>
    <col min="2" max="2" width="17.75390625" style="11" customWidth="1"/>
    <col min="3" max="3" width="27.00390625" style="11" customWidth="1"/>
    <col min="4" max="4" width="10.125" style="11" bestFit="1" customWidth="1"/>
    <col min="5" max="5" width="8.25390625" style="11" bestFit="1" customWidth="1"/>
    <col min="6" max="6" width="16.625" style="11" customWidth="1"/>
    <col min="7" max="7" width="29.625" style="11" bestFit="1" customWidth="1"/>
    <col min="8" max="10" width="5.625" style="11" bestFit="1" customWidth="1"/>
    <col min="11" max="11" width="4.25390625" style="11" bestFit="1" customWidth="1"/>
    <col min="12" max="12" width="10.875" style="11" customWidth="1"/>
    <col min="13" max="13" width="8.625" style="11" bestFit="1" customWidth="1"/>
    <col min="14" max="14" width="14.125" style="11" customWidth="1"/>
  </cols>
  <sheetData>
    <row r="1" spans="1:14" s="1" customFormat="1" ht="15" customHeight="1">
      <c r="A1" s="24"/>
      <c r="B1" s="150" t="s">
        <v>816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87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6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7"/>
      <c r="M4" s="147"/>
      <c r="N4" s="162"/>
    </row>
    <row r="5" spans="2:13" ht="15">
      <c r="B5" s="163" t="s">
        <v>21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492</v>
      </c>
      <c r="C6" s="15" t="s">
        <v>493</v>
      </c>
      <c r="D6" s="15" t="s">
        <v>716</v>
      </c>
      <c r="E6" s="15" t="str">
        <f>"1,0261"</f>
        <v>1,0261</v>
      </c>
      <c r="F6" s="15" t="s">
        <v>10</v>
      </c>
      <c r="G6" s="15" t="s">
        <v>696</v>
      </c>
      <c r="H6" s="36" t="s">
        <v>19</v>
      </c>
      <c r="I6" s="39" t="s">
        <v>438</v>
      </c>
      <c r="J6" s="39" t="s">
        <v>438</v>
      </c>
      <c r="K6" s="26"/>
      <c r="L6" s="27" t="s">
        <v>19</v>
      </c>
      <c r="M6" s="27" t="str">
        <f>"61,5660"</f>
        <v>61,5660</v>
      </c>
      <c r="N6" s="15" t="s">
        <v>818</v>
      </c>
    </row>
    <row r="8" spans="2:13" ht="15">
      <c r="B8" s="142" t="s">
        <v>21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494</v>
      </c>
      <c r="C9" s="15" t="s">
        <v>495</v>
      </c>
      <c r="D9" s="15" t="s">
        <v>20</v>
      </c>
      <c r="E9" s="15" t="str">
        <f>"0,7952"</f>
        <v>0,7952</v>
      </c>
      <c r="F9" s="15" t="s">
        <v>10</v>
      </c>
      <c r="G9" s="15" t="s">
        <v>696</v>
      </c>
      <c r="H9" s="36" t="s">
        <v>187</v>
      </c>
      <c r="I9" s="36" t="s">
        <v>188</v>
      </c>
      <c r="J9" s="39" t="s">
        <v>205</v>
      </c>
      <c r="K9" s="26"/>
      <c r="L9" s="27" t="s">
        <v>188</v>
      </c>
      <c r="M9" s="27" t="str">
        <f>"75,5440"</f>
        <v>75,5440</v>
      </c>
      <c r="N9" s="15" t="s">
        <v>819</v>
      </c>
    </row>
    <row r="11" spans="2:13" ht="15">
      <c r="B11" s="142" t="s">
        <v>26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12.75">
      <c r="A12" s="25">
        <v>1</v>
      </c>
      <c r="B12" s="15" t="s">
        <v>428</v>
      </c>
      <c r="C12" s="15" t="s">
        <v>429</v>
      </c>
      <c r="D12" s="15" t="s">
        <v>817</v>
      </c>
      <c r="E12" s="15" t="str">
        <f>"0,7345"</f>
        <v>0,7345</v>
      </c>
      <c r="F12" s="15" t="s">
        <v>10</v>
      </c>
      <c r="G12" s="15" t="s">
        <v>430</v>
      </c>
      <c r="H12" s="36" t="s">
        <v>41</v>
      </c>
      <c r="I12" s="36" t="s">
        <v>210</v>
      </c>
      <c r="J12" s="36" t="s">
        <v>242</v>
      </c>
      <c r="K12" s="26"/>
      <c r="L12" s="27">
        <v>142.5</v>
      </c>
      <c r="M12" s="27" t="str">
        <f>"104,6662"</f>
        <v>104,6662</v>
      </c>
      <c r="N12" s="15" t="s">
        <v>820</v>
      </c>
    </row>
    <row r="14" spans="2:13" ht="15">
      <c r="B14" s="142" t="s">
        <v>56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4" ht="12.75">
      <c r="A15" s="25">
        <v>1</v>
      </c>
      <c r="B15" s="15" t="s">
        <v>496</v>
      </c>
      <c r="C15" s="15" t="s">
        <v>497</v>
      </c>
      <c r="D15" s="15" t="s">
        <v>682</v>
      </c>
      <c r="E15" s="15" t="str">
        <f>"0,6096"</f>
        <v>0,6096</v>
      </c>
      <c r="F15" s="15" t="s">
        <v>10</v>
      </c>
      <c r="G15" s="15" t="s">
        <v>696</v>
      </c>
      <c r="H15" s="36" t="s">
        <v>20</v>
      </c>
      <c r="I15" s="36" t="s">
        <v>192</v>
      </c>
      <c r="J15" s="39" t="s">
        <v>441</v>
      </c>
      <c r="K15" s="26"/>
      <c r="L15" s="27">
        <v>72.5</v>
      </c>
      <c r="M15" s="27" t="str">
        <f>"44,1960"</f>
        <v>44,1960</v>
      </c>
      <c r="N15" s="15" t="s">
        <v>819</v>
      </c>
    </row>
  </sheetData>
  <sheetProtection/>
  <mergeCells count="16">
    <mergeCell ref="B14:M14"/>
    <mergeCell ref="L3:L4"/>
    <mergeCell ref="M3:M4"/>
    <mergeCell ref="N3:N4"/>
    <mergeCell ref="B5:M5"/>
    <mergeCell ref="B8:M8"/>
    <mergeCell ref="B11:M11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zoomScalePageLayoutView="0" workbookViewId="0" topLeftCell="A3">
      <selection activeCell="J55" sqref="J55"/>
    </sheetView>
  </sheetViews>
  <sheetFormatPr defaultColWidth="8.75390625" defaultRowHeight="12.75"/>
  <cols>
    <col min="1" max="1" width="7.25390625" style="25" customWidth="1"/>
    <col min="2" max="2" width="22.375" style="11" customWidth="1"/>
    <col min="3" max="3" width="27.25390625" style="11" bestFit="1" customWidth="1"/>
    <col min="4" max="4" width="10.125" style="11" bestFit="1" customWidth="1"/>
    <col min="5" max="5" width="8.25390625" style="11" bestFit="1" customWidth="1"/>
    <col min="6" max="6" width="18.00390625" style="11" customWidth="1"/>
    <col min="7" max="7" width="32.75390625" style="11" bestFit="1" customWidth="1"/>
    <col min="8" max="10" width="5.625" style="11" bestFit="1" customWidth="1"/>
    <col min="11" max="11" width="5.25390625" style="11" customWidth="1"/>
    <col min="12" max="14" width="5.625" style="11" bestFit="1" customWidth="1"/>
    <col min="15" max="15" width="4.25390625" style="11" bestFit="1" customWidth="1"/>
    <col min="16" max="18" width="5.625" style="11" bestFit="1" customWidth="1"/>
    <col min="19" max="19" width="4.25390625" style="11" bestFit="1" customWidth="1"/>
    <col min="20" max="20" width="7.75390625" style="35" bestFit="1" customWidth="1"/>
    <col min="21" max="21" width="8.625" style="11" bestFit="1" customWidth="1"/>
    <col min="22" max="22" width="17.00390625" style="11" customWidth="1"/>
  </cols>
  <sheetData>
    <row r="1" spans="1:22" s="1" customFormat="1" ht="15" customHeight="1">
      <c r="A1" s="24"/>
      <c r="B1" s="150" t="s">
        <v>821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2"/>
    </row>
    <row r="2" spans="1:22" s="1" customFormat="1" ht="102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1:2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6" t="s">
        <v>709</v>
      </c>
      <c r="M3" s="146"/>
      <c r="N3" s="146"/>
      <c r="O3" s="146"/>
      <c r="P3" s="146" t="s">
        <v>710</v>
      </c>
      <c r="Q3" s="146"/>
      <c r="R3" s="146"/>
      <c r="S3" s="146"/>
      <c r="T3" s="144" t="s">
        <v>1</v>
      </c>
      <c r="U3" s="146" t="s">
        <v>3</v>
      </c>
      <c r="V3" s="161" t="s">
        <v>2</v>
      </c>
    </row>
    <row r="4" spans="1:2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778</v>
      </c>
      <c r="I4" s="3" t="s">
        <v>779</v>
      </c>
      <c r="J4" s="3" t="s">
        <v>780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145"/>
      <c r="U4" s="147"/>
      <c r="V4" s="162"/>
    </row>
    <row r="5" spans="2:21" ht="15">
      <c r="B5" s="163" t="s">
        <v>156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2" ht="12.75">
      <c r="A6" s="25">
        <v>1</v>
      </c>
      <c r="B6" s="15" t="s">
        <v>157</v>
      </c>
      <c r="C6" s="15" t="s">
        <v>158</v>
      </c>
      <c r="D6" s="15" t="s">
        <v>822</v>
      </c>
      <c r="E6" s="15" t="str">
        <f>"1,3043"</f>
        <v>1,3043</v>
      </c>
      <c r="F6" s="15" t="s">
        <v>159</v>
      </c>
      <c r="G6" s="15" t="s">
        <v>135</v>
      </c>
      <c r="H6" s="39" t="s">
        <v>194</v>
      </c>
      <c r="I6" s="36" t="s">
        <v>186</v>
      </c>
      <c r="J6" s="36" t="s">
        <v>187</v>
      </c>
      <c r="K6" s="26"/>
      <c r="L6" s="36" t="s">
        <v>154</v>
      </c>
      <c r="M6" s="39" t="s">
        <v>19</v>
      </c>
      <c r="N6" s="39" t="s">
        <v>19</v>
      </c>
      <c r="O6" s="26"/>
      <c r="P6" s="36" t="s">
        <v>205</v>
      </c>
      <c r="Q6" s="36" t="s">
        <v>180</v>
      </c>
      <c r="R6" s="39" t="s">
        <v>219</v>
      </c>
      <c r="S6" s="26"/>
      <c r="T6" s="32">
        <v>252.5</v>
      </c>
      <c r="U6" s="27" t="str">
        <f>"329,3357"</f>
        <v>329,3357</v>
      </c>
      <c r="V6" s="15" t="s">
        <v>832</v>
      </c>
    </row>
    <row r="8" spans="2:21" ht="15">
      <c r="B8" s="142" t="s">
        <v>170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2" ht="12.75">
      <c r="A9" s="25">
        <v>1</v>
      </c>
      <c r="B9" s="13" t="s">
        <v>431</v>
      </c>
      <c r="C9" s="13" t="s">
        <v>432</v>
      </c>
      <c r="D9" s="13" t="s">
        <v>823</v>
      </c>
      <c r="E9" s="13" t="str">
        <f>"1,1340"</f>
        <v>1,1340</v>
      </c>
      <c r="F9" s="13" t="s">
        <v>159</v>
      </c>
      <c r="G9" s="13" t="s">
        <v>135</v>
      </c>
      <c r="H9" s="37" t="s">
        <v>186</v>
      </c>
      <c r="I9" s="37" t="s">
        <v>187</v>
      </c>
      <c r="J9" s="37" t="s">
        <v>188</v>
      </c>
      <c r="K9" s="29"/>
      <c r="L9" s="37" t="s">
        <v>433</v>
      </c>
      <c r="M9" s="44" t="s">
        <v>434</v>
      </c>
      <c r="N9" s="44" t="s">
        <v>434</v>
      </c>
      <c r="O9" s="29"/>
      <c r="P9" s="44" t="s">
        <v>205</v>
      </c>
      <c r="Q9" s="37" t="s">
        <v>197</v>
      </c>
      <c r="R9" s="37" t="s">
        <v>222</v>
      </c>
      <c r="S9" s="29"/>
      <c r="T9" s="33">
        <v>255</v>
      </c>
      <c r="U9" s="28" t="str">
        <f>"289,1700"</f>
        <v>289,1700</v>
      </c>
      <c r="V9" s="13" t="s">
        <v>832</v>
      </c>
    </row>
    <row r="10" spans="1:22" ht="12.75">
      <c r="A10" s="25">
        <v>1</v>
      </c>
      <c r="B10" s="14" t="s">
        <v>435</v>
      </c>
      <c r="C10" s="14" t="s">
        <v>436</v>
      </c>
      <c r="D10" s="14" t="s">
        <v>824</v>
      </c>
      <c r="E10" s="14" t="str">
        <f>"1,1355"</f>
        <v>1,1355</v>
      </c>
      <c r="F10" s="14" t="s">
        <v>10</v>
      </c>
      <c r="G10" s="14" t="s">
        <v>437</v>
      </c>
      <c r="H10" s="46" t="s">
        <v>178</v>
      </c>
      <c r="I10" s="38" t="s">
        <v>178</v>
      </c>
      <c r="J10" s="46" t="s">
        <v>179</v>
      </c>
      <c r="K10" s="31"/>
      <c r="L10" s="46" t="s">
        <v>438</v>
      </c>
      <c r="M10" s="38" t="s">
        <v>192</v>
      </c>
      <c r="N10" s="46" t="s">
        <v>326</v>
      </c>
      <c r="O10" s="31"/>
      <c r="P10" s="38" t="s">
        <v>206</v>
      </c>
      <c r="Q10" s="46" t="s">
        <v>219</v>
      </c>
      <c r="R10" s="46" t="s">
        <v>219</v>
      </c>
      <c r="S10" s="31"/>
      <c r="T10" s="34">
        <v>285</v>
      </c>
      <c r="U10" s="30" t="str">
        <f>"323,6175"</f>
        <v>323,6175</v>
      </c>
      <c r="V10" s="14" t="s">
        <v>13</v>
      </c>
    </row>
    <row r="12" spans="2:21" ht="15">
      <c r="B12" s="142" t="s">
        <v>21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1:22" ht="12.75">
      <c r="A13" s="25">
        <v>1</v>
      </c>
      <c r="B13" s="13" t="s">
        <v>439</v>
      </c>
      <c r="C13" s="13" t="s">
        <v>440</v>
      </c>
      <c r="D13" s="13" t="s">
        <v>825</v>
      </c>
      <c r="E13" s="13" t="str">
        <f>"1,0994"</f>
        <v>1,0994</v>
      </c>
      <c r="F13" s="13" t="s">
        <v>75</v>
      </c>
      <c r="G13" s="13" t="s">
        <v>76</v>
      </c>
      <c r="H13" s="37" t="s">
        <v>441</v>
      </c>
      <c r="I13" s="44" t="s">
        <v>187</v>
      </c>
      <c r="J13" s="37" t="s">
        <v>188</v>
      </c>
      <c r="K13" s="29"/>
      <c r="L13" s="37" t="s">
        <v>442</v>
      </c>
      <c r="M13" s="44" t="s">
        <v>18</v>
      </c>
      <c r="N13" s="37" t="s">
        <v>18</v>
      </c>
      <c r="O13" s="29"/>
      <c r="P13" s="37" t="s">
        <v>205</v>
      </c>
      <c r="Q13" s="37" t="s">
        <v>206</v>
      </c>
      <c r="R13" s="44" t="s">
        <v>219</v>
      </c>
      <c r="S13" s="29"/>
      <c r="T13" s="33">
        <v>255</v>
      </c>
      <c r="U13" s="28" t="str">
        <f>"280,3470"</f>
        <v>280,3470</v>
      </c>
      <c r="V13" s="13" t="s">
        <v>13</v>
      </c>
    </row>
    <row r="14" spans="1:22" ht="12.75">
      <c r="A14" s="25">
        <v>1</v>
      </c>
      <c r="B14" s="17" t="s">
        <v>443</v>
      </c>
      <c r="C14" s="17" t="s">
        <v>444</v>
      </c>
      <c r="D14" s="17" t="s">
        <v>716</v>
      </c>
      <c r="E14" s="17" t="str">
        <f>"1,0261"</f>
        <v>1,0261</v>
      </c>
      <c r="F14" s="17" t="s">
        <v>10</v>
      </c>
      <c r="G14" s="17" t="s">
        <v>696</v>
      </c>
      <c r="H14" s="45" t="s">
        <v>179</v>
      </c>
      <c r="I14" s="45" t="s">
        <v>179</v>
      </c>
      <c r="J14" s="43" t="s">
        <v>179</v>
      </c>
      <c r="K14" s="41"/>
      <c r="L14" s="45" t="s">
        <v>154</v>
      </c>
      <c r="M14" s="43" t="s">
        <v>19</v>
      </c>
      <c r="N14" s="43" t="s">
        <v>163</v>
      </c>
      <c r="O14" s="41"/>
      <c r="P14" s="43" t="s">
        <v>219</v>
      </c>
      <c r="Q14" s="43" t="s">
        <v>213</v>
      </c>
      <c r="R14" s="43" t="s">
        <v>40</v>
      </c>
      <c r="S14" s="41"/>
      <c r="T14" s="42">
        <v>292.5</v>
      </c>
      <c r="U14" s="40" t="str">
        <f>"300,1343"</f>
        <v>300,1343</v>
      </c>
      <c r="V14" s="17" t="s">
        <v>833</v>
      </c>
    </row>
    <row r="15" spans="1:22" ht="12.75">
      <c r="A15" s="25">
        <v>2</v>
      </c>
      <c r="B15" s="14" t="s">
        <v>445</v>
      </c>
      <c r="C15" s="14" t="s">
        <v>446</v>
      </c>
      <c r="D15" s="14" t="s">
        <v>826</v>
      </c>
      <c r="E15" s="14" t="str">
        <f>"1,0503"</f>
        <v>1,0503</v>
      </c>
      <c r="F15" s="14" t="s">
        <v>10</v>
      </c>
      <c r="G15" s="14" t="s">
        <v>262</v>
      </c>
      <c r="H15" s="38" t="s">
        <v>441</v>
      </c>
      <c r="I15" s="38" t="s">
        <v>186</v>
      </c>
      <c r="J15" s="38" t="s">
        <v>187</v>
      </c>
      <c r="K15" s="31"/>
      <c r="L15" s="38" t="s">
        <v>20</v>
      </c>
      <c r="M15" s="46" t="s">
        <v>438</v>
      </c>
      <c r="N15" s="38" t="s">
        <v>438</v>
      </c>
      <c r="O15" s="31"/>
      <c r="P15" s="38" t="s">
        <v>205</v>
      </c>
      <c r="Q15" s="38" t="s">
        <v>206</v>
      </c>
      <c r="R15" s="46" t="s">
        <v>219</v>
      </c>
      <c r="S15" s="31"/>
      <c r="T15" s="34">
        <v>270</v>
      </c>
      <c r="U15" s="30" t="str">
        <f>"283,5810"</f>
        <v>283,5810</v>
      </c>
      <c r="V15" s="14" t="s">
        <v>447</v>
      </c>
    </row>
    <row r="17" spans="2:21" ht="15">
      <c r="B17" s="142" t="s">
        <v>156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</row>
    <row r="18" spans="1:22" ht="12.75">
      <c r="A18" s="25">
        <v>1</v>
      </c>
      <c r="B18" s="15" t="s">
        <v>448</v>
      </c>
      <c r="C18" s="15" t="s">
        <v>449</v>
      </c>
      <c r="D18" s="15" t="s">
        <v>735</v>
      </c>
      <c r="E18" s="15" t="str">
        <f>"0,9813"</f>
        <v>0,9813</v>
      </c>
      <c r="F18" s="15" t="s">
        <v>10</v>
      </c>
      <c r="G18" s="15" t="s">
        <v>295</v>
      </c>
      <c r="H18" s="39" t="s">
        <v>213</v>
      </c>
      <c r="I18" s="36" t="s">
        <v>40</v>
      </c>
      <c r="J18" s="39" t="s">
        <v>41</v>
      </c>
      <c r="K18" s="26"/>
      <c r="L18" s="36" t="s">
        <v>438</v>
      </c>
      <c r="M18" s="39" t="s">
        <v>192</v>
      </c>
      <c r="N18" s="39" t="s">
        <v>192</v>
      </c>
      <c r="O18" s="26"/>
      <c r="P18" s="36" t="s">
        <v>12</v>
      </c>
      <c r="Q18" s="36" t="s">
        <v>200</v>
      </c>
      <c r="R18" s="36" t="s">
        <v>54</v>
      </c>
      <c r="S18" s="26"/>
      <c r="T18" s="32">
        <v>355</v>
      </c>
      <c r="U18" s="27" t="str">
        <f>"348,3615"</f>
        <v>348,3615</v>
      </c>
      <c r="V18" s="15" t="s">
        <v>834</v>
      </c>
    </row>
    <row r="20" spans="2:21" ht="15">
      <c r="B20" s="142" t="s">
        <v>164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</row>
    <row r="21" spans="1:22" ht="12.75">
      <c r="A21" s="25">
        <v>1</v>
      </c>
      <c r="B21" s="15" t="s">
        <v>450</v>
      </c>
      <c r="C21" s="15" t="s">
        <v>451</v>
      </c>
      <c r="D21" s="15" t="s">
        <v>690</v>
      </c>
      <c r="E21" s="15" t="str">
        <f>"0,9103"</f>
        <v>0,9103</v>
      </c>
      <c r="F21" s="15" t="s">
        <v>10</v>
      </c>
      <c r="G21" s="15" t="s">
        <v>101</v>
      </c>
      <c r="H21" s="36" t="s">
        <v>188</v>
      </c>
      <c r="I21" s="36" t="s">
        <v>205</v>
      </c>
      <c r="J21" s="39" t="s">
        <v>178</v>
      </c>
      <c r="K21" s="26"/>
      <c r="L21" s="36" t="s">
        <v>20</v>
      </c>
      <c r="M21" s="36" t="s">
        <v>438</v>
      </c>
      <c r="N21" s="39" t="s">
        <v>192</v>
      </c>
      <c r="O21" s="26"/>
      <c r="P21" s="36" t="s">
        <v>213</v>
      </c>
      <c r="Q21" s="39" t="s">
        <v>41</v>
      </c>
      <c r="R21" s="36" t="s">
        <v>41</v>
      </c>
      <c r="S21" s="26"/>
      <c r="T21" s="32">
        <v>300</v>
      </c>
      <c r="U21" s="27" t="str">
        <f>"273,0900"</f>
        <v>273,0900</v>
      </c>
      <c r="V21" s="15" t="s">
        <v>835</v>
      </c>
    </row>
    <row r="23" spans="2:21" ht="15">
      <c r="B23" s="142" t="s">
        <v>26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</row>
    <row r="24" spans="1:22" ht="12.75">
      <c r="A24" s="25">
        <v>1</v>
      </c>
      <c r="B24" s="13" t="s">
        <v>452</v>
      </c>
      <c r="C24" s="13" t="s">
        <v>453</v>
      </c>
      <c r="D24" s="13" t="s">
        <v>827</v>
      </c>
      <c r="E24" s="13" t="str">
        <f>"0,7406"</f>
        <v>0,7406</v>
      </c>
      <c r="F24" s="13" t="s">
        <v>10</v>
      </c>
      <c r="G24" s="13" t="s">
        <v>101</v>
      </c>
      <c r="H24" s="37" t="s">
        <v>197</v>
      </c>
      <c r="I24" s="37" t="s">
        <v>213</v>
      </c>
      <c r="J24" s="37" t="s">
        <v>40</v>
      </c>
      <c r="K24" s="29"/>
      <c r="L24" s="37" t="s">
        <v>438</v>
      </c>
      <c r="M24" s="37" t="s">
        <v>326</v>
      </c>
      <c r="N24" s="37" t="s">
        <v>193</v>
      </c>
      <c r="O24" s="29"/>
      <c r="P24" s="37" t="s">
        <v>219</v>
      </c>
      <c r="Q24" s="37" t="s">
        <v>40</v>
      </c>
      <c r="R24" s="37" t="s">
        <v>41</v>
      </c>
      <c r="S24" s="29"/>
      <c r="T24" s="33">
        <v>332.5</v>
      </c>
      <c r="U24" s="28" t="str">
        <f>"246,2495"</f>
        <v>246,2495</v>
      </c>
      <c r="V24" s="13" t="s">
        <v>13</v>
      </c>
    </row>
    <row r="25" spans="1:22" ht="12.75">
      <c r="A25" s="25">
        <v>1</v>
      </c>
      <c r="B25" s="17" t="s">
        <v>454</v>
      </c>
      <c r="C25" s="17" t="s">
        <v>455</v>
      </c>
      <c r="D25" s="17" t="s">
        <v>828</v>
      </c>
      <c r="E25" s="17" t="str">
        <f>"0,7228"</f>
        <v>0,7228</v>
      </c>
      <c r="F25" s="17" t="s">
        <v>10</v>
      </c>
      <c r="G25" s="17" t="s">
        <v>696</v>
      </c>
      <c r="H25" s="43" t="s">
        <v>187</v>
      </c>
      <c r="I25" s="43" t="s">
        <v>205</v>
      </c>
      <c r="J25" s="43" t="s">
        <v>206</v>
      </c>
      <c r="K25" s="41"/>
      <c r="L25" s="43" t="s">
        <v>187</v>
      </c>
      <c r="M25" s="45" t="s">
        <v>188</v>
      </c>
      <c r="N25" s="45" t="s">
        <v>188</v>
      </c>
      <c r="O25" s="41"/>
      <c r="P25" s="43" t="s">
        <v>11</v>
      </c>
      <c r="Q25" s="43" t="s">
        <v>200</v>
      </c>
      <c r="R25" s="45" t="s">
        <v>268</v>
      </c>
      <c r="S25" s="41"/>
      <c r="T25" s="42">
        <v>355</v>
      </c>
      <c r="U25" s="40" t="str">
        <f>"256,5940"</f>
        <v>256,5940</v>
      </c>
      <c r="V25" s="17" t="s">
        <v>702</v>
      </c>
    </row>
    <row r="26" spans="1:22" ht="12.75">
      <c r="A26" s="25">
        <v>1</v>
      </c>
      <c r="B26" s="17" t="s">
        <v>456</v>
      </c>
      <c r="C26" s="17" t="s">
        <v>457</v>
      </c>
      <c r="D26" s="17" t="s">
        <v>753</v>
      </c>
      <c r="E26" s="17" t="str">
        <f>"0,7235"</f>
        <v>0,7235</v>
      </c>
      <c r="F26" s="17" t="s">
        <v>10</v>
      </c>
      <c r="G26" s="17" t="s">
        <v>101</v>
      </c>
      <c r="H26" s="43" t="s">
        <v>11</v>
      </c>
      <c r="I26" s="43" t="s">
        <v>12</v>
      </c>
      <c r="J26" s="45" t="s">
        <v>54</v>
      </c>
      <c r="K26" s="41"/>
      <c r="L26" s="45" t="s">
        <v>219</v>
      </c>
      <c r="M26" s="45" t="s">
        <v>219</v>
      </c>
      <c r="N26" s="43" t="s">
        <v>219</v>
      </c>
      <c r="O26" s="41"/>
      <c r="P26" s="43" t="s">
        <v>102</v>
      </c>
      <c r="Q26" s="43" t="s">
        <v>103</v>
      </c>
      <c r="R26" s="45" t="s">
        <v>104</v>
      </c>
      <c r="S26" s="41"/>
      <c r="T26" s="42">
        <v>470</v>
      </c>
      <c r="U26" s="40" t="str">
        <f>"340,0450"</f>
        <v>340,0450</v>
      </c>
      <c r="V26" s="17" t="s">
        <v>836</v>
      </c>
    </row>
    <row r="27" spans="1:22" ht="12.75">
      <c r="A27" s="25">
        <v>2</v>
      </c>
      <c r="B27" s="17" t="s">
        <v>458</v>
      </c>
      <c r="C27" s="17" t="s">
        <v>459</v>
      </c>
      <c r="D27" s="17" t="s">
        <v>829</v>
      </c>
      <c r="E27" s="17" t="str">
        <f>"0,7445"</f>
        <v>0,7445</v>
      </c>
      <c r="F27" s="17" t="s">
        <v>10</v>
      </c>
      <c r="G27" s="17" t="s">
        <v>696</v>
      </c>
      <c r="H27" s="43" t="s">
        <v>213</v>
      </c>
      <c r="I27" s="43" t="s">
        <v>41</v>
      </c>
      <c r="J27" s="43" t="s">
        <v>11</v>
      </c>
      <c r="K27" s="41"/>
      <c r="L27" s="43" t="s">
        <v>441</v>
      </c>
      <c r="M27" s="43" t="s">
        <v>186</v>
      </c>
      <c r="N27" s="45" t="s">
        <v>187</v>
      </c>
      <c r="O27" s="41"/>
      <c r="P27" s="43" t="s">
        <v>49</v>
      </c>
      <c r="Q27" s="43" t="s">
        <v>25</v>
      </c>
      <c r="R27" s="43" t="s">
        <v>200</v>
      </c>
      <c r="S27" s="41"/>
      <c r="T27" s="42">
        <v>380</v>
      </c>
      <c r="U27" s="40" t="str">
        <f>"282,9100"</f>
        <v>282,9100</v>
      </c>
      <c r="V27" s="17" t="s">
        <v>13</v>
      </c>
    </row>
    <row r="28" spans="2:22" ht="12.75">
      <c r="B28" s="14" t="s">
        <v>460</v>
      </c>
      <c r="C28" s="14" t="s">
        <v>461</v>
      </c>
      <c r="D28" s="14" t="s">
        <v>192</v>
      </c>
      <c r="E28" s="14" t="str">
        <f>"0,7300"</f>
        <v>0,7300</v>
      </c>
      <c r="F28" s="14" t="s">
        <v>10</v>
      </c>
      <c r="G28" s="14" t="s">
        <v>30</v>
      </c>
      <c r="H28" s="38" t="s">
        <v>72</v>
      </c>
      <c r="I28" s="46" t="s">
        <v>55</v>
      </c>
      <c r="J28" s="46" t="s">
        <v>55</v>
      </c>
      <c r="K28" s="31"/>
      <c r="L28" s="46" t="s">
        <v>206</v>
      </c>
      <c r="M28" s="46" t="s">
        <v>206</v>
      </c>
      <c r="N28" s="46" t="s">
        <v>206</v>
      </c>
      <c r="O28" s="31"/>
      <c r="P28" s="31"/>
      <c r="Q28" s="31"/>
      <c r="R28" s="31"/>
      <c r="S28" s="31"/>
      <c r="T28" s="51">
        <v>0</v>
      </c>
      <c r="U28" s="30" t="s">
        <v>713</v>
      </c>
      <c r="V28" s="14" t="s">
        <v>837</v>
      </c>
    </row>
    <row r="30" spans="2:21" ht="15">
      <c r="B30" s="142" t="s">
        <v>7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</row>
    <row r="31" spans="1:22" ht="12.75">
      <c r="A31" s="25">
        <v>1</v>
      </c>
      <c r="B31" s="13" t="s">
        <v>462</v>
      </c>
      <c r="C31" s="13" t="s">
        <v>463</v>
      </c>
      <c r="D31" s="13" t="s">
        <v>830</v>
      </c>
      <c r="E31" s="13" t="str">
        <f>"0,6806"</f>
        <v>0,6806</v>
      </c>
      <c r="F31" s="13" t="s">
        <v>159</v>
      </c>
      <c r="G31" s="13" t="s">
        <v>135</v>
      </c>
      <c r="H31" s="44" t="s">
        <v>54</v>
      </c>
      <c r="I31" s="37" t="s">
        <v>72</v>
      </c>
      <c r="J31" s="44" t="s">
        <v>60</v>
      </c>
      <c r="K31" s="29"/>
      <c r="L31" s="44" t="s">
        <v>180</v>
      </c>
      <c r="M31" s="37" t="s">
        <v>219</v>
      </c>
      <c r="N31" s="44" t="s">
        <v>213</v>
      </c>
      <c r="O31" s="29"/>
      <c r="P31" s="37" t="s">
        <v>102</v>
      </c>
      <c r="Q31" s="44" t="s">
        <v>86</v>
      </c>
      <c r="R31" s="37" t="s">
        <v>119</v>
      </c>
      <c r="S31" s="29"/>
      <c r="T31" s="33">
        <v>482.5</v>
      </c>
      <c r="U31" s="28" t="str">
        <f>"328,3895"</f>
        <v>328,3895</v>
      </c>
      <c r="V31" s="13" t="s">
        <v>832</v>
      </c>
    </row>
    <row r="32" spans="1:22" ht="12.75">
      <c r="A32" s="25">
        <v>1</v>
      </c>
      <c r="B32" s="17" t="s">
        <v>464</v>
      </c>
      <c r="C32" s="17" t="s">
        <v>465</v>
      </c>
      <c r="D32" s="17" t="s">
        <v>691</v>
      </c>
      <c r="E32" s="17" t="str">
        <f>"0,6754"</f>
        <v>0,6754</v>
      </c>
      <c r="F32" s="17" t="s">
        <v>45</v>
      </c>
      <c r="G32" s="17" t="s">
        <v>466</v>
      </c>
      <c r="H32" s="43" t="s">
        <v>200</v>
      </c>
      <c r="I32" s="43" t="s">
        <v>268</v>
      </c>
      <c r="J32" s="43" t="s">
        <v>60</v>
      </c>
      <c r="K32" s="41"/>
      <c r="L32" s="43" t="s">
        <v>213</v>
      </c>
      <c r="M32" s="43" t="s">
        <v>40</v>
      </c>
      <c r="N32" s="45" t="s">
        <v>41</v>
      </c>
      <c r="O32" s="41"/>
      <c r="P32" s="43" t="s">
        <v>132</v>
      </c>
      <c r="Q32" s="43" t="s">
        <v>361</v>
      </c>
      <c r="R32" s="45" t="s">
        <v>364</v>
      </c>
      <c r="S32" s="41"/>
      <c r="T32" s="42">
        <v>530</v>
      </c>
      <c r="U32" s="40" t="str">
        <f>"357,9620"</f>
        <v>357,9620</v>
      </c>
      <c r="V32" s="17" t="s">
        <v>13</v>
      </c>
    </row>
    <row r="33" spans="1:22" ht="12.75">
      <c r="A33" s="25">
        <v>2</v>
      </c>
      <c r="B33" s="17" t="s">
        <v>467</v>
      </c>
      <c r="C33" s="17" t="s">
        <v>468</v>
      </c>
      <c r="D33" s="17" t="s">
        <v>831</v>
      </c>
      <c r="E33" s="17" t="str">
        <f>"0,6734"</f>
        <v>0,6734</v>
      </c>
      <c r="F33" s="17" t="s">
        <v>10</v>
      </c>
      <c r="G33" s="17" t="s">
        <v>696</v>
      </c>
      <c r="H33" s="43" t="s">
        <v>72</v>
      </c>
      <c r="I33" s="45" t="s">
        <v>55</v>
      </c>
      <c r="J33" s="45" t="s">
        <v>55</v>
      </c>
      <c r="K33" s="41"/>
      <c r="L33" s="45" t="s">
        <v>197</v>
      </c>
      <c r="M33" s="43" t="s">
        <v>197</v>
      </c>
      <c r="N33" s="45" t="s">
        <v>222</v>
      </c>
      <c r="O33" s="41"/>
      <c r="P33" s="43" t="s">
        <v>60</v>
      </c>
      <c r="Q33" s="45" t="s">
        <v>321</v>
      </c>
      <c r="R33" s="45" t="s">
        <v>321</v>
      </c>
      <c r="S33" s="41"/>
      <c r="T33" s="42">
        <v>447.5</v>
      </c>
      <c r="U33" s="40" t="str">
        <f>"301,3465"</f>
        <v>301,3465</v>
      </c>
      <c r="V33" s="17" t="s">
        <v>469</v>
      </c>
    </row>
    <row r="34" spans="1:22" ht="12.75">
      <c r="A34" s="25">
        <v>1</v>
      </c>
      <c r="B34" s="14" t="s">
        <v>464</v>
      </c>
      <c r="C34" s="14" t="s">
        <v>470</v>
      </c>
      <c r="D34" s="14" t="s">
        <v>691</v>
      </c>
      <c r="E34" s="14" t="str">
        <f>"0,6754"</f>
        <v>0,6754</v>
      </c>
      <c r="F34" s="14" t="s">
        <v>45</v>
      </c>
      <c r="G34" s="14" t="s">
        <v>466</v>
      </c>
      <c r="H34" s="38" t="s">
        <v>200</v>
      </c>
      <c r="I34" s="38" t="s">
        <v>268</v>
      </c>
      <c r="J34" s="38" t="s">
        <v>60</v>
      </c>
      <c r="K34" s="31"/>
      <c r="L34" s="38" t="s">
        <v>213</v>
      </c>
      <c r="M34" s="38" t="s">
        <v>40</v>
      </c>
      <c r="N34" s="46" t="s">
        <v>41</v>
      </c>
      <c r="O34" s="31"/>
      <c r="P34" s="38" t="s">
        <v>132</v>
      </c>
      <c r="Q34" s="38" t="s">
        <v>361</v>
      </c>
      <c r="R34" s="46" t="s">
        <v>364</v>
      </c>
      <c r="S34" s="31"/>
      <c r="T34" s="34">
        <v>530</v>
      </c>
      <c r="U34" s="30" t="str">
        <f>"362,9735"</f>
        <v>362,9735</v>
      </c>
      <c r="V34" s="14" t="s">
        <v>13</v>
      </c>
    </row>
    <row r="36" spans="2:21" ht="15">
      <c r="B36" s="142" t="s">
        <v>50</v>
      </c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</row>
    <row r="37" spans="1:22" ht="12.75">
      <c r="A37" s="25">
        <v>1</v>
      </c>
      <c r="B37" s="13" t="s">
        <v>471</v>
      </c>
      <c r="C37" s="13" t="s">
        <v>472</v>
      </c>
      <c r="D37" s="13" t="s">
        <v>759</v>
      </c>
      <c r="E37" s="13" t="str">
        <f>"0,6402"</f>
        <v>0,6402</v>
      </c>
      <c r="F37" s="13" t="s">
        <v>10</v>
      </c>
      <c r="G37" s="13" t="s">
        <v>696</v>
      </c>
      <c r="H37" s="37" t="s">
        <v>226</v>
      </c>
      <c r="I37" s="44" t="s">
        <v>61</v>
      </c>
      <c r="J37" s="44" t="s">
        <v>61</v>
      </c>
      <c r="K37" s="29"/>
      <c r="L37" s="37" t="s">
        <v>12</v>
      </c>
      <c r="M37" s="44" t="s">
        <v>200</v>
      </c>
      <c r="N37" s="44" t="s">
        <v>200</v>
      </c>
      <c r="O37" s="29"/>
      <c r="P37" s="37" t="s">
        <v>268</v>
      </c>
      <c r="Q37" s="37" t="s">
        <v>90</v>
      </c>
      <c r="R37" s="37" t="s">
        <v>61</v>
      </c>
      <c r="S37" s="29"/>
      <c r="T37" s="33">
        <v>502.5</v>
      </c>
      <c r="U37" s="28" t="str">
        <f>"321,7005"</f>
        <v>321,7005</v>
      </c>
      <c r="V37" s="13" t="s">
        <v>833</v>
      </c>
    </row>
    <row r="38" spans="2:22" ht="12.75">
      <c r="B38" s="14" t="s">
        <v>473</v>
      </c>
      <c r="C38" s="14" t="s">
        <v>474</v>
      </c>
      <c r="D38" s="14" t="s">
        <v>759</v>
      </c>
      <c r="E38" s="14" t="str">
        <f>"0,6402"</f>
        <v>0,6402</v>
      </c>
      <c r="F38" s="14" t="s">
        <v>203</v>
      </c>
      <c r="G38" s="14" t="s">
        <v>204</v>
      </c>
      <c r="H38" s="46" t="s">
        <v>86</v>
      </c>
      <c r="I38" s="46" t="s">
        <v>86</v>
      </c>
      <c r="J38" s="46" t="s">
        <v>86</v>
      </c>
      <c r="K38" s="31"/>
      <c r="L38" s="31"/>
      <c r="M38" s="31"/>
      <c r="N38" s="31"/>
      <c r="O38" s="31"/>
      <c r="P38" s="31"/>
      <c r="Q38" s="31"/>
      <c r="R38" s="31"/>
      <c r="S38" s="31"/>
      <c r="T38" s="51">
        <v>0</v>
      </c>
      <c r="U38" s="30" t="s">
        <v>713</v>
      </c>
      <c r="V38" s="14" t="s">
        <v>732</v>
      </c>
    </row>
    <row r="40" spans="2:21" ht="15">
      <c r="B40" s="142" t="s">
        <v>56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</row>
    <row r="41" spans="1:22" ht="12.75">
      <c r="A41" s="25">
        <v>1</v>
      </c>
      <c r="B41" s="15" t="s">
        <v>475</v>
      </c>
      <c r="C41" s="15" t="s">
        <v>476</v>
      </c>
      <c r="D41" s="15" t="s">
        <v>760</v>
      </c>
      <c r="E41" s="15" t="str">
        <f>"0,6144"</f>
        <v>0,6144</v>
      </c>
      <c r="F41" s="15" t="s">
        <v>10</v>
      </c>
      <c r="G41" s="15" t="s">
        <v>477</v>
      </c>
      <c r="H41" s="36" t="s">
        <v>102</v>
      </c>
      <c r="I41" s="36" t="s">
        <v>86</v>
      </c>
      <c r="J41" s="36" t="s">
        <v>103</v>
      </c>
      <c r="K41" s="26"/>
      <c r="L41" s="36" t="s">
        <v>213</v>
      </c>
      <c r="M41" s="36" t="s">
        <v>40</v>
      </c>
      <c r="N41" s="39" t="s">
        <v>41</v>
      </c>
      <c r="O41" s="26"/>
      <c r="P41" s="36" t="s">
        <v>335</v>
      </c>
      <c r="Q41" s="36" t="s">
        <v>116</v>
      </c>
      <c r="R41" s="26"/>
      <c r="S41" s="26"/>
      <c r="T41" s="32">
        <v>570</v>
      </c>
      <c r="U41" s="27" t="str">
        <f>"350,2080"</f>
        <v>350,2080</v>
      </c>
      <c r="V41" s="15" t="s">
        <v>751</v>
      </c>
    </row>
    <row r="43" spans="2:21" ht="15">
      <c r="B43" s="142" t="s">
        <v>91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</row>
    <row r="44" spans="2:22" ht="12.75">
      <c r="B44" s="13" t="s">
        <v>478</v>
      </c>
      <c r="C44" s="13" t="s">
        <v>58</v>
      </c>
      <c r="D44" s="13" t="s">
        <v>761</v>
      </c>
      <c r="E44" s="13" t="str">
        <f>"0,5935"</f>
        <v>0,5935</v>
      </c>
      <c r="F44" s="13" t="s">
        <v>10</v>
      </c>
      <c r="G44" s="13" t="s">
        <v>479</v>
      </c>
      <c r="H44" s="44" t="s">
        <v>86</v>
      </c>
      <c r="I44" s="37" t="s">
        <v>86</v>
      </c>
      <c r="J44" s="44" t="s">
        <v>104</v>
      </c>
      <c r="K44" s="29"/>
      <c r="L44" s="44" t="s">
        <v>108</v>
      </c>
      <c r="M44" s="44" t="s">
        <v>108</v>
      </c>
      <c r="N44" s="44" t="s">
        <v>108</v>
      </c>
      <c r="O44" s="29"/>
      <c r="P44" s="29"/>
      <c r="Q44" s="29"/>
      <c r="R44" s="29"/>
      <c r="S44" s="29"/>
      <c r="T44" s="50">
        <v>0</v>
      </c>
      <c r="U44" s="28" t="s">
        <v>713</v>
      </c>
      <c r="V44" s="13" t="s">
        <v>13</v>
      </c>
    </row>
    <row r="45" spans="1:22" ht="12.75">
      <c r="A45" s="25">
        <v>1</v>
      </c>
      <c r="B45" s="17" t="s">
        <v>480</v>
      </c>
      <c r="C45" s="17" t="s">
        <v>481</v>
      </c>
      <c r="D45" s="17" t="s">
        <v>206</v>
      </c>
      <c r="E45" s="17" t="str">
        <f>"0,5885"</f>
        <v>0,5885</v>
      </c>
      <c r="F45" s="17" t="s">
        <v>10</v>
      </c>
      <c r="G45" s="17" t="s">
        <v>482</v>
      </c>
      <c r="H45" s="43" t="s">
        <v>116</v>
      </c>
      <c r="I45" s="43" t="s">
        <v>392</v>
      </c>
      <c r="J45" s="43" t="s">
        <v>316</v>
      </c>
      <c r="K45" s="41"/>
      <c r="L45" s="43" t="s">
        <v>108</v>
      </c>
      <c r="M45" s="43" t="s">
        <v>280</v>
      </c>
      <c r="N45" s="45" t="s">
        <v>86</v>
      </c>
      <c r="O45" s="41"/>
      <c r="P45" s="43" t="s">
        <v>116</v>
      </c>
      <c r="Q45" s="43" t="s">
        <v>316</v>
      </c>
      <c r="R45" s="45" t="s">
        <v>483</v>
      </c>
      <c r="S45" s="41"/>
      <c r="T45" s="42">
        <v>735</v>
      </c>
      <c r="U45" s="40" t="str">
        <f>"432,5475"</f>
        <v>432,5475</v>
      </c>
      <c r="V45" s="17" t="s">
        <v>13</v>
      </c>
    </row>
    <row r="46" spans="1:22" ht="12.75">
      <c r="A46" s="25">
        <v>2</v>
      </c>
      <c r="B46" s="17" t="s">
        <v>283</v>
      </c>
      <c r="C46" s="17" t="s">
        <v>284</v>
      </c>
      <c r="D46" s="17" t="s">
        <v>692</v>
      </c>
      <c r="E46" s="17" t="str">
        <f>"0,5941"</f>
        <v>0,5941</v>
      </c>
      <c r="F46" s="17" t="s">
        <v>10</v>
      </c>
      <c r="G46" s="17" t="s">
        <v>71</v>
      </c>
      <c r="H46" s="43" t="s">
        <v>86</v>
      </c>
      <c r="I46" s="43" t="s">
        <v>104</v>
      </c>
      <c r="J46" s="43" t="s">
        <v>335</v>
      </c>
      <c r="K46" s="41"/>
      <c r="L46" s="45" t="s">
        <v>11</v>
      </c>
      <c r="M46" s="43" t="s">
        <v>11</v>
      </c>
      <c r="N46" s="43" t="s">
        <v>285</v>
      </c>
      <c r="O46" s="41"/>
      <c r="P46" s="43" t="s">
        <v>132</v>
      </c>
      <c r="Q46" s="43" t="s">
        <v>116</v>
      </c>
      <c r="R46" s="45" t="s">
        <v>364</v>
      </c>
      <c r="S46" s="41"/>
      <c r="T46" s="42">
        <v>617.5</v>
      </c>
      <c r="U46" s="40" t="str">
        <f>"366,8567"</f>
        <v>366,8567</v>
      </c>
      <c r="V46" s="17" t="s">
        <v>13</v>
      </c>
    </row>
    <row r="47" spans="2:22" ht="12.75">
      <c r="B47" s="14" t="s">
        <v>478</v>
      </c>
      <c r="C47" s="14" t="s">
        <v>484</v>
      </c>
      <c r="D47" s="14" t="s">
        <v>761</v>
      </c>
      <c r="E47" s="14" t="str">
        <f>"0,5935"</f>
        <v>0,5935</v>
      </c>
      <c r="F47" s="14" t="s">
        <v>10</v>
      </c>
      <c r="G47" s="14" t="s">
        <v>479</v>
      </c>
      <c r="H47" s="46" t="s">
        <v>86</v>
      </c>
      <c r="I47" s="38" t="s">
        <v>86</v>
      </c>
      <c r="J47" s="46" t="s">
        <v>104</v>
      </c>
      <c r="K47" s="31"/>
      <c r="L47" s="46" t="s">
        <v>108</v>
      </c>
      <c r="M47" s="46" t="s">
        <v>108</v>
      </c>
      <c r="N47" s="46" t="s">
        <v>108</v>
      </c>
      <c r="O47" s="31"/>
      <c r="P47" s="31"/>
      <c r="Q47" s="31"/>
      <c r="R47" s="31"/>
      <c r="S47" s="31"/>
      <c r="T47" s="51">
        <v>0</v>
      </c>
      <c r="U47" s="30" t="s">
        <v>713</v>
      </c>
      <c r="V47" s="14" t="s">
        <v>13</v>
      </c>
    </row>
    <row r="49" spans="2:3" ht="18">
      <c r="B49" s="12" t="s">
        <v>137</v>
      </c>
      <c r="C49" s="12"/>
    </row>
    <row r="50" spans="2:3" ht="14.25">
      <c r="B50" s="20"/>
      <c r="C50" s="21"/>
    </row>
    <row r="51" spans="2:6" ht="15">
      <c r="B51" s="22" t="s">
        <v>139</v>
      </c>
      <c r="C51" s="22" t="s">
        <v>140</v>
      </c>
      <c r="D51" s="22" t="s">
        <v>141</v>
      </c>
      <c r="E51" s="22" t="s">
        <v>142</v>
      </c>
      <c r="F51" s="22" t="s">
        <v>143</v>
      </c>
    </row>
    <row r="52" spans="1:6" ht="12.75">
      <c r="A52" s="25">
        <v>1</v>
      </c>
      <c r="B52" s="19" t="s">
        <v>480</v>
      </c>
      <c r="C52" s="48" t="s">
        <v>138</v>
      </c>
      <c r="D52" s="49" t="s">
        <v>790</v>
      </c>
      <c r="E52" s="49" t="s">
        <v>425</v>
      </c>
      <c r="F52" s="49" t="s">
        <v>487</v>
      </c>
    </row>
    <row r="53" spans="1:6" ht="12.75">
      <c r="A53" s="25">
        <v>2</v>
      </c>
      <c r="B53" s="19" t="s">
        <v>283</v>
      </c>
      <c r="C53" s="48" t="s">
        <v>138</v>
      </c>
      <c r="D53" s="49" t="s">
        <v>790</v>
      </c>
      <c r="E53" s="49" t="s">
        <v>488</v>
      </c>
      <c r="F53" s="49" t="s">
        <v>489</v>
      </c>
    </row>
    <row r="54" spans="1:6" ht="12.75">
      <c r="A54" s="25">
        <v>3</v>
      </c>
      <c r="B54" s="19" t="s">
        <v>464</v>
      </c>
      <c r="C54" s="48" t="s">
        <v>138</v>
      </c>
      <c r="D54" s="49" t="s">
        <v>744</v>
      </c>
      <c r="E54" s="49" t="s">
        <v>490</v>
      </c>
      <c r="F54" s="49" t="s">
        <v>491</v>
      </c>
    </row>
  </sheetData>
  <sheetProtection/>
  <mergeCells count="24">
    <mergeCell ref="B12:U12"/>
    <mergeCell ref="B43:U43"/>
    <mergeCell ref="B17:U17"/>
    <mergeCell ref="B20:U20"/>
    <mergeCell ref="B23:U23"/>
    <mergeCell ref="B30:U30"/>
    <mergeCell ref="B36:U36"/>
    <mergeCell ref="B40:U40"/>
    <mergeCell ref="P3:S3"/>
    <mergeCell ref="T3:T4"/>
    <mergeCell ref="U3:U4"/>
    <mergeCell ref="V3:V4"/>
    <mergeCell ref="B5:U5"/>
    <mergeCell ref="B8:U8"/>
    <mergeCell ref="A3:A4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36" sqref="D36"/>
    </sheetView>
  </sheetViews>
  <sheetFormatPr defaultColWidth="8.75390625" defaultRowHeight="12.75"/>
  <cols>
    <col min="1" max="1" width="7.25390625" style="25" customWidth="1"/>
    <col min="2" max="2" width="24.75390625" style="11" bestFit="1" customWidth="1"/>
    <col min="3" max="3" width="26.625" style="11" bestFit="1" customWidth="1"/>
    <col min="4" max="4" width="10.125" style="11" bestFit="1" customWidth="1"/>
    <col min="5" max="5" width="8.25390625" style="11" bestFit="1" customWidth="1"/>
    <col min="6" max="6" width="14.125" style="11" customWidth="1"/>
    <col min="7" max="7" width="32.625" style="11" customWidth="1"/>
    <col min="8" max="10" width="5.625" style="11" bestFit="1" customWidth="1"/>
    <col min="11" max="11" width="4.25390625" style="11" bestFit="1" customWidth="1"/>
    <col min="12" max="12" width="11.625" style="35" customWidth="1"/>
    <col min="13" max="13" width="8.625" style="11" bestFit="1" customWidth="1"/>
    <col min="14" max="14" width="23.125" style="11" customWidth="1"/>
  </cols>
  <sheetData>
    <row r="1" spans="1:14" s="1" customFormat="1" ht="15" customHeight="1">
      <c r="A1" s="24"/>
      <c r="B1" s="150" t="s">
        <v>1419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92.2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156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293</v>
      </c>
      <c r="C6" s="15" t="s">
        <v>294</v>
      </c>
      <c r="D6" s="15" t="s">
        <v>735</v>
      </c>
      <c r="E6" s="15" t="str">
        <f>"1,2466"</f>
        <v>1,2466</v>
      </c>
      <c r="F6" s="15" t="s">
        <v>10</v>
      </c>
      <c r="G6" s="15" t="s">
        <v>295</v>
      </c>
      <c r="H6" s="36" t="s">
        <v>178</v>
      </c>
      <c r="I6" s="26"/>
      <c r="J6" s="26"/>
      <c r="K6" s="26"/>
      <c r="L6" s="32">
        <v>102.5</v>
      </c>
      <c r="M6" s="27" t="str">
        <f>"127,7765"</f>
        <v>127,7765</v>
      </c>
      <c r="N6" s="15" t="s">
        <v>1420</v>
      </c>
    </row>
    <row r="8" spans="2:13" ht="15">
      <c r="B8" s="142" t="s">
        <v>26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296</v>
      </c>
      <c r="C9" s="15" t="s">
        <v>297</v>
      </c>
      <c r="D9" s="15" t="s">
        <v>869</v>
      </c>
      <c r="E9" s="15" t="str">
        <f>"0,9806"</f>
        <v>0,9806</v>
      </c>
      <c r="F9" s="15" t="s">
        <v>10</v>
      </c>
      <c r="G9" s="15" t="s">
        <v>374</v>
      </c>
      <c r="H9" s="39" t="s">
        <v>11</v>
      </c>
      <c r="I9" s="36" t="s">
        <v>11</v>
      </c>
      <c r="J9" s="39" t="s">
        <v>12</v>
      </c>
      <c r="K9" s="26"/>
      <c r="L9" s="32">
        <v>140</v>
      </c>
      <c r="M9" s="27" t="str">
        <f>"137,2840"</f>
        <v>137,2840</v>
      </c>
      <c r="N9" s="15" t="s">
        <v>875</v>
      </c>
    </row>
    <row r="11" spans="2:13" ht="15">
      <c r="B11" s="142" t="s">
        <v>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12.75">
      <c r="A12" s="25">
        <v>1</v>
      </c>
      <c r="B12" s="15" t="s">
        <v>8</v>
      </c>
      <c r="C12" s="15" t="s">
        <v>9</v>
      </c>
      <c r="D12" s="15" t="s">
        <v>870</v>
      </c>
      <c r="E12" s="15" t="str">
        <f>"0,9076"</f>
        <v>0,9076</v>
      </c>
      <c r="F12" s="15" t="s">
        <v>10</v>
      </c>
      <c r="G12" s="15" t="s">
        <v>874</v>
      </c>
      <c r="H12" s="36" t="s">
        <v>61</v>
      </c>
      <c r="I12" s="36" t="s">
        <v>280</v>
      </c>
      <c r="J12" s="39" t="s">
        <v>86</v>
      </c>
      <c r="K12" s="26"/>
      <c r="L12" s="32">
        <v>195</v>
      </c>
      <c r="M12" s="27" t="str">
        <f>"176,9820"</f>
        <v>176,9820</v>
      </c>
      <c r="N12" s="15" t="s">
        <v>13</v>
      </c>
    </row>
    <row r="14" spans="2:13" ht="15">
      <c r="B14" s="142" t="s">
        <v>26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4" ht="12.75">
      <c r="A15" s="25">
        <v>1</v>
      </c>
      <c r="B15" s="13" t="s">
        <v>298</v>
      </c>
      <c r="C15" s="13" t="s">
        <v>299</v>
      </c>
      <c r="D15" s="13" t="s">
        <v>860</v>
      </c>
      <c r="E15" s="13" t="str">
        <f>"0,7193"</f>
        <v>0,7193</v>
      </c>
      <c r="F15" s="13" t="s">
        <v>10</v>
      </c>
      <c r="G15" s="13" t="s">
        <v>276</v>
      </c>
      <c r="H15" s="37" t="s">
        <v>102</v>
      </c>
      <c r="I15" s="44" t="s">
        <v>103</v>
      </c>
      <c r="J15" s="44" t="s">
        <v>66</v>
      </c>
      <c r="K15" s="29"/>
      <c r="L15" s="33">
        <v>190</v>
      </c>
      <c r="M15" s="28" t="str">
        <f>"136,6670"</f>
        <v>136,6670</v>
      </c>
      <c r="N15" s="13" t="s">
        <v>13</v>
      </c>
    </row>
    <row r="16" spans="1:14" ht="12.75">
      <c r="A16" s="25">
        <v>1</v>
      </c>
      <c r="B16" s="14" t="s">
        <v>298</v>
      </c>
      <c r="C16" s="14" t="s">
        <v>300</v>
      </c>
      <c r="D16" s="14" t="s">
        <v>860</v>
      </c>
      <c r="E16" s="14" t="str">
        <f>"0,7193"</f>
        <v>0,7193</v>
      </c>
      <c r="F16" s="14" t="s">
        <v>10</v>
      </c>
      <c r="G16" s="14" t="s">
        <v>276</v>
      </c>
      <c r="H16" s="38" t="s">
        <v>102</v>
      </c>
      <c r="I16" s="46" t="s">
        <v>103</v>
      </c>
      <c r="J16" s="46" t="s">
        <v>66</v>
      </c>
      <c r="K16" s="31"/>
      <c r="L16" s="34">
        <v>190</v>
      </c>
      <c r="M16" s="30" t="str">
        <f>"140,4937"</f>
        <v>140,4937</v>
      </c>
      <c r="N16" s="14" t="s">
        <v>13</v>
      </c>
    </row>
    <row r="18" spans="2:13" ht="15">
      <c r="B18" s="142" t="s">
        <v>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2:14" ht="12.75">
      <c r="B19" s="15" t="s">
        <v>301</v>
      </c>
      <c r="C19" s="15" t="s">
        <v>302</v>
      </c>
      <c r="D19" s="15" t="s">
        <v>871</v>
      </c>
      <c r="E19" s="15" t="str">
        <f>"0,6790"</f>
        <v>0,6790</v>
      </c>
      <c r="F19" s="15" t="s">
        <v>10</v>
      </c>
      <c r="G19" s="15" t="s">
        <v>303</v>
      </c>
      <c r="H19" s="39" t="s">
        <v>116</v>
      </c>
      <c r="I19" s="39" t="s">
        <v>116</v>
      </c>
      <c r="J19" s="39" t="s">
        <v>116</v>
      </c>
      <c r="K19" s="26"/>
      <c r="L19" s="63">
        <v>0</v>
      </c>
      <c r="M19" s="27" t="s">
        <v>713</v>
      </c>
      <c r="N19" s="15" t="s">
        <v>876</v>
      </c>
    </row>
    <row r="21" spans="2:13" ht="15">
      <c r="B21" s="142" t="s">
        <v>56</v>
      </c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4" ht="12.75">
      <c r="A22" s="25">
        <v>1</v>
      </c>
      <c r="B22" s="15" t="s">
        <v>304</v>
      </c>
      <c r="C22" s="15" t="s">
        <v>305</v>
      </c>
      <c r="D22" s="15" t="s">
        <v>188</v>
      </c>
      <c r="E22" s="15" t="str">
        <f>"0,6220"</f>
        <v>0,6220</v>
      </c>
      <c r="F22" s="15" t="s">
        <v>10</v>
      </c>
      <c r="G22" s="15" t="s">
        <v>101</v>
      </c>
      <c r="H22" s="36" t="s">
        <v>66</v>
      </c>
      <c r="I22" s="36" t="s">
        <v>132</v>
      </c>
      <c r="J22" s="36" t="s">
        <v>68</v>
      </c>
      <c r="K22" s="26"/>
      <c r="L22" s="32">
        <v>225</v>
      </c>
      <c r="M22" s="27" t="str">
        <f>"139,9500"</f>
        <v>139,9500</v>
      </c>
      <c r="N22" s="15" t="s">
        <v>13</v>
      </c>
    </row>
    <row r="24" spans="2:13" ht="15">
      <c r="B24" s="142" t="s">
        <v>91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</row>
    <row r="25" spans="1:14" ht="12.75">
      <c r="A25" s="25">
        <v>1</v>
      </c>
      <c r="B25" s="13" t="s">
        <v>306</v>
      </c>
      <c r="C25" s="13" t="s">
        <v>307</v>
      </c>
      <c r="D25" s="13" t="s">
        <v>872</v>
      </c>
      <c r="E25" s="13" t="str">
        <f>"0,5898"</f>
        <v>0,5898</v>
      </c>
      <c r="F25" s="13" t="s">
        <v>10</v>
      </c>
      <c r="G25" s="13" t="s">
        <v>308</v>
      </c>
      <c r="H25" s="37" t="s">
        <v>309</v>
      </c>
      <c r="I25" s="44" t="s">
        <v>310</v>
      </c>
      <c r="J25" s="44" t="s">
        <v>311</v>
      </c>
      <c r="K25" s="29"/>
      <c r="L25" s="33">
        <v>280</v>
      </c>
      <c r="M25" s="28" t="str">
        <f>"165,1440"</f>
        <v>165,1440</v>
      </c>
      <c r="N25" s="13" t="s">
        <v>877</v>
      </c>
    </row>
    <row r="26" spans="1:14" ht="12.75">
      <c r="A26" s="25">
        <v>1</v>
      </c>
      <c r="B26" s="14" t="s">
        <v>306</v>
      </c>
      <c r="C26" s="14" t="s">
        <v>312</v>
      </c>
      <c r="D26" s="14" t="s">
        <v>872</v>
      </c>
      <c r="E26" s="14" t="str">
        <f>"0,5898"</f>
        <v>0,5898</v>
      </c>
      <c r="F26" s="14" t="s">
        <v>10</v>
      </c>
      <c r="G26" s="14" t="s">
        <v>308</v>
      </c>
      <c r="H26" s="38" t="s">
        <v>309</v>
      </c>
      <c r="I26" s="46" t="s">
        <v>310</v>
      </c>
      <c r="J26" s="46" t="s">
        <v>311</v>
      </c>
      <c r="K26" s="31"/>
      <c r="L26" s="34">
        <v>280</v>
      </c>
      <c r="M26" s="30" t="str">
        <f>"178,0252"</f>
        <v>178,0252</v>
      </c>
      <c r="N26" s="14" t="s">
        <v>877</v>
      </c>
    </row>
    <row r="28" spans="2:13" ht="15">
      <c r="B28" s="142" t="s">
        <v>112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4" ht="12.75">
      <c r="A29" s="25">
        <v>1</v>
      </c>
      <c r="B29" s="15" t="s">
        <v>313</v>
      </c>
      <c r="C29" s="15" t="s">
        <v>314</v>
      </c>
      <c r="D29" s="15" t="s">
        <v>699</v>
      </c>
      <c r="E29" s="15" t="str">
        <f>"0,5843"</f>
        <v>0,5843</v>
      </c>
      <c r="F29" s="15" t="s">
        <v>10</v>
      </c>
      <c r="G29" s="15" t="s">
        <v>279</v>
      </c>
      <c r="H29" s="36" t="s">
        <v>315</v>
      </c>
      <c r="I29" s="39" t="s">
        <v>316</v>
      </c>
      <c r="J29" s="39" t="s">
        <v>316</v>
      </c>
      <c r="K29" s="26"/>
      <c r="L29" s="32">
        <v>260</v>
      </c>
      <c r="M29" s="27" t="str">
        <f>"151,9180"</f>
        <v>151,9180</v>
      </c>
      <c r="N29" s="15" t="s">
        <v>878</v>
      </c>
    </row>
    <row r="31" spans="2:13" ht="15">
      <c r="B31" s="142" t="s">
        <v>128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</row>
    <row r="32" spans="1:14" ht="12.75">
      <c r="A32" s="25">
        <v>1</v>
      </c>
      <c r="B32" s="15" t="s">
        <v>317</v>
      </c>
      <c r="C32" s="15" t="s">
        <v>318</v>
      </c>
      <c r="D32" s="15" t="s">
        <v>873</v>
      </c>
      <c r="E32" s="15" t="str">
        <f>"0,5681"</f>
        <v>0,5681</v>
      </c>
      <c r="F32" s="15" t="s">
        <v>10</v>
      </c>
      <c r="G32" s="15" t="s">
        <v>696</v>
      </c>
      <c r="H32" s="36" t="s">
        <v>319</v>
      </c>
      <c r="I32" s="39" t="s">
        <v>320</v>
      </c>
      <c r="J32" s="39" t="s">
        <v>320</v>
      </c>
      <c r="K32" s="26"/>
      <c r="L32" s="32">
        <v>360</v>
      </c>
      <c r="M32" s="27" t="str">
        <f>"204,5160"</f>
        <v>204,5160</v>
      </c>
      <c r="N32" s="15" t="s">
        <v>13</v>
      </c>
    </row>
  </sheetData>
  <sheetProtection/>
  <mergeCells count="21">
    <mergeCell ref="L3:L4"/>
    <mergeCell ref="H3:K3"/>
    <mergeCell ref="B21:M21"/>
    <mergeCell ref="B24:M24"/>
    <mergeCell ref="B28:M28"/>
    <mergeCell ref="B31:M31"/>
    <mergeCell ref="M3:M4"/>
    <mergeCell ref="B5:M5"/>
    <mergeCell ref="B8:M8"/>
    <mergeCell ref="B11:M11"/>
    <mergeCell ref="B14:M14"/>
    <mergeCell ref="N3:N4"/>
    <mergeCell ref="A3:A4"/>
    <mergeCell ref="B18:M18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6"/>
  <sheetViews>
    <sheetView zoomScalePageLayoutView="0" workbookViewId="0" topLeftCell="A1">
      <selection activeCell="N6" sqref="N6"/>
    </sheetView>
  </sheetViews>
  <sheetFormatPr defaultColWidth="8.75390625" defaultRowHeight="12.75"/>
  <cols>
    <col min="1" max="1" width="7.00390625" style="0" customWidth="1"/>
    <col min="2" max="2" width="18.625" style="11" customWidth="1"/>
    <col min="3" max="3" width="25.75390625" style="1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28.25390625" style="11" bestFit="1" customWidth="1"/>
    <col min="8" max="11" width="5.625" style="11" bestFit="1" customWidth="1"/>
    <col min="12" max="12" width="11.875" style="11" customWidth="1"/>
    <col min="13" max="13" width="8.625" style="11" bestFit="1" customWidth="1"/>
    <col min="14" max="14" width="15.75390625" style="11" bestFit="1" customWidth="1"/>
  </cols>
  <sheetData>
    <row r="1" spans="2:14" s="1" customFormat="1" ht="15" customHeight="1">
      <c r="B1" s="150" t="s">
        <v>861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2:14" s="1" customFormat="1" ht="90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6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7"/>
      <c r="M4" s="147"/>
      <c r="N4" s="162"/>
    </row>
    <row r="5" spans="2:13" ht="15">
      <c r="B5" s="163" t="s">
        <v>26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365</v>
      </c>
      <c r="C6" s="15" t="s">
        <v>366</v>
      </c>
      <c r="D6" s="15" t="s">
        <v>860</v>
      </c>
      <c r="E6" s="15" t="str">
        <f>"0,7193"</f>
        <v>0,7193</v>
      </c>
      <c r="F6" s="15" t="s">
        <v>29</v>
      </c>
      <c r="G6" s="15" t="s">
        <v>30</v>
      </c>
      <c r="H6" s="36" t="s">
        <v>72</v>
      </c>
      <c r="I6" s="39" t="s">
        <v>90</v>
      </c>
      <c r="J6" s="36" t="s">
        <v>90</v>
      </c>
      <c r="K6" s="39" t="s">
        <v>321</v>
      </c>
      <c r="L6" s="27">
        <v>172.5</v>
      </c>
      <c r="M6" s="27" t="str">
        <f>"124,0792"</f>
        <v>124,0792</v>
      </c>
      <c r="N6" s="15" t="s">
        <v>877</v>
      </c>
    </row>
  </sheetData>
  <sheetProtection/>
  <mergeCells count="13">
    <mergeCell ref="A3:A4"/>
    <mergeCell ref="L3:L4"/>
    <mergeCell ref="M3:M4"/>
    <mergeCell ref="N3:N4"/>
    <mergeCell ref="B5:M5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3" sqref="A3:N4"/>
    </sheetView>
  </sheetViews>
  <sheetFormatPr defaultColWidth="8.75390625" defaultRowHeight="12.75"/>
  <cols>
    <col min="1" max="1" width="8.75390625" style="0" customWidth="1"/>
    <col min="2" max="2" width="17.125" style="11" customWidth="1"/>
    <col min="3" max="3" width="26.875" style="11" customWidth="1"/>
    <col min="4" max="4" width="9.00390625" style="11" customWidth="1"/>
    <col min="5" max="5" width="8.25390625" style="11" bestFit="1" customWidth="1"/>
    <col min="6" max="6" width="15.625" style="11" customWidth="1"/>
    <col min="7" max="7" width="32.75390625" style="11" bestFit="1" customWidth="1"/>
    <col min="8" max="11" width="5.625" style="11" bestFit="1" customWidth="1"/>
    <col min="12" max="12" width="11.00390625" style="11" customWidth="1"/>
    <col min="13" max="13" width="8.625" style="11" bestFit="1" customWidth="1"/>
    <col min="14" max="14" width="15.75390625" style="11" bestFit="1" customWidth="1"/>
  </cols>
  <sheetData>
    <row r="1" spans="2:14" s="1" customFormat="1" ht="15" customHeight="1">
      <c r="B1" s="150" t="s">
        <v>858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2:14" s="1" customFormat="1" ht="87.7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6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7"/>
      <c r="M4" s="147"/>
      <c r="N4" s="162"/>
    </row>
    <row r="5" spans="2:13" ht="15">
      <c r="B5" s="163" t="s">
        <v>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370</v>
      </c>
      <c r="C6" s="15" t="s">
        <v>371</v>
      </c>
      <c r="D6" s="15" t="s">
        <v>856</v>
      </c>
      <c r="E6" s="15" t="str">
        <f>"0,6899"</f>
        <v>0,6899</v>
      </c>
      <c r="F6" s="15" t="s">
        <v>10</v>
      </c>
      <c r="G6" s="15" t="s">
        <v>177</v>
      </c>
      <c r="H6" s="36" t="s">
        <v>66</v>
      </c>
      <c r="I6" s="36" t="s">
        <v>68</v>
      </c>
      <c r="J6" s="36" t="s">
        <v>361</v>
      </c>
      <c r="K6" s="36" t="s">
        <v>116</v>
      </c>
      <c r="L6" s="27" t="s">
        <v>361</v>
      </c>
      <c r="M6" s="27" t="str">
        <f>"162,1265"</f>
        <v>162,1265</v>
      </c>
      <c r="N6" s="15" t="s">
        <v>739</v>
      </c>
    </row>
    <row r="8" spans="2:13" ht="15">
      <c r="B8" s="142" t="s">
        <v>91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372</v>
      </c>
      <c r="C9" s="15" t="s">
        <v>373</v>
      </c>
      <c r="D9" s="15" t="s">
        <v>857</v>
      </c>
      <c r="E9" s="15" t="str">
        <f>"0,6000"</f>
        <v>0,6000</v>
      </c>
      <c r="F9" s="15" t="s">
        <v>10</v>
      </c>
      <c r="G9" s="15" t="s">
        <v>374</v>
      </c>
      <c r="H9" s="36" t="s">
        <v>315</v>
      </c>
      <c r="I9" s="39" t="s">
        <v>338</v>
      </c>
      <c r="J9" s="26"/>
      <c r="K9" s="26"/>
      <c r="L9" s="27" t="s">
        <v>315</v>
      </c>
      <c r="M9" s="27" t="str">
        <f>"156,0000"</f>
        <v>156,0000</v>
      </c>
      <c r="N9" s="15" t="s">
        <v>13</v>
      </c>
    </row>
  </sheetData>
  <sheetProtection/>
  <mergeCells count="14"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  <mergeCell ref="B5:M5"/>
    <mergeCell ref="B8:M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A3" sqref="A3:N4"/>
    </sheetView>
  </sheetViews>
  <sheetFormatPr defaultColWidth="8.75390625" defaultRowHeight="12.75"/>
  <cols>
    <col min="1" max="1" width="6.875" style="0" customWidth="1"/>
    <col min="2" max="2" width="17.75390625" style="11" customWidth="1"/>
    <col min="3" max="3" width="28.00390625" style="11" customWidth="1"/>
    <col min="4" max="4" width="10.125" style="11" bestFit="1" customWidth="1"/>
    <col min="5" max="5" width="8.25390625" style="11" bestFit="1" customWidth="1"/>
    <col min="6" max="6" width="15.125" style="11" customWidth="1"/>
    <col min="7" max="7" width="29.625" style="11" bestFit="1" customWidth="1"/>
    <col min="8" max="10" width="5.625" style="11" bestFit="1" customWidth="1"/>
    <col min="11" max="11" width="4.25390625" style="11" bestFit="1" customWidth="1"/>
    <col min="12" max="12" width="11.125" style="11" customWidth="1"/>
    <col min="13" max="13" width="8.625" style="11" bestFit="1" customWidth="1"/>
    <col min="14" max="14" width="18.00390625" style="11" bestFit="1" customWidth="1"/>
  </cols>
  <sheetData>
    <row r="1" spans="2:14" s="1" customFormat="1" ht="15" customHeight="1">
      <c r="B1" s="150" t="s">
        <v>838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2:14" s="1" customFormat="1" ht="96.7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6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7"/>
      <c r="M4" s="147"/>
      <c r="N4" s="162"/>
    </row>
    <row r="5" spans="2:13" ht="15">
      <c r="B5" s="163" t="s">
        <v>26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426</v>
      </c>
      <c r="C6" s="15" t="s">
        <v>427</v>
      </c>
      <c r="D6" s="15" t="s">
        <v>755</v>
      </c>
      <c r="E6" s="15" t="str">
        <f>"0,7242"</f>
        <v>0,7242</v>
      </c>
      <c r="F6" s="15" t="s">
        <v>29</v>
      </c>
      <c r="G6" s="15" t="s">
        <v>30</v>
      </c>
      <c r="H6" s="36" t="s">
        <v>60</v>
      </c>
      <c r="I6" s="36" t="s">
        <v>322</v>
      </c>
      <c r="J6" s="36" t="s">
        <v>61</v>
      </c>
      <c r="K6" s="26"/>
      <c r="L6" s="27" t="s">
        <v>61</v>
      </c>
      <c r="M6" s="27" t="str">
        <f>"133,9770"</f>
        <v>133,9770</v>
      </c>
      <c r="N6" s="15" t="s">
        <v>13</v>
      </c>
    </row>
    <row r="8" spans="2:13" ht="15">
      <c r="B8" s="142" t="s">
        <v>112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428</v>
      </c>
      <c r="C9" s="15" t="s">
        <v>429</v>
      </c>
      <c r="D9" s="15" t="s">
        <v>839</v>
      </c>
      <c r="E9" s="15" t="str">
        <f>"0,5708"</f>
        <v>0,5708</v>
      </c>
      <c r="F9" s="15" t="s">
        <v>10</v>
      </c>
      <c r="G9" s="15" t="s">
        <v>430</v>
      </c>
      <c r="H9" s="36" t="s">
        <v>316</v>
      </c>
      <c r="I9" s="39" t="s">
        <v>357</v>
      </c>
      <c r="J9" s="39" t="s">
        <v>310</v>
      </c>
      <c r="K9" s="26"/>
      <c r="L9" s="27" t="s">
        <v>316</v>
      </c>
      <c r="M9" s="27" t="str">
        <f>"154,1160"</f>
        <v>154,1160</v>
      </c>
      <c r="N9" s="15" t="s">
        <v>840</v>
      </c>
    </row>
  </sheetData>
  <sheetProtection/>
  <mergeCells count="14">
    <mergeCell ref="B1:N2"/>
    <mergeCell ref="B3:B4"/>
    <mergeCell ref="C3:C4"/>
    <mergeCell ref="D3:D4"/>
    <mergeCell ref="E3:E4"/>
    <mergeCell ref="F3:F4"/>
    <mergeCell ref="G3:G4"/>
    <mergeCell ref="H3:K3"/>
    <mergeCell ref="A3:A4"/>
    <mergeCell ref="L3:L4"/>
    <mergeCell ref="M3:M4"/>
    <mergeCell ref="N3:N4"/>
    <mergeCell ref="B5:M5"/>
    <mergeCell ref="B8:M8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27" sqref="G27"/>
    </sheetView>
  </sheetViews>
  <sheetFormatPr defaultColWidth="8.75390625" defaultRowHeight="12.75"/>
  <cols>
    <col min="1" max="1" width="8.375" style="25" customWidth="1"/>
    <col min="2" max="2" width="18.875" style="11" customWidth="1"/>
    <col min="3" max="3" width="26.625" style="11" bestFit="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25.25390625" style="11" bestFit="1" customWidth="1"/>
    <col min="8" max="10" width="5.625" style="11" bestFit="1" customWidth="1"/>
    <col min="11" max="11" width="4.25390625" style="11" bestFit="1" customWidth="1"/>
    <col min="12" max="12" width="10.875" style="35" customWidth="1"/>
    <col min="13" max="13" width="8.625" style="11" bestFit="1" customWidth="1"/>
    <col min="14" max="14" width="16.625" style="11" bestFit="1" customWidth="1"/>
  </cols>
  <sheetData>
    <row r="1" spans="1:14" s="1" customFormat="1" ht="15" customHeight="1">
      <c r="A1" s="24"/>
      <c r="B1" s="150" t="s">
        <v>1424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88.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947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21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948</v>
      </c>
      <c r="C6" s="15" t="s">
        <v>949</v>
      </c>
      <c r="D6" s="15" t="s">
        <v>957</v>
      </c>
      <c r="E6" s="15" t="str">
        <f>"0,9474"</f>
        <v>0,9474</v>
      </c>
      <c r="F6" s="15" t="s">
        <v>10</v>
      </c>
      <c r="G6" s="15" t="s">
        <v>950</v>
      </c>
      <c r="H6" s="36" t="s">
        <v>18</v>
      </c>
      <c r="I6" s="36" t="s">
        <v>152</v>
      </c>
      <c r="J6" s="39" t="s">
        <v>154</v>
      </c>
      <c r="K6" s="26"/>
      <c r="L6" s="32">
        <v>52.5</v>
      </c>
      <c r="M6" s="27" t="str">
        <f>"56,2075"</f>
        <v>56,2075</v>
      </c>
      <c r="N6" s="15" t="s">
        <v>959</v>
      </c>
    </row>
    <row r="8" spans="2:13" ht="15">
      <c r="B8" s="142" t="s">
        <v>50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951</v>
      </c>
      <c r="C9" s="15" t="s">
        <v>952</v>
      </c>
      <c r="D9" s="15" t="s">
        <v>958</v>
      </c>
      <c r="E9" s="15" t="str">
        <f>"0,6184"</f>
        <v>0,6184</v>
      </c>
      <c r="F9" s="15" t="s">
        <v>10</v>
      </c>
      <c r="G9" s="15" t="s">
        <v>303</v>
      </c>
      <c r="H9" s="36" t="s">
        <v>102</v>
      </c>
      <c r="I9" s="36" t="s">
        <v>103</v>
      </c>
      <c r="J9" s="36" t="s">
        <v>66</v>
      </c>
      <c r="K9" s="26"/>
      <c r="L9" s="32">
        <v>210</v>
      </c>
      <c r="M9" s="27" t="str">
        <f>"129,8745"</f>
        <v>129,8745</v>
      </c>
      <c r="N9" s="15" t="s">
        <v>960</v>
      </c>
    </row>
    <row r="11" spans="2:13" ht="15">
      <c r="B11" s="142" t="s">
        <v>56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12.75">
      <c r="A12" s="25">
        <v>1</v>
      </c>
      <c r="B12" s="15" t="s">
        <v>266</v>
      </c>
      <c r="C12" s="15" t="s">
        <v>953</v>
      </c>
      <c r="D12" s="15" t="s">
        <v>799</v>
      </c>
      <c r="E12" s="15" t="str">
        <f>"0,5870"</f>
        <v>0,5870</v>
      </c>
      <c r="F12" s="15" t="s">
        <v>10</v>
      </c>
      <c r="G12" s="15" t="s">
        <v>683</v>
      </c>
      <c r="H12" s="36" t="s">
        <v>86</v>
      </c>
      <c r="I12" s="36" t="s">
        <v>66</v>
      </c>
      <c r="J12" s="36" t="s">
        <v>132</v>
      </c>
      <c r="K12" s="26"/>
      <c r="L12" s="32">
        <v>220</v>
      </c>
      <c r="M12" s="27" t="str">
        <f>"173,0329"</f>
        <v>173,0329</v>
      </c>
      <c r="N12" s="15" t="s">
        <v>961</v>
      </c>
    </row>
    <row r="14" spans="2:13" ht="15">
      <c r="B14" s="142" t="s">
        <v>91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4" ht="12.75">
      <c r="A15" s="25">
        <v>1</v>
      </c>
      <c r="B15" s="15" t="s">
        <v>954</v>
      </c>
      <c r="C15" s="15" t="s">
        <v>955</v>
      </c>
      <c r="D15" s="15" t="s">
        <v>857</v>
      </c>
      <c r="E15" s="15" t="str">
        <f>"0,5730"</f>
        <v>0,5730</v>
      </c>
      <c r="F15" s="15" t="s">
        <v>10</v>
      </c>
      <c r="G15" s="15" t="s">
        <v>660</v>
      </c>
      <c r="H15" s="36" t="s">
        <v>86</v>
      </c>
      <c r="I15" s="36" t="s">
        <v>66</v>
      </c>
      <c r="J15" s="39" t="s">
        <v>132</v>
      </c>
      <c r="K15" s="26"/>
      <c r="L15" s="32">
        <v>210</v>
      </c>
      <c r="M15" s="27" t="str">
        <f>"120,3195"</f>
        <v>120,3195</v>
      </c>
      <c r="N15" s="15" t="s">
        <v>962</v>
      </c>
    </row>
  </sheetData>
  <sheetProtection/>
  <mergeCells count="16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1:M11"/>
    <mergeCell ref="B14:M14"/>
    <mergeCell ref="A3:A4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G30" sqref="G30"/>
    </sheetView>
  </sheetViews>
  <sheetFormatPr defaultColWidth="9.00390625" defaultRowHeight="12.75"/>
  <cols>
    <col min="1" max="1" width="11.375" style="24" customWidth="1"/>
    <col min="2" max="2" width="20.875" style="72" customWidth="1"/>
    <col min="3" max="3" width="27.00390625" style="5" customWidth="1"/>
    <col min="4" max="4" width="10.125" style="5" bestFit="1" customWidth="1"/>
    <col min="5" max="5" width="8.25390625" style="5" bestFit="1" customWidth="1"/>
    <col min="6" max="6" width="14.125" style="5" customWidth="1"/>
    <col min="7" max="7" width="37.00390625" style="5" bestFit="1" customWidth="1"/>
    <col min="8" max="10" width="5.625" style="1" bestFit="1" customWidth="1"/>
    <col min="11" max="11" width="4.25390625" style="1" bestFit="1" customWidth="1"/>
    <col min="12" max="12" width="11.875" style="4" customWidth="1"/>
    <col min="13" max="13" width="8.625" style="1" bestFit="1" customWidth="1"/>
    <col min="14" max="14" width="17.625" style="5" bestFit="1" customWidth="1"/>
    <col min="15" max="16384" width="11.375" style="1" customWidth="1"/>
  </cols>
  <sheetData>
    <row r="1" spans="2:14" ht="15" customHeight="1">
      <c r="B1" s="150" t="s">
        <v>1425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2:14" ht="78.7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68" t="s">
        <v>947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69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7" t="s">
        <v>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4" t="s">
        <v>778</v>
      </c>
      <c r="B6" s="64" t="s">
        <v>963</v>
      </c>
      <c r="C6" s="6" t="s">
        <v>964</v>
      </c>
      <c r="D6" s="6" t="s">
        <v>973</v>
      </c>
      <c r="E6" s="6" t="str">
        <f>"0,5914"</f>
        <v>0,5914</v>
      </c>
      <c r="F6" s="6" t="s">
        <v>10</v>
      </c>
      <c r="G6" s="6" t="s">
        <v>965</v>
      </c>
      <c r="H6" s="36" t="s">
        <v>352</v>
      </c>
      <c r="I6" s="36" t="s">
        <v>388</v>
      </c>
      <c r="J6" s="80" t="s">
        <v>386</v>
      </c>
      <c r="K6" s="75"/>
      <c r="L6" s="55" t="s">
        <v>388</v>
      </c>
      <c r="M6" s="55" t="str">
        <f>"189,2480"</f>
        <v>189,2480</v>
      </c>
      <c r="N6" s="6" t="s">
        <v>13</v>
      </c>
    </row>
    <row r="8" spans="2:13" ht="15">
      <c r="B8" s="166" t="s">
        <v>91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4" t="s">
        <v>778</v>
      </c>
      <c r="B9" s="64" t="s">
        <v>966</v>
      </c>
      <c r="C9" s="6" t="s">
        <v>967</v>
      </c>
      <c r="D9" s="6" t="s">
        <v>974</v>
      </c>
      <c r="E9" s="6" t="str">
        <f>"0,5634"</f>
        <v>0,5634</v>
      </c>
      <c r="F9" s="6" t="s">
        <v>10</v>
      </c>
      <c r="G9" s="6" t="s">
        <v>89</v>
      </c>
      <c r="H9" s="36" t="s">
        <v>344</v>
      </c>
      <c r="I9" s="36" t="s">
        <v>352</v>
      </c>
      <c r="J9" s="80" t="s">
        <v>657</v>
      </c>
      <c r="K9" s="75"/>
      <c r="L9" s="55" t="s">
        <v>352</v>
      </c>
      <c r="M9" s="55" t="str">
        <f>"174,6385"</f>
        <v>174,6385</v>
      </c>
      <c r="N9" s="6" t="s">
        <v>13</v>
      </c>
    </row>
    <row r="11" spans="2:13" ht="15">
      <c r="B11" s="166" t="s">
        <v>128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12.75">
      <c r="A12" s="24" t="s">
        <v>778</v>
      </c>
      <c r="B12" s="64" t="s">
        <v>968</v>
      </c>
      <c r="C12" s="6" t="s">
        <v>969</v>
      </c>
      <c r="D12" s="6" t="s">
        <v>975</v>
      </c>
      <c r="E12" s="6" t="str">
        <f>"0,5425"</f>
        <v>0,5425</v>
      </c>
      <c r="F12" s="6" t="s">
        <v>10</v>
      </c>
      <c r="G12" s="6" t="s">
        <v>377</v>
      </c>
      <c r="H12" s="36" t="s">
        <v>352</v>
      </c>
      <c r="I12" s="80" t="s">
        <v>333</v>
      </c>
      <c r="J12" s="80" t="s">
        <v>333</v>
      </c>
      <c r="K12" s="75"/>
      <c r="L12" s="55" t="s">
        <v>352</v>
      </c>
      <c r="M12" s="55" t="str">
        <f>"168,1874"</f>
        <v>168,1874</v>
      </c>
      <c r="N12" s="6" t="s">
        <v>13</v>
      </c>
    </row>
    <row r="14" spans="2:13" ht="15">
      <c r="B14" s="166" t="s">
        <v>605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4" ht="12.75">
      <c r="A15" s="24" t="s">
        <v>778</v>
      </c>
      <c r="B15" s="64" t="s">
        <v>970</v>
      </c>
      <c r="C15" s="6" t="s">
        <v>971</v>
      </c>
      <c r="D15" s="6" t="s">
        <v>976</v>
      </c>
      <c r="E15" s="6" t="str">
        <f>"0,5150"</f>
        <v>0,5150</v>
      </c>
      <c r="F15" s="6" t="s">
        <v>10</v>
      </c>
      <c r="G15" s="6" t="s">
        <v>101</v>
      </c>
      <c r="H15" s="36" t="s">
        <v>387</v>
      </c>
      <c r="I15" s="36" t="s">
        <v>348</v>
      </c>
      <c r="J15" s="80" t="s">
        <v>972</v>
      </c>
      <c r="K15" s="75"/>
      <c r="L15" s="55" t="s">
        <v>348</v>
      </c>
      <c r="M15" s="55" t="str">
        <f>"190,5463"</f>
        <v>190,5463</v>
      </c>
      <c r="N15" s="6" t="s">
        <v>977</v>
      </c>
    </row>
  </sheetData>
  <sheetProtection/>
  <mergeCells count="16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5:M5"/>
    <mergeCell ref="B8:M8"/>
    <mergeCell ref="B11:M11"/>
    <mergeCell ref="B14:M14"/>
    <mergeCell ref="A3:A4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A3" sqref="A3:G4"/>
    </sheetView>
  </sheetViews>
  <sheetFormatPr defaultColWidth="8.75390625" defaultRowHeight="12.75"/>
  <cols>
    <col min="1" max="1" width="7.375" style="25" customWidth="1"/>
    <col min="2" max="2" width="21.75390625" style="11" customWidth="1"/>
    <col min="3" max="3" width="26.625" style="11" bestFit="1" customWidth="1"/>
    <col min="4" max="4" width="10.125" style="11" bestFit="1" customWidth="1"/>
    <col min="5" max="5" width="8.25390625" style="11" bestFit="1" customWidth="1"/>
    <col min="6" max="6" width="14.00390625" style="11" customWidth="1"/>
    <col min="7" max="7" width="37.00390625" style="11" bestFit="1" customWidth="1"/>
    <col min="8" max="8" width="5.625" style="11" bestFit="1" customWidth="1"/>
    <col min="9" max="9" width="9.25390625" style="84" bestFit="1" customWidth="1"/>
    <col min="10" max="10" width="10.125" style="35" customWidth="1"/>
    <col min="11" max="11" width="9.625" style="11" bestFit="1" customWidth="1"/>
    <col min="12" max="12" width="17.125" style="11" customWidth="1"/>
  </cols>
  <sheetData>
    <row r="1" spans="1:12" s="1" customFormat="1" ht="15" customHeight="1">
      <c r="A1" s="24"/>
      <c r="B1" s="170" t="s">
        <v>1073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1" customFormat="1" ht="100.5" customHeight="1" thickBot="1">
      <c r="A2" s="24"/>
      <c r="B2" s="17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947</v>
      </c>
      <c r="F3" s="146" t="s">
        <v>4</v>
      </c>
      <c r="G3" s="164" t="s">
        <v>674</v>
      </c>
      <c r="H3" s="146" t="s">
        <v>709</v>
      </c>
      <c r="I3" s="146"/>
      <c r="J3" s="144" t="s">
        <v>990</v>
      </c>
      <c r="K3" s="146" t="s">
        <v>3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988</v>
      </c>
      <c r="I4" s="82" t="s">
        <v>989</v>
      </c>
      <c r="J4" s="145"/>
      <c r="K4" s="147"/>
      <c r="L4" s="162"/>
    </row>
    <row r="5" spans="2:11" ht="15">
      <c r="B5" s="163" t="s">
        <v>26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1:12" ht="12.75">
      <c r="A6" s="25">
        <v>1</v>
      </c>
      <c r="B6" s="15" t="s">
        <v>1040</v>
      </c>
      <c r="C6" s="15" t="s">
        <v>1041</v>
      </c>
      <c r="D6" s="15" t="s">
        <v>1074</v>
      </c>
      <c r="E6" s="15" t="str">
        <f>"0,7297"</f>
        <v>0,7297</v>
      </c>
      <c r="F6" s="15" t="s">
        <v>10</v>
      </c>
      <c r="G6" s="15" t="s">
        <v>276</v>
      </c>
      <c r="H6" s="27" t="s">
        <v>438</v>
      </c>
      <c r="I6" s="83">
        <v>36</v>
      </c>
      <c r="J6" s="32">
        <v>2520</v>
      </c>
      <c r="K6" s="27" t="str">
        <f>"2109,0096"</f>
        <v>2109,0096</v>
      </c>
      <c r="L6" s="15" t="s">
        <v>13</v>
      </c>
    </row>
    <row r="8" spans="2:11" ht="15">
      <c r="B8" s="142" t="s">
        <v>7</v>
      </c>
      <c r="C8" s="142"/>
      <c r="D8" s="142"/>
      <c r="E8" s="142"/>
      <c r="F8" s="142"/>
      <c r="G8" s="142"/>
      <c r="H8" s="142"/>
      <c r="I8" s="142"/>
      <c r="J8" s="142"/>
      <c r="K8" s="142"/>
    </row>
    <row r="9" spans="1:12" ht="12.75">
      <c r="A9" s="25">
        <v>1</v>
      </c>
      <c r="B9" s="13" t="s">
        <v>1042</v>
      </c>
      <c r="C9" s="13" t="s">
        <v>1043</v>
      </c>
      <c r="D9" s="13" t="s">
        <v>1075</v>
      </c>
      <c r="E9" s="13" t="str">
        <f>"0,6471"</f>
        <v>0,6471</v>
      </c>
      <c r="F9" s="13" t="s">
        <v>10</v>
      </c>
      <c r="G9" s="13" t="s">
        <v>1081</v>
      </c>
      <c r="H9" s="28" t="s">
        <v>194</v>
      </c>
      <c r="I9" s="85">
        <v>39</v>
      </c>
      <c r="J9" s="33">
        <v>3217.5</v>
      </c>
      <c r="K9" s="28" t="str">
        <f>"2082,2051"</f>
        <v>2082,2051</v>
      </c>
      <c r="L9" s="13" t="s">
        <v>1085</v>
      </c>
    </row>
    <row r="10" spans="1:12" ht="12.75">
      <c r="A10" s="25">
        <v>2</v>
      </c>
      <c r="B10" s="17" t="s">
        <v>35</v>
      </c>
      <c r="C10" s="17" t="s">
        <v>36</v>
      </c>
      <c r="D10" s="17" t="s">
        <v>922</v>
      </c>
      <c r="E10" s="17" t="str">
        <f>"0,6456"</f>
        <v>0,6456</v>
      </c>
      <c r="F10" s="17" t="s">
        <v>10</v>
      </c>
      <c r="G10" s="17" t="s">
        <v>683</v>
      </c>
      <c r="H10" s="40" t="s">
        <v>194</v>
      </c>
      <c r="I10" s="86">
        <v>24</v>
      </c>
      <c r="J10" s="42">
        <v>1980</v>
      </c>
      <c r="K10" s="40" t="str">
        <f>"1278,2880"</f>
        <v>1278,2880</v>
      </c>
      <c r="L10" s="17" t="s">
        <v>13</v>
      </c>
    </row>
    <row r="11" spans="1:12" ht="12.75">
      <c r="A11" s="25">
        <v>1</v>
      </c>
      <c r="B11" s="14" t="s">
        <v>1042</v>
      </c>
      <c r="C11" s="14" t="s">
        <v>1045</v>
      </c>
      <c r="D11" s="14" t="s">
        <v>1075</v>
      </c>
      <c r="E11" s="14" t="str">
        <f>"0,6471"</f>
        <v>0,6471</v>
      </c>
      <c r="F11" s="14" t="s">
        <v>10</v>
      </c>
      <c r="G11" s="14" t="s">
        <v>1083</v>
      </c>
      <c r="H11" s="30" t="s">
        <v>194</v>
      </c>
      <c r="I11" s="87">
        <v>39</v>
      </c>
      <c r="J11" s="34">
        <v>3217.5</v>
      </c>
      <c r="K11" s="30" t="str">
        <f>"2223,7950"</f>
        <v>2223,7950</v>
      </c>
      <c r="L11" s="14" t="s">
        <v>1085</v>
      </c>
    </row>
    <row r="13" spans="2:11" ht="15">
      <c r="B13" s="142" t="s">
        <v>50</v>
      </c>
      <c r="C13" s="142"/>
      <c r="D13" s="142"/>
      <c r="E13" s="142"/>
      <c r="F13" s="142"/>
      <c r="G13" s="142"/>
      <c r="H13" s="142"/>
      <c r="I13" s="142"/>
      <c r="J13" s="142"/>
      <c r="K13" s="142"/>
    </row>
    <row r="14" spans="1:12" ht="12.75">
      <c r="A14" s="25">
        <v>1</v>
      </c>
      <c r="B14" s="13" t="s">
        <v>51</v>
      </c>
      <c r="C14" s="13" t="s">
        <v>52</v>
      </c>
      <c r="D14" s="13" t="s">
        <v>766</v>
      </c>
      <c r="E14" s="13" t="str">
        <f>"0,6173"</f>
        <v>0,6173</v>
      </c>
      <c r="F14" s="13" t="s">
        <v>10</v>
      </c>
      <c r="G14" s="13" t="s">
        <v>1084</v>
      </c>
      <c r="H14" s="28" t="s">
        <v>187</v>
      </c>
      <c r="I14" s="85">
        <v>36</v>
      </c>
      <c r="J14" s="33">
        <v>3240</v>
      </c>
      <c r="K14" s="28" t="str">
        <f>"2000,0519"</f>
        <v>2000,0519</v>
      </c>
      <c r="L14" s="13" t="s">
        <v>940</v>
      </c>
    </row>
    <row r="15" spans="1:12" ht="12.75">
      <c r="A15" s="25">
        <v>2</v>
      </c>
      <c r="B15" s="14" t="s">
        <v>1046</v>
      </c>
      <c r="C15" s="14" t="s">
        <v>1047</v>
      </c>
      <c r="D15" s="14" t="s">
        <v>187</v>
      </c>
      <c r="E15" s="14" t="str">
        <f>"0,6119"</f>
        <v>0,6119</v>
      </c>
      <c r="F15" s="14" t="s">
        <v>10</v>
      </c>
      <c r="G15" s="14" t="s">
        <v>1082</v>
      </c>
      <c r="H15" s="30" t="s">
        <v>187</v>
      </c>
      <c r="I15" s="87">
        <v>33</v>
      </c>
      <c r="J15" s="34">
        <v>2970</v>
      </c>
      <c r="K15" s="30" t="str">
        <f>"1817,1946"</f>
        <v>1817,1946</v>
      </c>
      <c r="L15" s="14" t="s">
        <v>13</v>
      </c>
    </row>
    <row r="17" spans="2:11" ht="15">
      <c r="B17" s="142" t="s">
        <v>56</v>
      </c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2" ht="12.75">
      <c r="A18" s="25">
        <v>1</v>
      </c>
      <c r="B18" s="13" t="s">
        <v>1048</v>
      </c>
      <c r="C18" s="13" t="s">
        <v>1049</v>
      </c>
      <c r="D18" s="13" t="s">
        <v>769</v>
      </c>
      <c r="E18" s="13" t="str">
        <f>"0,6033"</f>
        <v>0,6033</v>
      </c>
      <c r="F18" s="13" t="s">
        <v>325</v>
      </c>
      <c r="G18" s="13" t="s">
        <v>740</v>
      </c>
      <c r="H18" s="28" t="s">
        <v>556</v>
      </c>
      <c r="I18" s="85">
        <v>32</v>
      </c>
      <c r="J18" s="33">
        <v>2960</v>
      </c>
      <c r="K18" s="28" t="str">
        <f>"1785,7679"</f>
        <v>1785,7679</v>
      </c>
      <c r="L18" s="13" t="s">
        <v>707</v>
      </c>
    </row>
    <row r="19" spans="1:12" ht="12.75">
      <c r="A19" s="25">
        <v>1</v>
      </c>
      <c r="B19" s="14" t="s">
        <v>1050</v>
      </c>
      <c r="C19" s="14" t="s">
        <v>1051</v>
      </c>
      <c r="D19" s="14" t="s">
        <v>1076</v>
      </c>
      <c r="E19" s="14" t="str">
        <f>"0,5896"</f>
        <v>0,5896</v>
      </c>
      <c r="F19" s="14" t="s">
        <v>10</v>
      </c>
      <c r="G19" s="14" t="s">
        <v>135</v>
      </c>
      <c r="H19" s="30" t="s">
        <v>1052</v>
      </c>
      <c r="I19" s="87">
        <v>22</v>
      </c>
      <c r="J19" s="34">
        <v>2145</v>
      </c>
      <c r="K19" s="30" t="str">
        <f>"1632,8558"</f>
        <v>1632,8558</v>
      </c>
      <c r="L19" s="14" t="s">
        <v>1086</v>
      </c>
    </row>
    <row r="21" spans="2:11" ht="15">
      <c r="B21" s="142" t="s">
        <v>91</v>
      </c>
      <c r="C21" s="142"/>
      <c r="D21" s="142"/>
      <c r="E21" s="142"/>
      <c r="F21" s="142"/>
      <c r="G21" s="142"/>
      <c r="H21" s="142"/>
      <c r="I21" s="142"/>
      <c r="J21" s="142"/>
      <c r="K21" s="142"/>
    </row>
    <row r="22" spans="1:12" ht="12.75">
      <c r="A22" s="25">
        <v>1</v>
      </c>
      <c r="B22" s="13" t="s">
        <v>1054</v>
      </c>
      <c r="C22" s="13" t="s">
        <v>1055</v>
      </c>
      <c r="D22" s="13" t="s">
        <v>1077</v>
      </c>
      <c r="E22" s="13" t="str">
        <f>"0,5765"</f>
        <v>0,5765</v>
      </c>
      <c r="F22" s="13" t="s">
        <v>10</v>
      </c>
      <c r="G22" s="13" t="s">
        <v>1056</v>
      </c>
      <c r="H22" s="28" t="s">
        <v>178</v>
      </c>
      <c r="I22" s="85">
        <v>34</v>
      </c>
      <c r="J22" s="33">
        <v>3485</v>
      </c>
      <c r="K22" s="28" t="str">
        <f>"2009,1025"</f>
        <v>2009,1025</v>
      </c>
      <c r="L22" s="13" t="s">
        <v>13</v>
      </c>
    </row>
    <row r="23" spans="1:12" ht="12.75">
      <c r="A23" s="25">
        <v>1</v>
      </c>
      <c r="B23" s="17" t="s">
        <v>1054</v>
      </c>
      <c r="C23" s="17" t="s">
        <v>1058</v>
      </c>
      <c r="D23" s="17" t="s">
        <v>1077</v>
      </c>
      <c r="E23" s="17" t="str">
        <f>"0,5765"</f>
        <v>0,5765</v>
      </c>
      <c r="F23" s="17" t="s">
        <v>10</v>
      </c>
      <c r="G23" s="17" t="s">
        <v>1056</v>
      </c>
      <c r="H23" s="40" t="s">
        <v>178</v>
      </c>
      <c r="I23" s="86">
        <v>34</v>
      </c>
      <c r="J23" s="42">
        <v>3485</v>
      </c>
      <c r="K23" s="40" t="str">
        <f>"2029,1935"</f>
        <v>2029,1935</v>
      </c>
      <c r="L23" s="17" t="s">
        <v>13</v>
      </c>
    </row>
    <row r="24" spans="1:12" ht="12.75">
      <c r="A24" s="25">
        <v>2</v>
      </c>
      <c r="B24" s="17" t="s">
        <v>105</v>
      </c>
      <c r="C24" s="17" t="s">
        <v>1059</v>
      </c>
      <c r="D24" s="17" t="s">
        <v>931</v>
      </c>
      <c r="E24" s="17" t="str">
        <f>"0,5687"</f>
        <v>0,5687</v>
      </c>
      <c r="F24" s="17" t="s">
        <v>10</v>
      </c>
      <c r="G24" s="17" t="s">
        <v>107</v>
      </c>
      <c r="H24" s="40" t="s">
        <v>180</v>
      </c>
      <c r="I24" s="86">
        <v>25</v>
      </c>
      <c r="J24" s="42">
        <v>2687.5</v>
      </c>
      <c r="K24" s="40" t="str">
        <f>"1612,3005"</f>
        <v>1612,3005</v>
      </c>
      <c r="L24" s="17" t="s">
        <v>1087</v>
      </c>
    </row>
    <row r="25" spans="1:12" ht="12.75">
      <c r="A25" s="25">
        <v>3</v>
      </c>
      <c r="B25" s="14" t="s">
        <v>1060</v>
      </c>
      <c r="C25" s="14" t="s">
        <v>1061</v>
      </c>
      <c r="D25" s="14" t="s">
        <v>1078</v>
      </c>
      <c r="E25" s="14" t="str">
        <f>"0,5710"</f>
        <v>0,5710</v>
      </c>
      <c r="F25" s="14" t="s">
        <v>10</v>
      </c>
      <c r="G25" s="14" t="s">
        <v>965</v>
      </c>
      <c r="H25" s="30" t="s">
        <v>179</v>
      </c>
      <c r="I25" s="87">
        <v>22</v>
      </c>
      <c r="J25" s="34">
        <v>2310</v>
      </c>
      <c r="K25" s="30" t="str">
        <f>"1345,5080"</f>
        <v>1345,5080</v>
      </c>
      <c r="L25" s="14" t="s">
        <v>13</v>
      </c>
    </row>
    <row r="27" spans="2:11" ht="15">
      <c r="B27" s="142" t="s">
        <v>112</v>
      </c>
      <c r="C27" s="142"/>
      <c r="D27" s="142"/>
      <c r="E27" s="142"/>
      <c r="F27" s="142"/>
      <c r="G27" s="142"/>
      <c r="H27" s="142"/>
      <c r="I27" s="142"/>
      <c r="J27" s="142"/>
      <c r="K27" s="142"/>
    </row>
    <row r="28" spans="1:12" ht="12.75">
      <c r="A28" s="25">
        <v>1</v>
      </c>
      <c r="B28" s="13" t="s">
        <v>1062</v>
      </c>
      <c r="C28" s="13" t="s">
        <v>1063</v>
      </c>
      <c r="D28" s="13" t="s">
        <v>1079</v>
      </c>
      <c r="E28" s="13" t="str">
        <f>"0,5613"</f>
        <v>0,5613</v>
      </c>
      <c r="F28" s="13" t="s">
        <v>10</v>
      </c>
      <c r="G28" s="13" t="s">
        <v>1064</v>
      </c>
      <c r="H28" s="28" t="s">
        <v>197</v>
      </c>
      <c r="I28" s="85">
        <v>42</v>
      </c>
      <c r="J28" s="33">
        <v>4725</v>
      </c>
      <c r="K28" s="28" t="str">
        <f>"2652,3787"</f>
        <v>2652,3787</v>
      </c>
      <c r="L28" s="13" t="s">
        <v>13</v>
      </c>
    </row>
    <row r="29" spans="1:12" ht="12.75">
      <c r="A29" s="25">
        <v>2</v>
      </c>
      <c r="B29" s="14" t="s">
        <v>1065</v>
      </c>
      <c r="C29" s="14" t="s">
        <v>1066</v>
      </c>
      <c r="D29" s="14" t="s">
        <v>1080</v>
      </c>
      <c r="E29" s="14" t="str">
        <f>"0,5618"</f>
        <v>0,5618</v>
      </c>
      <c r="F29" s="14" t="s">
        <v>10</v>
      </c>
      <c r="G29" s="14" t="s">
        <v>683</v>
      </c>
      <c r="H29" s="30" t="s">
        <v>197</v>
      </c>
      <c r="I29" s="87">
        <v>30</v>
      </c>
      <c r="J29" s="34">
        <v>3375</v>
      </c>
      <c r="K29" s="30" t="str">
        <f>"1896,0750"</f>
        <v>1896,0750</v>
      </c>
      <c r="L29" s="14" t="s">
        <v>739</v>
      </c>
    </row>
    <row r="31" spans="2:3" ht="18">
      <c r="B31" s="12" t="s">
        <v>137</v>
      </c>
      <c r="C31" s="12"/>
    </row>
    <row r="32" spans="2:3" ht="15">
      <c r="B32" s="18" t="s">
        <v>144</v>
      </c>
      <c r="C32" s="18"/>
    </row>
    <row r="33" spans="2:3" ht="14.25">
      <c r="B33" s="20"/>
      <c r="C33" s="21" t="s">
        <v>138</v>
      </c>
    </row>
    <row r="34" spans="2:6" ht="15">
      <c r="B34" s="22" t="s">
        <v>139</v>
      </c>
      <c r="C34" s="22" t="s">
        <v>140</v>
      </c>
      <c r="D34" s="22" t="s">
        <v>141</v>
      </c>
      <c r="E34" s="22" t="s">
        <v>142</v>
      </c>
      <c r="F34" s="22" t="s">
        <v>956</v>
      </c>
    </row>
    <row r="35" spans="1:6" ht="12.75">
      <c r="A35" s="25">
        <v>1</v>
      </c>
      <c r="B35" s="19" t="s">
        <v>1062</v>
      </c>
      <c r="C35" s="81" t="s">
        <v>138</v>
      </c>
      <c r="D35" s="49" t="s">
        <v>806</v>
      </c>
      <c r="E35" s="49" t="s">
        <v>1067</v>
      </c>
      <c r="F35" s="49" t="s">
        <v>1068</v>
      </c>
    </row>
    <row r="36" spans="1:6" ht="12.75">
      <c r="A36" s="25">
        <v>2</v>
      </c>
      <c r="B36" s="19" t="s">
        <v>1042</v>
      </c>
      <c r="C36" s="81" t="s">
        <v>138</v>
      </c>
      <c r="D36" s="49" t="s">
        <v>744</v>
      </c>
      <c r="E36" s="49" t="s">
        <v>1069</v>
      </c>
      <c r="F36" s="49" t="s">
        <v>1070</v>
      </c>
    </row>
    <row r="37" spans="1:6" ht="12.75">
      <c r="A37" s="25">
        <v>3</v>
      </c>
      <c r="B37" s="19" t="s">
        <v>1054</v>
      </c>
      <c r="C37" s="81" t="s">
        <v>138</v>
      </c>
      <c r="D37" s="49" t="s">
        <v>790</v>
      </c>
      <c r="E37" s="49" t="s">
        <v>1071</v>
      </c>
      <c r="F37" s="49" t="s">
        <v>1072</v>
      </c>
    </row>
  </sheetData>
  <sheetProtection/>
  <mergeCells count="18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B27:K27"/>
    <mergeCell ref="A3:A4"/>
    <mergeCell ref="L3:L4"/>
    <mergeCell ref="B5:K5"/>
    <mergeCell ref="B8:K8"/>
    <mergeCell ref="B13:K13"/>
    <mergeCell ref="B17:K17"/>
    <mergeCell ref="B21:K21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A1" sqref="A1:L4"/>
    </sheetView>
  </sheetViews>
  <sheetFormatPr defaultColWidth="9.00390625" defaultRowHeight="12.75"/>
  <cols>
    <col min="1" max="1" width="11.375" style="24" customWidth="1"/>
    <col min="2" max="2" width="20.625" style="72" customWidth="1"/>
    <col min="3" max="3" width="26.625" style="5" bestFit="1" customWidth="1"/>
    <col min="4" max="4" width="10.125" style="5" bestFit="1" customWidth="1"/>
    <col min="5" max="5" width="8.25390625" style="5" bestFit="1" customWidth="1"/>
    <col min="6" max="6" width="16.75390625" style="5" customWidth="1"/>
    <col min="7" max="7" width="31.75390625" style="5" bestFit="1" customWidth="1"/>
    <col min="8" max="8" width="5.625" style="1" bestFit="1" customWidth="1"/>
    <col min="9" max="9" width="9.25390625" style="1" customWidth="1"/>
    <col min="10" max="10" width="9.375" style="4" customWidth="1"/>
    <col min="11" max="11" width="9.625" style="1" bestFit="1" customWidth="1"/>
    <col min="12" max="12" width="16.375" style="5" customWidth="1"/>
    <col min="13" max="16384" width="11.375" style="1" customWidth="1"/>
  </cols>
  <sheetData>
    <row r="1" spans="2:12" ht="15" customHeight="1">
      <c r="B1" s="170" t="s">
        <v>1025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2:12" ht="86.25" customHeight="1" thickBot="1">
      <c r="B2" s="171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947</v>
      </c>
      <c r="F3" s="146" t="s">
        <v>4</v>
      </c>
      <c r="G3" s="164" t="s">
        <v>674</v>
      </c>
      <c r="H3" s="146" t="s">
        <v>709</v>
      </c>
      <c r="I3" s="146"/>
      <c r="J3" s="146" t="s">
        <v>990</v>
      </c>
      <c r="K3" s="146" t="s">
        <v>3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988</v>
      </c>
      <c r="I4" s="3" t="s">
        <v>989</v>
      </c>
      <c r="J4" s="147"/>
      <c r="K4" s="147"/>
      <c r="L4" s="162"/>
    </row>
    <row r="5" spans="2:11" ht="15">
      <c r="B5" s="167" t="s">
        <v>26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1:12" ht="12.75">
      <c r="A6" s="24" t="s">
        <v>778</v>
      </c>
      <c r="B6" s="64" t="s">
        <v>1005</v>
      </c>
      <c r="C6" s="6" t="s">
        <v>1006</v>
      </c>
      <c r="D6" s="6" t="s">
        <v>828</v>
      </c>
      <c r="E6" s="6" t="str">
        <f>"0,6990"</f>
        <v>0,6990</v>
      </c>
      <c r="F6" s="6" t="s">
        <v>10</v>
      </c>
      <c r="G6" s="6" t="s">
        <v>1007</v>
      </c>
      <c r="H6" s="55" t="s">
        <v>326</v>
      </c>
      <c r="I6" s="55" t="s">
        <v>1028</v>
      </c>
      <c r="J6" s="55" t="s">
        <v>1022</v>
      </c>
      <c r="K6" s="55" t="str">
        <f>"1205,7750"</f>
        <v>1205,7750</v>
      </c>
      <c r="L6" s="6" t="s">
        <v>13</v>
      </c>
    </row>
    <row r="8" spans="2:11" ht="15">
      <c r="B8" s="166" t="s">
        <v>7</v>
      </c>
      <c r="C8" s="142"/>
      <c r="D8" s="142"/>
      <c r="E8" s="142"/>
      <c r="F8" s="142"/>
      <c r="G8" s="142"/>
      <c r="H8" s="142"/>
      <c r="I8" s="142"/>
      <c r="J8" s="142"/>
      <c r="K8" s="142"/>
    </row>
    <row r="9" spans="1:12" ht="12.75">
      <c r="A9" s="24" t="s">
        <v>778</v>
      </c>
      <c r="B9" s="65" t="s">
        <v>1008</v>
      </c>
      <c r="C9" s="7" t="s">
        <v>1009</v>
      </c>
      <c r="D9" s="7" t="s">
        <v>1026</v>
      </c>
      <c r="E9" s="7" t="str">
        <f>"0,6629"</f>
        <v>0,6629</v>
      </c>
      <c r="F9" s="7" t="s">
        <v>64</v>
      </c>
      <c r="G9" s="7" t="s">
        <v>216</v>
      </c>
      <c r="H9" s="56" t="s">
        <v>441</v>
      </c>
      <c r="I9" s="56" t="s">
        <v>1029</v>
      </c>
      <c r="J9" s="56" t="s">
        <v>1018</v>
      </c>
      <c r="K9" s="56" t="str">
        <f>"901,5440"</f>
        <v>901,5440</v>
      </c>
      <c r="L9" s="7" t="s">
        <v>1035</v>
      </c>
    </row>
    <row r="10" spans="1:12" ht="12.75">
      <c r="A10" s="24" t="s">
        <v>778</v>
      </c>
      <c r="B10" s="66" t="s">
        <v>224</v>
      </c>
      <c r="C10" s="8" t="s">
        <v>225</v>
      </c>
      <c r="D10" s="8" t="s">
        <v>691</v>
      </c>
      <c r="E10" s="8" t="str">
        <f>"0,6503"</f>
        <v>0,6503</v>
      </c>
      <c r="F10" s="8" t="s">
        <v>10</v>
      </c>
      <c r="G10" s="8" t="s">
        <v>101</v>
      </c>
      <c r="H10" s="58" t="s">
        <v>194</v>
      </c>
      <c r="I10" s="58" t="s">
        <v>1030</v>
      </c>
      <c r="J10" s="58" t="s">
        <v>1019</v>
      </c>
      <c r="K10" s="58" t="str">
        <f>"2306,7619"</f>
        <v>2306,7619</v>
      </c>
      <c r="L10" s="8" t="s">
        <v>1036</v>
      </c>
    </row>
    <row r="11" spans="1:12" ht="12.75">
      <c r="A11" s="24" t="s">
        <v>779</v>
      </c>
      <c r="B11" s="66" t="s">
        <v>1011</v>
      </c>
      <c r="C11" s="8" t="s">
        <v>1012</v>
      </c>
      <c r="D11" s="8" t="s">
        <v>1027</v>
      </c>
      <c r="E11" s="8" t="str">
        <f>"0,6730"</f>
        <v>0,6730</v>
      </c>
      <c r="F11" s="8" t="s">
        <v>64</v>
      </c>
      <c r="G11" s="8" t="s">
        <v>216</v>
      </c>
      <c r="H11" s="58" t="s">
        <v>193</v>
      </c>
      <c r="I11" s="58" t="s">
        <v>1031</v>
      </c>
      <c r="J11" s="58" t="s">
        <v>1020</v>
      </c>
      <c r="K11" s="58" t="str">
        <f>"1825,6481"</f>
        <v>1825,6481</v>
      </c>
      <c r="L11" s="8" t="s">
        <v>1037</v>
      </c>
    </row>
    <row r="12" spans="1:12" ht="12.75">
      <c r="A12" s="24" t="s">
        <v>780</v>
      </c>
      <c r="B12" s="67" t="s">
        <v>1013</v>
      </c>
      <c r="C12" s="9" t="s">
        <v>1014</v>
      </c>
      <c r="D12" s="9" t="s">
        <v>830</v>
      </c>
      <c r="E12" s="9" t="str">
        <f>"0,6557"</f>
        <v>0,6557</v>
      </c>
      <c r="F12" s="9" t="s">
        <v>10</v>
      </c>
      <c r="G12" s="9" t="s">
        <v>1015</v>
      </c>
      <c r="H12" s="57" t="s">
        <v>194</v>
      </c>
      <c r="I12" s="57" t="s">
        <v>1032</v>
      </c>
      <c r="J12" s="57" t="s">
        <v>1021</v>
      </c>
      <c r="K12" s="57" t="str">
        <f>"1676,8249"</f>
        <v>1676,8249</v>
      </c>
      <c r="L12" s="9" t="s">
        <v>1038</v>
      </c>
    </row>
    <row r="14" spans="2:11" ht="15">
      <c r="B14" s="166" t="s">
        <v>50</v>
      </c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12" ht="12.75">
      <c r="A15" s="24" t="s">
        <v>778</v>
      </c>
      <c r="B15" s="64" t="s">
        <v>251</v>
      </c>
      <c r="C15" s="6" t="s">
        <v>1016</v>
      </c>
      <c r="D15" s="6" t="s">
        <v>187</v>
      </c>
      <c r="E15" s="6" t="str">
        <f>"0,6119"</f>
        <v>0,6119</v>
      </c>
      <c r="F15" s="6" t="s">
        <v>29</v>
      </c>
      <c r="G15" s="6" t="s">
        <v>30</v>
      </c>
      <c r="H15" s="55" t="s">
        <v>187</v>
      </c>
      <c r="I15" s="55" t="s">
        <v>1033</v>
      </c>
      <c r="J15" s="55" t="s">
        <v>1024</v>
      </c>
      <c r="K15" s="55" t="str">
        <f>"1587,8977"</f>
        <v>1587,8977</v>
      </c>
      <c r="L15" s="6" t="s">
        <v>1039</v>
      </c>
    </row>
    <row r="17" spans="2:11" ht="15">
      <c r="B17" s="166" t="s">
        <v>128</v>
      </c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2" ht="12.75">
      <c r="A18" s="24" t="s">
        <v>778</v>
      </c>
      <c r="B18" s="64" t="s">
        <v>288</v>
      </c>
      <c r="C18" s="6" t="s">
        <v>289</v>
      </c>
      <c r="D18" s="6" t="s">
        <v>49</v>
      </c>
      <c r="E18" s="6" t="str">
        <f>"0,5355"</f>
        <v>0,5355</v>
      </c>
      <c r="F18" s="6" t="s">
        <v>10</v>
      </c>
      <c r="G18" s="6" t="s">
        <v>696</v>
      </c>
      <c r="H18" s="55" t="s">
        <v>49</v>
      </c>
      <c r="I18" s="55" t="s">
        <v>1034</v>
      </c>
      <c r="J18" s="55" t="s">
        <v>1023</v>
      </c>
      <c r="K18" s="55" t="str">
        <f>"1012,1328"</f>
        <v>1012,1328</v>
      </c>
      <c r="L18" s="6" t="s">
        <v>223</v>
      </c>
    </row>
  </sheetData>
  <sheetProtection/>
  <mergeCells count="16"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A3:A4"/>
    <mergeCell ref="L3:L4"/>
    <mergeCell ref="B5:K5"/>
    <mergeCell ref="B8:K8"/>
    <mergeCell ref="B14:K14"/>
    <mergeCell ref="B17:K17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K13" sqref="K13"/>
    </sheetView>
  </sheetViews>
  <sheetFormatPr defaultColWidth="8.75390625" defaultRowHeight="12.75"/>
  <cols>
    <col min="1" max="1" width="8.75390625" style="0" customWidth="1"/>
    <col min="2" max="2" width="18.00390625" style="11" customWidth="1"/>
    <col min="3" max="3" width="27.375" style="11" customWidth="1"/>
    <col min="4" max="4" width="10.125" style="11" bestFit="1" customWidth="1"/>
    <col min="5" max="5" width="8.25390625" style="11" bestFit="1" customWidth="1"/>
    <col min="6" max="6" width="16.375" style="11" customWidth="1"/>
    <col min="7" max="7" width="27.875" style="11" customWidth="1"/>
    <col min="8" max="8" width="4.625" style="11" bestFit="1" customWidth="1"/>
    <col min="9" max="9" width="9.25390625" style="11" bestFit="1" customWidth="1"/>
    <col min="10" max="10" width="7.75390625" style="11" bestFit="1" customWidth="1"/>
    <col min="11" max="11" width="8.625" style="11" bestFit="1" customWidth="1"/>
    <col min="12" max="12" width="14.875" style="11" customWidth="1"/>
  </cols>
  <sheetData>
    <row r="1" spans="2:12" s="1" customFormat="1" ht="15" customHeight="1">
      <c r="B1" s="150" t="s">
        <v>1004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2:12" s="1" customFormat="1" ht="102.7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947</v>
      </c>
      <c r="F3" s="146" t="s">
        <v>4</v>
      </c>
      <c r="G3" s="164" t="s">
        <v>674</v>
      </c>
      <c r="H3" s="146" t="s">
        <v>709</v>
      </c>
      <c r="I3" s="146"/>
      <c r="J3" s="146" t="s">
        <v>990</v>
      </c>
      <c r="K3" s="146" t="s">
        <v>3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988</v>
      </c>
      <c r="I4" s="3" t="s">
        <v>989</v>
      </c>
      <c r="J4" s="147"/>
      <c r="K4" s="147"/>
      <c r="L4" s="162"/>
    </row>
    <row r="5" spans="2:11" ht="15">
      <c r="B5" s="163" t="s">
        <v>21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1:12" ht="12.75">
      <c r="A6" s="25">
        <v>1</v>
      </c>
      <c r="B6" s="15" t="s">
        <v>995</v>
      </c>
      <c r="C6" s="15" t="s">
        <v>996</v>
      </c>
      <c r="D6" s="15" t="s">
        <v>1000</v>
      </c>
      <c r="E6" s="15" t="str">
        <f>"0,9439"</f>
        <v>0,9439</v>
      </c>
      <c r="F6" s="15" t="s">
        <v>10</v>
      </c>
      <c r="G6" s="15" t="s">
        <v>1001</v>
      </c>
      <c r="H6" s="27" t="s">
        <v>997</v>
      </c>
      <c r="I6" s="27" t="s">
        <v>1002</v>
      </c>
      <c r="J6" s="27" t="s">
        <v>999</v>
      </c>
      <c r="K6" s="27" t="str">
        <f>"736,2420"</f>
        <v>736,2420</v>
      </c>
      <c r="L6" s="15" t="s">
        <v>1003</v>
      </c>
    </row>
    <row r="7" spans="2:11" ht="12.75"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2:11" ht="15">
      <c r="B8" s="172" t="s">
        <v>91</v>
      </c>
      <c r="C8" s="172"/>
      <c r="D8" s="172"/>
      <c r="E8" s="172"/>
      <c r="F8" s="172"/>
      <c r="G8" s="172"/>
      <c r="H8" s="172"/>
      <c r="I8" s="172"/>
      <c r="J8" s="172"/>
      <c r="K8" s="172"/>
    </row>
    <row r="9" spans="1:12" ht="12.75">
      <c r="A9" s="25">
        <v>1</v>
      </c>
      <c r="B9" s="15" t="s">
        <v>1222</v>
      </c>
      <c r="C9" s="15" t="s">
        <v>1223</v>
      </c>
      <c r="D9" s="15" t="s">
        <v>1224</v>
      </c>
      <c r="E9" s="94">
        <v>0.56765</v>
      </c>
      <c r="F9" s="15" t="s">
        <v>10</v>
      </c>
      <c r="G9" s="15" t="s">
        <v>1225</v>
      </c>
      <c r="H9" s="27" t="s">
        <v>154</v>
      </c>
      <c r="I9" s="27" t="s">
        <v>1226</v>
      </c>
      <c r="J9" s="27" t="s">
        <v>1231</v>
      </c>
      <c r="K9" s="27" t="s">
        <v>1232</v>
      </c>
      <c r="L9" s="15" t="s">
        <v>877</v>
      </c>
    </row>
  </sheetData>
  <sheetProtection/>
  <mergeCells count="14">
    <mergeCell ref="B5:K5"/>
    <mergeCell ref="A3:A4"/>
    <mergeCell ref="B8:K8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20" sqref="F20"/>
    </sheetView>
  </sheetViews>
  <sheetFormatPr defaultColWidth="8.75390625" defaultRowHeight="12.75"/>
  <cols>
    <col min="1" max="1" width="8.75390625" style="0" customWidth="1"/>
    <col min="2" max="2" width="21.25390625" style="11" customWidth="1"/>
    <col min="3" max="3" width="27.125" style="11" customWidth="1"/>
    <col min="4" max="4" width="9.25390625" style="11" customWidth="1"/>
    <col min="5" max="5" width="8.25390625" style="11" bestFit="1" customWidth="1"/>
    <col min="6" max="6" width="17.625" style="11" customWidth="1"/>
    <col min="7" max="7" width="37.75390625" style="11" customWidth="1"/>
    <col min="8" max="8" width="5.375" style="11" customWidth="1"/>
    <col min="9" max="10" width="8.625" style="11" customWidth="1"/>
    <col min="11" max="11" width="9.625" style="11" bestFit="1" customWidth="1"/>
    <col min="12" max="12" width="14.75390625" style="11" customWidth="1"/>
  </cols>
  <sheetData>
    <row r="1" spans="2:12" s="1" customFormat="1" ht="15" customHeight="1">
      <c r="B1" s="150" t="s">
        <v>987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2:12" s="1" customFormat="1" ht="87.7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947</v>
      </c>
      <c r="F3" s="146" t="s">
        <v>4</v>
      </c>
      <c r="G3" s="164" t="s">
        <v>674</v>
      </c>
      <c r="H3" s="146" t="s">
        <v>709</v>
      </c>
      <c r="I3" s="146"/>
      <c r="J3" s="146" t="s">
        <v>990</v>
      </c>
      <c r="K3" s="146" t="s">
        <v>3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988</v>
      </c>
      <c r="I4" s="3" t="s">
        <v>989</v>
      </c>
      <c r="J4" s="147"/>
      <c r="K4" s="147"/>
      <c r="L4" s="162"/>
    </row>
    <row r="5" spans="2:11" ht="15">
      <c r="B5" s="163" t="s">
        <v>148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1:12" ht="12.75">
      <c r="A6" s="25">
        <v>1</v>
      </c>
      <c r="B6" s="15" t="s">
        <v>149</v>
      </c>
      <c r="C6" s="15" t="s">
        <v>978</v>
      </c>
      <c r="D6" s="15" t="s">
        <v>881</v>
      </c>
      <c r="E6" s="15" t="str">
        <f>"1,2809"</f>
        <v>1,2809</v>
      </c>
      <c r="F6" s="15" t="s">
        <v>45</v>
      </c>
      <c r="G6" s="15" t="s">
        <v>151</v>
      </c>
      <c r="H6" s="27" t="s">
        <v>979</v>
      </c>
      <c r="I6" s="27" t="s">
        <v>992</v>
      </c>
      <c r="J6" s="27" t="s">
        <v>985</v>
      </c>
      <c r="K6" s="27" t="str">
        <f>"1799,6645"</f>
        <v>1799,6645</v>
      </c>
      <c r="L6" s="15" t="s">
        <v>903</v>
      </c>
    </row>
    <row r="8" spans="2:11" ht="15">
      <c r="B8" s="142" t="s">
        <v>156</v>
      </c>
      <c r="C8" s="142"/>
      <c r="D8" s="142"/>
      <c r="E8" s="142"/>
      <c r="F8" s="142"/>
      <c r="G8" s="142"/>
      <c r="H8" s="142"/>
      <c r="I8" s="142"/>
      <c r="J8" s="142"/>
      <c r="K8" s="142"/>
    </row>
    <row r="9" spans="1:12" ht="12.75">
      <c r="A9" s="25">
        <v>1</v>
      </c>
      <c r="B9" s="15" t="s">
        <v>980</v>
      </c>
      <c r="C9" s="15" t="s">
        <v>981</v>
      </c>
      <c r="D9" s="15" t="s">
        <v>991</v>
      </c>
      <c r="E9" s="15" t="str">
        <f>"1,1641"</f>
        <v>1,1641</v>
      </c>
      <c r="F9" s="15" t="s">
        <v>982</v>
      </c>
      <c r="G9" s="15" t="s">
        <v>808</v>
      </c>
      <c r="H9" s="27" t="s">
        <v>983</v>
      </c>
      <c r="I9" s="27" t="s">
        <v>993</v>
      </c>
      <c r="J9" s="27" t="s">
        <v>986</v>
      </c>
      <c r="K9" s="27" t="str">
        <f>"1222,3051"</f>
        <v>1222,3051</v>
      </c>
      <c r="L9" s="15" t="s">
        <v>994</v>
      </c>
    </row>
    <row r="10" spans="1:12" ht="12.75">
      <c r="A10" s="25"/>
      <c r="B10" s="92"/>
      <c r="C10" s="92"/>
      <c r="D10" s="92"/>
      <c r="E10" s="92"/>
      <c r="F10" s="92"/>
      <c r="G10" s="92"/>
      <c r="H10" s="93"/>
      <c r="I10" s="93"/>
      <c r="J10" s="93"/>
      <c r="K10" s="93"/>
      <c r="L10" s="92"/>
    </row>
    <row r="11" spans="2:11" ht="15">
      <c r="B11" s="173" t="s">
        <v>1217</v>
      </c>
      <c r="C11" s="173"/>
      <c r="D11" s="173"/>
      <c r="E11" s="173"/>
      <c r="F11" s="173"/>
      <c r="G11" s="173"/>
      <c r="H11" s="173"/>
      <c r="I11" s="173"/>
      <c r="J11" s="173"/>
      <c r="K11" s="173"/>
    </row>
    <row r="12" spans="1:12" ht="12.75">
      <c r="A12" s="25">
        <v>1</v>
      </c>
      <c r="B12" s="14" t="s">
        <v>189</v>
      </c>
      <c r="C12" s="14" t="s">
        <v>1218</v>
      </c>
      <c r="D12" s="14" t="s">
        <v>718</v>
      </c>
      <c r="E12" s="14" t="s">
        <v>1220</v>
      </c>
      <c r="F12" s="14" t="s">
        <v>45</v>
      </c>
      <c r="G12" s="9" t="s">
        <v>46</v>
      </c>
      <c r="H12" s="30" t="s">
        <v>505</v>
      </c>
      <c r="I12" s="30" t="s">
        <v>1219</v>
      </c>
      <c r="J12" s="30" t="s">
        <v>1227</v>
      </c>
      <c r="K12" s="30" t="s">
        <v>1228</v>
      </c>
      <c r="L12" s="15" t="s">
        <v>903</v>
      </c>
    </row>
    <row r="14" spans="2:11" ht="15">
      <c r="B14" s="142" t="s">
        <v>26</v>
      </c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12" ht="12.75">
      <c r="A15" s="25">
        <v>1</v>
      </c>
      <c r="B15" s="15" t="s">
        <v>628</v>
      </c>
      <c r="C15" s="15" t="s">
        <v>1213</v>
      </c>
      <c r="D15" s="15" t="s">
        <v>755</v>
      </c>
      <c r="E15" s="15" t="s">
        <v>1221</v>
      </c>
      <c r="F15" s="15" t="s">
        <v>1214</v>
      </c>
      <c r="G15" s="15" t="s">
        <v>76</v>
      </c>
      <c r="H15" s="27" t="s">
        <v>506</v>
      </c>
      <c r="I15" s="27" t="s">
        <v>1215</v>
      </c>
      <c r="J15" s="27" t="s">
        <v>1229</v>
      </c>
      <c r="K15" s="27" t="s">
        <v>1230</v>
      </c>
      <c r="L15" s="15" t="s">
        <v>1216</v>
      </c>
    </row>
  </sheetData>
  <sheetProtection/>
  <mergeCells count="16">
    <mergeCell ref="K3:K4"/>
    <mergeCell ref="B14:K14"/>
    <mergeCell ref="L3:L4"/>
    <mergeCell ref="B5:K5"/>
    <mergeCell ref="B8:K8"/>
    <mergeCell ref="B11:K11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B1">
      <selection activeCell="V25" sqref="V25"/>
    </sheetView>
  </sheetViews>
  <sheetFormatPr defaultColWidth="8.75390625" defaultRowHeight="12.75"/>
  <cols>
    <col min="1" max="1" width="7.125" style="25" customWidth="1"/>
    <col min="2" max="2" width="22.125" style="11" customWidth="1"/>
    <col min="3" max="3" width="27.25390625" style="11" bestFit="1" customWidth="1"/>
    <col min="4" max="4" width="10.125" style="11" bestFit="1" customWidth="1"/>
    <col min="5" max="5" width="8.25390625" style="11" customWidth="1"/>
    <col min="6" max="6" width="11.75390625" style="11" customWidth="1"/>
    <col min="7" max="7" width="37.375" style="11" customWidth="1"/>
    <col min="8" max="10" width="5.625" style="11" bestFit="1" customWidth="1"/>
    <col min="11" max="11" width="5.25390625" style="11" customWidth="1"/>
    <col min="12" max="14" width="5.625" style="11" bestFit="1" customWidth="1"/>
    <col min="15" max="15" width="4.25390625" style="11" bestFit="1" customWidth="1"/>
    <col min="16" max="18" width="5.625" style="11" bestFit="1" customWidth="1"/>
    <col min="19" max="19" width="4.25390625" style="11" bestFit="1" customWidth="1"/>
    <col min="20" max="20" width="7.75390625" style="35" bestFit="1" customWidth="1"/>
    <col min="21" max="21" width="8.625" style="11" bestFit="1" customWidth="1"/>
    <col min="22" max="22" width="15.875" style="11" customWidth="1"/>
  </cols>
  <sheetData>
    <row r="1" spans="1:22" s="1" customFormat="1" ht="15" customHeight="1">
      <c r="A1" s="24"/>
      <c r="B1" s="150" t="s">
        <v>805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2"/>
    </row>
    <row r="2" spans="1:22" s="1" customFormat="1" ht="93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1:2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6" t="s">
        <v>709</v>
      </c>
      <c r="M3" s="146"/>
      <c r="N3" s="146"/>
      <c r="O3" s="146"/>
      <c r="P3" s="146" t="s">
        <v>710</v>
      </c>
      <c r="Q3" s="146"/>
      <c r="R3" s="146"/>
      <c r="S3" s="146"/>
      <c r="T3" s="144" t="s">
        <v>1</v>
      </c>
      <c r="U3" s="146" t="s">
        <v>3</v>
      </c>
      <c r="V3" s="161" t="s">
        <v>2</v>
      </c>
    </row>
    <row r="4" spans="1:2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778</v>
      </c>
      <c r="I4" s="3" t="s">
        <v>779</v>
      </c>
      <c r="J4" s="3" t="s">
        <v>780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145"/>
      <c r="U4" s="147"/>
      <c r="V4" s="162"/>
    </row>
    <row r="5" spans="2:21" ht="1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2" ht="12.75">
      <c r="A6" s="25">
        <v>1</v>
      </c>
      <c r="B6" s="15" t="s">
        <v>498</v>
      </c>
      <c r="C6" s="15" t="s">
        <v>499</v>
      </c>
      <c r="D6" s="15" t="s">
        <v>793</v>
      </c>
      <c r="E6" s="15" t="str">
        <f>"1,2212"</f>
        <v>1,2212</v>
      </c>
      <c r="F6" s="15" t="s">
        <v>10</v>
      </c>
      <c r="G6" s="15" t="s">
        <v>696</v>
      </c>
      <c r="H6" s="36" t="s">
        <v>187</v>
      </c>
      <c r="I6" s="39" t="s">
        <v>205</v>
      </c>
      <c r="J6" s="39" t="s">
        <v>205</v>
      </c>
      <c r="K6" s="26"/>
      <c r="L6" s="36" t="s">
        <v>500</v>
      </c>
      <c r="M6" s="36" t="s">
        <v>433</v>
      </c>
      <c r="N6" s="36" t="s">
        <v>442</v>
      </c>
      <c r="O6" s="26"/>
      <c r="P6" s="36" t="s">
        <v>441</v>
      </c>
      <c r="Q6" s="36" t="s">
        <v>186</v>
      </c>
      <c r="R6" s="36" t="s">
        <v>501</v>
      </c>
      <c r="S6" s="26"/>
      <c r="T6" s="32">
        <v>222.5</v>
      </c>
      <c r="U6" s="27" t="str">
        <f>"271,7170"</f>
        <v>271,7170</v>
      </c>
      <c r="V6" s="15" t="s">
        <v>809</v>
      </c>
    </row>
    <row r="8" spans="2:21" ht="15">
      <c r="B8" s="142" t="s">
        <v>21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</row>
    <row r="9" spans="1:22" ht="12.75">
      <c r="A9" s="25">
        <v>1</v>
      </c>
      <c r="B9" s="15" t="s">
        <v>502</v>
      </c>
      <c r="C9" s="15" t="s">
        <v>503</v>
      </c>
      <c r="D9" s="15" t="s">
        <v>794</v>
      </c>
      <c r="E9" s="15" t="str">
        <f>"1,0328"</f>
        <v>1,0328</v>
      </c>
      <c r="F9" s="15" t="s">
        <v>10</v>
      </c>
      <c r="G9" s="15" t="s">
        <v>256</v>
      </c>
      <c r="H9" s="36" t="s">
        <v>19</v>
      </c>
      <c r="I9" s="36" t="s">
        <v>20</v>
      </c>
      <c r="J9" s="36" t="s">
        <v>169</v>
      </c>
      <c r="K9" s="26"/>
      <c r="L9" s="36" t="s">
        <v>504</v>
      </c>
      <c r="M9" s="36" t="s">
        <v>505</v>
      </c>
      <c r="N9" s="39" t="s">
        <v>506</v>
      </c>
      <c r="O9" s="26"/>
      <c r="P9" s="36" t="s">
        <v>438</v>
      </c>
      <c r="Q9" s="36" t="s">
        <v>326</v>
      </c>
      <c r="R9" s="36" t="s">
        <v>441</v>
      </c>
      <c r="S9" s="26"/>
      <c r="T9" s="32">
        <v>182.5</v>
      </c>
      <c r="U9" s="27" t="str">
        <f>"196,7794"</f>
        <v>196,7794</v>
      </c>
      <c r="V9" s="15" t="s">
        <v>810</v>
      </c>
    </row>
    <row r="11" spans="2:21" ht="15">
      <c r="B11" s="142" t="s">
        <v>26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</row>
    <row r="12" spans="1:22" ht="12.75">
      <c r="A12" s="25">
        <v>1</v>
      </c>
      <c r="B12" s="15" t="s">
        <v>507</v>
      </c>
      <c r="C12" s="15" t="s">
        <v>508</v>
      </c>
      <c r="D12" s="15" t="s">
        <v>795</v>
      </c>
      <c r="E12" s="15" t="str">
        <f>"0,7179"</f>
        <v>0,7179</v>
      </c>
      <c r="F12" s="15" t="s">
        <v>10</v>
      </c>
      <c r="G12" s="15" t="s">
        <v>79</v>
      </c>
      <c r="H12" s="39" t="s">
        <v>335</v>
      </c>
      <c r="I12" s="39" t="s">
        <v>335</v>
      </c>
      <c r="J12" s="36" t="s">
        <v>335</v>
      </c>
      <c r="K12" s="26"/>
      <c r="L12" s="36" t="s">
        <v>285</v>
      </c>
      <c r="M12" s="39" t="s">
        <v>12</v>
      </c>
      <c r="N12" s="36" t="s">
        <v>12</v>
      </c>
      <c r="O12" s="26"/>
      <c r="P12" s="39" t="s">
        <v>364</v>
      </c>
      <c r="Q12" s="36" t="s">
        <v>364</v>
      </c>
      <c r="R12" s="36" t="s">
        <v>315</v>
      </c>
      <c r="S12" s="26"/>
      <c r="T12" s="32">
        <v>640</v>
      </c>
      <c r="U12" s="27" t="str">
        <f>"459,4560"</f>
        <v>459,4560</v>
      </c>
      <c r="V12" s="15" t="s">
        <v>13</v>
      </c>
    </row>
    <row r="14" spans="2:21" ht="15">
      <c r="B14" s="142" t="s">
        <v>7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</row>
    <row r="15" spans="1:22" ht="12.75">
      <c r="A15" s="25">
        <v>1</v>
      </c>
      <c r="B15" s="13" t="s">
        <v>509</v>
      </c>
      <c r="C15" s="13" t="s">
        <v>510</v>
      </c>
      <c r="D15" s="13" t="s">
        <v>686</v>
      </c>
      <c r="E15" s="13" t="str">
        <f>"0,6729"</f>
        <v>0,6729</v>
      </c>
      <c r="F15" s="13" t="s">
        <v>10</v>
      </c>
      <c r="G15" s="13" t="s">
        <v>807</v>
      </c>
      <c r="H15" s="37" t="s">
        <v>315</v>
      </c>
      <c r="I15" s="29"/>
      <c r="J15" s="29"/>
      <c r="K15" s="29"/>
      <c r="L15" s="37" t="s">
        <v>11</v>
      </c>
      <c r="M15" s="37" t="s">
        <v>12</v>
      </c>
      <c r="N15" s="44" t="s">
        <v>54</v>
      </c>
      <c r="O15" s="29"/>
      <c r="P15" s="37" t="s">
        <v>66</v>
      </c>
      <c r="Q15" s="37" t="s">
        <v>335</v>
      </c>
      <c r="R15" s="44" t="s">
        <v>116</v>
      </c>
      <c r="S15" s="29"/>
      <c r="T15" s="33">
        <v>640</v>
      </c>
      <c r="U15" s="28" t="str">
        <f>"430,6560"</f>
        <v>430,6560</v>
      </c>
      <c r="V15" s="13" t="s">
        <v>13</v>
      </c>
    </row>
    <row r="16" spans="1:22" ht="12.75">
      <c r="A16" s="25">
        <v>2</v>
      </c>
      <c r="B16" s="14" t="s">
        <v>511</v>
      </c>
      <c r="C16" s="14" t="s">
        <v>512</v>
      </c>
      <c r="D16" s="14" t="s">
        <v>796</v>
      </c>
      <c r="E16" s="14" t="str">
        <f>"0,6719"</f>
        <v>0,6719</v>
      </c>
      <c r="F16" s="14" t="s">
        <v>10</v>
      </c>
      <c r="G16" s="14" t="s">
        <v>513</v>
      </c>
      <c r="H16" s="38" t="s">
        <v>86</v>
      </c>
      <c r="I16" s="38" t="s">
        <v>132</v>
      </c>
      <c r="J16" s="38" t="s">
        <v>68</v>
      </c>
      <c r="K16" s="31"/>
      <c r="L16" s="38" t="s">
        <v>11</v>
      </c>
      <c r="M16" s="38" t="s">
        <v>12</v>
      </c>
      <c r="N16" s="46" t="s">
        <v>200</v>
      </c>
      <c r="O16" s="31"/>
      <c r="P16" s="38" t="s">
        <v>132</v>
      </c>
      <c r="Q16" s="38" t="s">
        <v>391</v>
      </c>
      <c r="R16" s="38" t="s">
        <v>364</v>
      </c>
      <c r="S16" s="31"/>
      <c r="T16" s="34">
        <v>625</v>
      </c>
      <c r="U16" s="30" t="str">
        <f>"419,9375"</f>
        <v>419,9375</v>
      </c>
      <c r="V16" s="14" t="s">
        <v>750</v>
      </c>
    </row>
    <row r="18" spans="2:21" ht="15">
      <c r="B18" s="142" t="s">
        <v>50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</row>
    <row r="19" spans="1:22" ht="12.75">
      <c r="A19" s="25">
        <v>1</v>
      </c>
      <c r="B19" s="13" t="s">
        <v>514</v>
      </c>
      <c r="C19" s="13" t="s">
        <v>515</v>
      </c>
      <c r="D19" s="13" t="s">
        <v>797</v>
      </c>
      <c r="E19" s="13" t="str">
        <f>"0,6511"</f>
        <v>0,6511</v>
      </c>
      <c r="F19" s="13" t="s">
        <v>10</v>
      </c>
      <c r="G19" s="13" t="s">
        <v>696</v>
      </c>
      <c r="H19" s="37" t="s">
        <v>108</v>
      </c>
      <c r="I19" s="37" t="s">
        <v>109</v>
      </c>
      <c r="J19" s="44" t="s">
        <v>86</v>
      </c>
      <c r="K19" s="29"/>
      <c r="L19" s="37" t="s">
        <v>213</v>
      </c>
      <c r="M19" s="37" t="s">
        <v>41</v>
      </c>
      <c r="N19" s="37" t="s">
        <v>11</v>
      </c>
      <c r="O19" s="29"/>
      <c r="P19" s="37" t="s">
        <v>66</v>
      </c>
      <c r="Q19" s="37" t="s">
        <v>132</v>
      </c>
      <c r="R19" s="37" t="s">
        <v>335</v>
      </c>
      <c r="S19" s="29"/>
      <c r="T19" s="33">
        <v>562.5</v>
      </c>
      <c r="U19" s="28" t="str">
        <f>"366,2437"</f>
        <v>366,2437</v>
      </c>
      <c r="V19" s="13" t="s">
        <v>811</v>
      </c>
    </row>
    <row r="20" spans="1:22" ht="12.75">
      <c r="A20" s="25">
        <v>1</v>
      </c>
      <c r="B20" s="17" t="s">
        <v>516</v>
      </c>
      <c r="C20" s="17" t="s">
        <v>517</v>
      </c>
      <c r="D20" s="17" t="s">
        <v>187</v>
      </c>
      <c r="E20" s="17" t="str">
        <f>"0,6384"</f>
        <v>0,6384</v>
      </c>
      <c r="F20" s="17" t="s">
        <v>64</v>
      </c>
      <c r="G20" s="17" t="s">
        <v>185</v>
      </c>
      <c r="H20" s="43" t="s">
        <v>132</v>
      </c>
      <c r="I20" s="43" t="s">
        <v>361</v>
      </c>
      <c r="J20" s="43" t="s">
        <v>391</v>
      </c>
      <c r="K20" s="41"/>
      <c r="L20" s="43" t="s">
        <v>54</v>
      </c>
      <c r="M20" s="43" t="s">
        <v>60</v>
      </c>
      <c r="N20" s="43" t="s">
        <v>90</v>
      </c>
      <c r="O20" s="41"/>
      <c r="P20" s="43" t="s">
        <v>66</v>
      </c>
      <c r="Q20" s="43" t="s">
        <v>68</v>
      </c>
      <c r="R20" s="43" t="s">
        <v>361</v>
      </c>
      <c r="S20" s="41"/>
      <c r="T20" s="42">
        <v>652.5</v>
      </c>
      <c r="U20" s="40" t="str">
        <f>"416,5560"</f>
        <v>416,5560</v>
      </c>
      <c r="V20" s="17" t="s">
        <v>729</v>
      </c>
    </row>
    <row r="21" spans="2:22" ht="12.75">
      <c r="B21" s="17" t="s">
        <v>518</v>
      </c>
      <c r="C21" s="17" t="s">
        <v>519</v>
      </c>
      <c r="D21" s="17" t="s">
        <v>766</v>
      </c>
      <c r="E21" s="17" t="str">
        <f>"0,6436"</f>
        <v>0,6436</v>
      </c>
      <c r="F21" s="17" t="s">
        <v>10</v>
      </c>
      <c r="G21" s="17" t="s">
        <v>696</v>
      </c>
      <c r="H21" s="45" t="s">
        <v>132</v>
      </c>
      <c r="I21" s="45" t="s">
        <v>132</v>
      </c>
      <c r="J21" s="45" t="s">
        <v>132</v>
      </c>
      <c r="K21" s="41"/>
      <c r="L21" s="41"/>
      <c r="M21" s="41"/>
      <c r="N21" s="41"/>
      <c r="O21" s="41"/>
      <c r="P21" s="45"/>
      <c r="Q21" s="41"/>
      <c r="R21" s="41"/>
      <c r="S21" s="41"/>
      <c r="T21" s="54">
        <v>0</v>
      </c>
      <c r="U21" s="40" t="s">
        <v>713</v>
      </c>
      <c r="V21" s="17" t="s">
        <v>13</v>
      </c>
    </row>
    <row r="22" spans="2:22" ht="12.75">
      <c r="B22" s="14" t="s">
        <v>518</v>
      </c>
      <c r="C22" s="14" t="s">
        <v>520</v>
      </c>
      <c r="D22" s="14" t="s">
        <v>766</v>
      </c>
      <c r="E22" s="14" t="str">
        <f>"0,6436"</f>
        <v>0,6436</v>
      </c>
      <c r="F22" s="14" t="s">
        <v>10</v>
      </c>
      <c r="G22" s="14" t="s">
        <v>696</v>
      </c>
      <c r="H22" s="46" t="s">
        <v>132</v>
      </c>
      <c r="I22" s="46" t="s">
        <v>132</v>
      </c>
      <c r="J22" s="46" t="s">
        <v>132</v>
      </c>
      <c r="K22" s="31"/>
      <c r="L22" s="31"/>
      <c r="M22" s="31"/>
      <c r="N22" s="31"/>
      <c r="O22" s="31"/>
      <c r="P22" s="46"/>
      <c r="Q22" s="31"/>
      <c r="R22" s="31"/>
      <c r="S22" s="31"/>
      <c r="T22" s="51">
        <v>0</v>
      </c>
      <c r="U22" s="30" t="s">
        <v>713</v>
      </c>
      <c r="V22" s="14" t="s">
        <v>13</v>
      </c>
    </row>
    <row r="24" spans="2:21" ht="15">
      <c r="B24" s="142" t="s">
        <v>56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</row>
    <row r="25" spans="1:22" ht="12.75">
      <c r="A25" s="25">
        <v>1</v>
      </c>
      <c r="B25" s="13" t="s">
        <v>521</v>
      </c>
      <c r="C25" s="13" t="s">
        <v>522</v>
      </c>
      <c r="D25" s="13" t="s">
        <v>798</v>
      </c>
      <c r="E25" s="13" t="str">
        <f>"0,6285"</f>
        <v>0,6285</v>
      </c>
      <c r="F25" s="13" t="s">
        <v>10</v>
      </c>
      <c r="G25" s="13" t="s">
        <v>177</v>
      </c>
      <c r="H25" s="37" t="s">
        <v>116</v>
      </c>
      <c r="I25" s="37" t="s">
        <v>485</v>
      </c>
      <c r="J25" s="37" t="s">
        <v>315</v>
      </c>
      <c r="K25" s="29"/>
      <c r="L25" s="37" t="s">
        <v>11</v>
      </c>
      <c r="M25" s="44" t="s">
        <v>25</v>
      </c>
      <c r="N25" s="44" t="s">
        <v>25</v>
      </c>
      <c r="O25" s="29"/>
      <c r="P25" s="37" t="s">
        <v>116</v>
      </c>
      <c r="Q25" s="37" t="s">
        <v>364</v>
      </c>
      <c r="R25" s="37" t="s">
        <v>340</v>
      </c>
      <c r="S25" s="29"/>
      <c r="T25" s="33">
        <v>655</v>
      </c>
      <c r="U25" s="28" t="str">
        <f>"411,6675"</f>
        <v>411,6675</v>
      </c>
      <c r="V25" s="13" t="s">
        <v>812</v>
      </c>
    </row>
    <row r="26" spans="1:22" ht="12.75">
      <c r="A26" s="25">
        <v>1</v>
      </c>
      <c r="B26" s="17" t="s">
        <v>523</v>
      </c>
      <c r="C26" s="17" t="s">
        <v>524</v>
      </c>
      <c r="D26" s="17" t="s">
        <v>760</v>
      </c>
      <c r="E26" s="17" t="str">
        <f>"0,6144"</f>
        <v>0,6144</v>
      </c>
      <c r="F26" s="17" t="s">
        <v>10</v>
      </c>
      <c r="G26" s="17" t="s">
        <v>177</v>
      </c>
      <c r="H26" s="43" t="s">
        <v>310</v>
      </c>
      <c r="I26" s="43" t="s">
        <v>344</v>
      </c>
      <c r="J26" s="43" t="s">
        <v>525</v>
      </c>
      <c r="K26" s="41"/>
      <c r="L26" s="43" t="s">
        <v>321</v>
      </c>
      <c r="M26" s="43" t="s">
        <v>125</v>
      </c>
      <c r="N26" s="45" t="s">
        <v>102</v>
      </c>
      <c r="O26" s="41"/>
      <c r="P26" s="43" t="s">
        <v>309</v>
      </c>
      <c r="Q26" s="45" t="s">
        <v>344</v>
      </c>
      <c r="R26" s="45" t="s">
        <v>344</v>
      </c>
      <c r="S26" s="41"/>
      <c r="T26" s="42">
        <v>775</v>
      </c>
      <c r="U26" s="40" t="str">
        <f>"476,1600"</f>
        <v>476,1600</v>
      </c>
      <c r="V26" s="17" t="s">
        <v>812</v>
      </c>
    </row>
    <row r="27" spans="1:22" ht="12.75">
      <c r="A27" s="25">
        <v>2</v>
      </c>
      <c r="B27" s="17" t="s">
        <v>526</v>
      </c>
      <c r="C27" s="17" t="s">
        <v>527</v>
      </c>
      <c r="D27" s="17" t="s">
        <v>712</v>
      </c>
      <c r="E27" s="17" t="str">
        <f>"0,6113"</f>
        <v>0,6113</v>
      </c>
      <c r="F27" s="17" t="s">
        <v>10</v>
      </c>
      <c r="G27" s="17" t="s">
        <v>528</v>
      </c>
      <c r="H27" s="43" t="s">
        <v>316</v>
      </c>
      <c r="I27" s="43" t="s">
        <v>338</v>
      </c>
      <c r="J27" s="43" t="s">
        <v>309</v>
      </c>
      <c r="K27" s="41"/>
      <c r="L27" s="43" t="s">
        <v>54</v>
      </c>
      <c r="M27" s="45" t="s">
        <v>72</v>
      </c>
      <c r="N27" s="45" t="s">
        <v>72</v>
      </c>
      <c r="O27" s="41"/>
      <c r="P27" s="43" t="s">
        <v>356</v>
      </c>
      <c r="Q27" s="45" t="s">
        <v>388</v>
      </c>
      <c r="R27" s="45" t="s">
        <v>388</v>
      </c>
      <c r="S27" s="41"/>
      <c r="T27" s="42">
        <v>755</v>
      </c>
      <c r="U27" s="40" t="str">
        <f>"461,5315"</f>
        <v>461,5315</v>
      </c>
      <c r="V27" s="17" t="s">
        <v>13</v>
      </c>
    </row>
    <row r="28" spans="1:22" ht="12.75">
      <c r="A28" s="25">
        <v>3</v>
      </c>
      <c r="B28" s="17" t="s">
        <v>529</v>
      </c>
      <c r="C28" s="17" t="s">
        <v>530</v>
      </c>
      <c r="D28" s="17" t="s">
        <v>799</v>
      </c>
      <c r="E28" s="17" t="str">
        <f>"0,6142"</f>
        <v>0,6142</v>
      </c>
      <c r="F28" s="17" t="s">
        <v>10</v>
      </c>
      <c r="G28" s="17" t="s">
        <v>696</v>
      </c>
      <c r="H28" s="45" t="s">
        <v>361</v>
      </c>
      <c r="I28" s="43" t="s">
        <v>391</v>
      </c>
      <c r="J28" s="45" t="s">
        <v>485</v>
      </c>
      <c r="K28" s="41"/>
      <c r="L28" s="43" t="s">
        <v>72</v>
      </c>
      <c r="M28" s="43" t="s">
        <v>55</v>
      </c>
      <c r="N28" s="41"/>
      <c r="O28" s="41"/>
      <c r="P28" s="43" t="s">
        <v>364</v>
      </c>
      <c r="Q28" s="45" t="s">
        <v>531</v>
      </c>
      <c r="R28" s="45" t="s">
        <v>531</v>
      </c>
      <c r="S28" s="41"/>
      <c r="T28" s="42">
        <v>670</v>
      </c>
      <c r="U28" s="40" t="str">
        <f>"411,5140"</f>
        <v>411,5140</v>
      </c>
      <c r="V28" s="17" t="s">
        <v>813</v>
      </c>
    </row>
    <row r="29" spans="1:22" ht="12.75">
      <c r="A29" s="25">
        <v>4</v>
      </c>
      <c r="B29" s="17" t="s">
        <v>521</v>
      </c>
      <c r="C29" s="17" t="s">
        <v>532</v>
      </c>
      <c r="D29" s="17" t="s">
        <v>798</v>
      </c>
      <c r="E29" s="17" t="str">
        <f>"0,6285"</f>
        <v>0,6285</v>
      </c>
      <c r="F29" s="17" t="s">
        <v>10</v>
      </c>
      <c r="G29" s="17" t="s">
        <v>177</v>
      </c>
      <c r="H29" s="43" t="s">
        <v>116</v>
      </c>
      <c r="I29" s="43" t="s">
        <v>485</v>
      </c>
      <c r="J29" s="43" t="s">
        <v>315</v>
      </c>
      <c r="K29" s="41"/>
      <c r="L29" s="43" t="s">
        <v>11</v>
      </c>
      <c r="M29" s="45" t="s">
        <v>25</v>
      </c>
      <c r="N29" s="45" t="s">
        <v>25</v>
      </c>
      <c r="O29" s="41"/>
      <c r="P29" s="43" t="s">
        <v>116</v>
      </c>
      <c r="Q29" s="43" t="s">
        <v>364</v>
      </c>
      <c r="R29" s="43" t="s">
        <v>340</v>
      </c>
      <c r="S29" s="41"/>
      <c r="T29" s="42">
        <v>655</v>
      </c>
      <c r="U29" s="40" t="str">
        <f>"411,6675"</f>
        <v>411,6675</v>
      </c>
      <c r="V29" s="17" t="s">
        <v>13</v>
      </c>
    </row>
    <row r="30" spans="1:22" ht="12.75">
      <c r="A30" s="25">
        <v>1</v>
      </c>
      <c r="B30" s="14" t="s">
        <v>533</v>
      </c>
      <c r="C30" s="14" t="s">
        <v>534</v>
      </c>
      <c r="D30" s="14" t="s">
        <v>800</v>
      </c>
      <c r="E30" s="14" t="str">
        <f>"0,6206"</f>
        <v>0,6206</v>
      </c>
      <c r="F30" s="14" t="s">
        <v>159</v>
      </c>
      <c r="G30" s="14" t="s">
        <v>135</v>
      </c>
      <c r="H30" s="38" t="s">
        <v>86</v>
      </c>
      <c r="I30" s="38" t="s">
        <v>132</v>
      </c>
      <c r="J30" s="46" t="s">
        <v>335</v>
      </c>
      <c r="K30" s="31"/>
      <c r="L30" s="38" t="s">
        <v>219</v>
      </c>
      <c r="M30" s="46" t="s">
        <v>213</v>
      </c>
      <c r="N30" s="38" t="s">
        <v>213</v>
      </c>
      <c r="O30" s="31"/>
      <c r="P30" s="38" t="s">
        <v>86</v>
      </c>
      <c r="Q30" s="38" t="s">
        <v>68</v>
      </c>
      <c r="R30" s="38" t="s">
        <v>116</v>
      </c>
      <c r="S30" s="31"/>
      <c r="T30" s="34">
        <v>580</v>
      </c>
      <c r="U30" s="30" t="str">
        <f>"485,9298"</f>
        <v>485,9298</v>
      </c>
      <c r="V30" s="14" t="s">
        <v>814</v>
      </c>
    </row>
    <row r="32" spans="2:21" ht="15">
      <c r="B32" s="142" t="s">
        <v>91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</row>
    <row r="33" spans="1:22" ht="12.75">
      <c r="A33" s="25">
        <v>1</v>
      </c>
      <c r="B33" s="13" t="s">
        <v>535</v>
      </c>
      <c r="C33" s="13" t="s">
        <v>536</v>
      </c>
      <c r="D33" s="13" t="s">
        <v>801</v>
      </c>
      <c r="E33" s="13" t="str">
        <f>"0,5972"</f>
        <v>0,5972</v>
      </c>
      <c r="F33" s="13" t="s">
        <v>10</v>
      </c>
      <c r="G33" s="13" t="s">
        <v>537</v>
      </c>
      <c r="H33" s="37" t="s">
        <v>340</v>
      </c>
      <c r="I33" s="37" t="s">
        <v>349</v>
      </c>
      <c r="J33" s="44" t="s">
        <v>538</v>
      </c>
      <c r="K33" s="29"/>
      <c r="L33" s="37" t="s">
        <v>60</v>
      </c>
      <c r="M33" s="37" t="s">
        <v>108</v>
      </c>
      <c r="N33" s="44" t="s">
        <v>61</v>
      </c>
      <c r="O33" s="29"/>
      <c r="P33" s="37" t="s">
        <v>340</v>
      </c>
      <c r="Q33" s="37" t="s">
        <v>316</v>
      </c>
      <c r="R33" s="44" t="s">
        <v>309</v>
      </c>
      <c r="S33" s="29"/>
      <c r="T33" s="33">
        <v>715</v>
      </c>
      <c r="U33" s="28" t="str">
        <f>"426,9980"</f>
        <v>426,9980</v>
      </c>
      <c r="V33" s="13" t="s">
        <v>815</v>
      </c>
    </row>
    <row r="34" spans="1:22" ht="12.75">
      <c r="A34" s="25">
        <v>2</v>
      </c>
      <c r="B34" s="17" t="s">
        <v>539</v>
      </c>
      <c r="C34" s="17" t="s">
        <v>540</v>
      </c>
      <c r="D34" s="17" t="s">
        <v>802</v>
      </c>
      <c r="E34" s="17" t="str">
        <f>"0,6053"</f>
        <v>0,6053</v>
      </c>
      <c r="F34" s="17" t="s">
        <v>10</v>
      </c>
      <c r="G34" s="17" t="s">
        <v>513</v>
      </c>
      <c r="H34" s="45" t="s">
        <v>364</v>
      </c>
      <c r="I34" s="43" t="s">
        <v>364</v>
      </c>
      <c r="J34" s="45" t="s">
        <v>340</v>
      </c>
      <c r="K34" s="41"/>
      <c r="L34" s="43" t="s">
        <v>54</v>
      </c>
      <c r="M34" s="45" t="s">
        <v>60</v>
      </c>
      <c r="N34" s="43" t="s">
        <v>60</v>
      </c>
      <c r="O34" s="41"/>
      <c r="P34" s="43" t="s">
        <v>116</v>
      </c>
      <c r="Q34" s="43" t="s">
        <v>364</v>
      </c>
      <c r="R34" s="45" t="s">
        <v>315</v>
      </c>
      <c r="S34" s="41"/>
      <c r="T34" s="42">
        <v>670</v>
      </c>
      <c r="U34" s="40" t="str">
        <f>"405,5510"</f>
        <v>405,5510</v>
      </c>
      <c r="V34" s="17" t="s">
        <v>815</v>
      </c>
    </row>
    <row r="35" spans="1:22" ht="12.75">
      <c r="A35" s="25">
        <v>3</v>
      </c>
      <c r="B35" s="14" t="s">
        <v>541</v>
      </c>
      <c r="C35" s="14" t="s">
        <v>542</v>
      </c>
      <c r="D35" s="14" t="s">
        <v>803</v>
      </c>
      <c r="E35" s="14" t="str">
        <f>"0,5982"</f>
        <v>0,5982</v>
      </c>
      <c r="F35" s="14" t="s">
        <v>10</v>
      </c>
      <c r="G35" s="14" t="s">
        <v>17</v>
      </c>
      <c r="H35" s="38" t="s">
        <v>315</v>
      </c>
      <c r="I35" s="46" t="s">
        <v>316</v>
      </c>
      <c r="J35" s="46" t="s">
        <v>316</v>
      </c>
      <c r="K35" s="31"/>
      <c r="L35" s="38" t="s">
        <v>54</v>
      </c>
      <c r="M35" s="38" t="s">
        <v>60</v>
      </c>
      <c r="N35" s="46" t="s">
        <v>55</v>
      </c>
      <c r="O35" s="31"/>
      <c r="P35" s="38" t="s">
        <v>335</v>
      </c>
      <c r="Q35" s="46" t="s">
        <v>116</v>
      </c>
      <c r="R35" s="46" t="s">
        <v>116</v>
      </c>
      <c r="S35" s="31"/>
      <c r="T35" s="34">
        <v>660</v>
      </c>
      <c r="U35" s="30" t="str">
        <f>"394,8120"</f>
        <v>394,8120</v>
      </c>
      <c r="V35" s="14" t="s">
        <v>13</v>
      </c>
    </row>
    <row r="37" spans="2:21" ht="15">
      <c r="B37" s="142" t="s">
        <v>112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</row>
    <row r="38" spans="1:22" ht="12.75">
      <c r="A38" s="25">
        <v>1</v>
      </c>
      <c r="B38" s="13" t="s">
        <v>543</v>
      </c>
      <c r="C38" s="13" t="s">
        <v>544</v>
      </c>
      <c r="D38" s="13" t="s">
        <v>804</v>
      </c>
      <c r="E38" s="13" t="str">
        <f>"0,5711"</f>
        <v>0,5711</v>
      </c>
      <c r="F38" s="13" t="s">
        <v>64</v>
      </c>
      <c r="G38" s="13" t="s">
        <v>808</v>
      </c>
      <c r="H38" s="44" t="s">
        <v>387</v>
      </c>
      <c r="I38" s="37" t="s">
        <v>387</v>
      </c>
      <c r="J38" s="44" t="s">
        <v>319</v>
      </c>
      <c r="K38" s="29"/>
      <c r="L38" s="37" t="s">
        <v>102</v>
      </c>
      <c r="M38" s="37" t="s">
        <v>109</v>
      </c>
      <c r="N38" s="29"/>
      <c r="O38" s="29"/>
      <c r="P38" s="37" t="s">
        <v>352</v>
      </c>
      <c r="Q38" s="37" t="s">
        <v>386</v>
      </c>
      <c r="R38" s="44" t="s">
        <v>387</v>
      </c>
      <c r="S38" s="29"/>
      <c r="T38" s="33">
        <v>862.5</v>
      </c>
      <c r="U38" s="28" t="str">
        <f>"492,5737"</f>
        <v>492,5737</v>
      </c>
      <c r="V38" s="13" t="s">
        <v>729</v>
      </c>
    </row>
    <row r="39" spans="1:22" ht="12.75">
      <c r="A39" s="25">
        <v>2</v>
      </c>
      <c r="B39" s="14" t="s">
        <v>545</v>
      </c>
      <c r="C39" s="14" t="s">
        <v>546</v>
      </c>
      <c r="D39" s="14" t="s">
        <v>687</v>
      </c>
      <c r="E39" s="14" t="str">
        <f>"0,5733"</f>
        <v>0,5733</v>
      </c>
      <c r="F39" s="14" t="s">
        <v>159</v>
      </c>
      <c r="G39" s="14" t="s">
        <v>135</v>
      </c>
      <c r="H39" s="38" t="s">
        <v>310</v>
      </c>
      <c r="I39" s="46" t="s">
        <v>344</v>
      </c>
      <c r="J39" s="46" t="s">
        <v>344</v>
      </c>
      <c r="K39" s="31"/>
      <c r="L39" s="38" t="s">
        <v>213</v>
      </c>
      <c r="M39" s="46" t="s">
        <v>42</v>
      </c>
      <c r="N39" s="46" t="s">
        <v>42</v>
      </c>
      <c r="O39" s="31"/>
      <c r="P39" s="38" t="s">
        <v>335</v>
      </c>
      <c r="Q39" s="46" t="s">
        <v>391</v>
      </c>
      <c r="R39" s="46" t="s">
        <v>391</v>
      </c>
      <c r="S39" s="31"/>
      <c r="T39" s="34">
        <v>640</v>
      </c>
      <c r="U39" s="30" t="str">
        <f>"366,9120"</f>
        <v>366,9120</v>
      </c>
      <c r="V39" s="14" t="s">
        <v>814</v>
      </c>
    </row>
    <row r="41" spans="2:3" ht="18">
      <c r="B41" s="12" t="s">
        <v>137</v>
      </c>
      <c r="C41" s="12"/>
    </row>
    <row r="42" spans="2:3" ht="14.25">
      <c r="B42" s="20"/>
      <c r="C42" s="21" t="s">
        <v>138</v>
      </c>
    </row>
    <row r="43" spans="2:6" ht="15">
      <c r="B43" s="22" t="s">
        <v>139</v>
      </c>
      <c r="C43" s="22" t="s">
        <v>140</v>
      </c>
      <c r="D43" s="22" t="s">
        <v>141</v>
      </c>
      <c r="E43" s="22" t="s">
        <v>142</v>
      </c>
      <c r="F43" s="22" t="s">
        <v>143</v>
      </c>
    </row>
    <row r="44" spans="1:6" ht="12.75">
      <c r="A44" s="25">
        <v>1</v>
      </c>
      <c r="B44" s="19" t="s">
        <v>543</v>
      </c>
      <c r="C44" s="48" t="s">
        <v>138</v>
      </c>
      <c r="D44" s="49" t="s">
        <v>806</v>
      </c>
      <c r="E44" s="49" t="s">
        <v>547</v>
      </c>
      <c r="F44" s="49" t="s">
        <v>548</v>
      </c>
    </row>
    <row r="45" spans="1:6" ht="12.75">
      <c r="A45" s="25">
        <v>2</v>
      </c>
      <c r="B45" s="19" t="s">
        <v>523</v>
      </c>
      <c r="C45" s="48" t="s">
        <v>138</v>
      </c>
      <c r="D45" s="49" t="s">
        <v>205</v>
      </c>
      <c r="E45" s="49" t="s">
        <v>423</v>
      </c>
      <c r="F45" s="49" t="s">
        <v>549</v>
      </c>
    </row>
    <row r="46" spans="1:6" ht="12.75">
      <c r="A46" s="25">
        <v>3</v>
      </c>
      <c r="B46" s="19" t="s">
        <v>526</v>
      </c>
      <c r="C46" s="48" t="s">
        <v>138</v>
      </c>
      <c r="D46" s="49" t="s">
        <v>772</v>
      </c>
      <c r="E46" s="49" t="s">
        <v>550</v>
      </c>
      <c r="F46" s="49" t="s">
        <v>551</v>
      </c>
    </row>
  </sheetData>
  <sheetProtection/>
  <mergeCells count="22">
    <mergeCell ref="B37:U37"/>
    <mergeCell ref="T3:T4"/>
    <mergeCell ref="U3:U4"/>
    <mergeCell ref="G3:G4"/>
    <mergeCell ref="H3:K3"/>
    <mergeCell ref="L3:O3"/>
    <mergeCell ref="F3:F4"/>
    <mergeCell ref="P3:S3"/>
    <mergeCell ref="B14:U14"/>
    <mergeCell ref="B18:U18"/>
    <mergeCell ref="B32:U32"/>
    <mergeCell ref="A3:A4"/>
    <mergeCell ref="V3:V4"/>
    <mergeCell ref="B5:U5"/>
    <mergeCell ref="B8:U8"/>
    <mergeCell ref="B11:U11"/>
    <mergeCell ref="B1:V2"/>
    <mergeCell ref="B3:B4"/>
    <mergeCell ref="C3:C4"/>
    <mergeCell ref="D3:D4"/>
    <mergeCell ref="E3:E4"/>
    <mergeCell ref="B24:U24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G26" sqref="G26"/>
    </sheetView>
  </sheetViews>
  <sheetFormatPr defaultColWidth="8.75390625" defaultRowHeight="12.75"/>
  <cols>
    <col min="1" max="1" width="6.375" style="25" customWidth="1"/>
    <col min="2" max="2" width="19.625" style="11" customWidth="1"/>
    <col min="3" max="3" width="27.25390625" style="11" bestFit="1" customWidth="1"/>
    <col min="4" max="4" width="10.125" style="11" bestFit="1" customWidth="1"/>
    <col min="5" max="5" width="8.25390625" style="11" bestFit="1" customWidth="1"/>
    <col min="6" max="6" width="17.00390625" style="11" customWidth="1"/>
    <col min="7" max="7" width="30.00390625" style="11" customWidth="1"/>
    <col min="8" max="10" width="5.625" style="11" bestFit="1" customWidth="1"/>
    <col min="11" max="11" width="4.25390625" style="11" bestFit="1" customWidth="1"/>
    <col min="12" max="12" width="11.625" style="11" customWidth="1"/>
    <col min="13" max="13" width="8.625" style="11" bestFit="1" customWidth="1"/>
    <col min="14" max="14" width="15.75390625" style="11" bestFit="1" customWidth="1"/>
  </cols>
  <sheetData>
    <row r="1" spans="1:14" s="1" customFormat="1" ht="15" customHeight="1">
      <c r="A1" s="24"/>
      <c r="B1" s="150" t="s">
        <v>734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86.2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710</v>
      </c>
      <c r="I3" s="146"/>
      <c r="J3" s="146"/>
      <c r="K3" s="146"/>
      <c r="L3" s="146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7"/>
      <c r="M4" s="147"/>
      <c r="N4" s="162"/>
    </row>
    <row r="5" spans="2:13" ht="15">
      <c r="B5" s="163" t="s">
        <v>611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612</v>
      </c>
      <c r="C6" s="15" t="s">
        <v>613</v>
      </c>
      <c r="D6" s="15" t="s">
        <v>730</v>
      </c>
      <c r="E6" s="15" t="str">
        <f>"1,3265"</f>
        <v>1,3265</v>
      </c>
      <c r="F6" s="15" t="s">
        <v>10</v>
      </c>
      <c r="G6" s="15" t="s">
        <v>614</v>
      </c>
      <c r="H6" s="36" t="s">
        <v>41</v>
      </c>
      <c r="I6" s="36" t="s">
        <v>242</v>
      </c>
      <c r="J6" s="39" t="s">
        <v>12</v>
      </c>
      <c r="K6" s="26"/>
      <c r="L6" s="27">
        <v>142.5</v>
      </c>
      <c r="M6" s="27" t="str">
        <f>"189,0263"</f>
        <v>189,0263</v>
      </c>
      <c r="N6" s="15" t="s">
        <v>745</v>
      </c>
    </row>
    <row r="8" spans="2:13" ht="15">
      <c r="B8" s="142" t="s">
        <v>164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554</v>
      </c>
      <c r="C9" s="15" t="s">
        <v>555</v>
      </c>
      <c r="D9" s="15" t="s">
        <v>679</v>
      </c>
      <c r="E9" s="15" t="str">
        <f>"1,1967"</f>
        <v>1,1967</v>
      </c>
      <c r="F9" s="15" t="s">
        <v>45</v>
      </c>
      <c r="G9" s="15" t="s">
        <v>466</v>
      </c>
      <c r="H9" s="36" t="s">
        <v>556</v>
      </c>
      <c r="I9" s="16"/>
      <c r="J9" s="16"/>
      <c r="K9" s="16"/>
      <c r="L9" s="27">
        <v>92.5</v>
      </c>
      <c r="M9" s="27" t="str">
        <f>"110,6947"</f>
        <v>110,6947</v>
      </c>
      <c r="N9" s="15" t="s">
        <v>733</v>
      </c>
    </row>
    <row r="11" spans="2:13" ht="15">
      <c r="B11" s="142" t="s">
        <v>21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12.75">
      <c r="A12" s="25">
        <v>1</v>
      </c>
      <c r="B12" s="15" t="s">
        <v>646</v>
      </c>
      <c r="C12" s="15" t="s">
        <v>647</v>
      </c>
      <c r="D12" s="15" t="s">
        <v>731</v>
      </c>
      <c r="E12" s="15" t="str">
        <f>"0,7842"</f>
        <v>0,7842</v>
      </c>
      <c r="F12" s="15" t="s">
        <v>203</v>
      </c>
      <c r="G12" s="15" t="s">
        <v>204</v>
      </c>
      <c r="H12" s="36" t="s">
        <v>61</v>
      </c>
      <c r="I12" s="39" t="s">
        <v>280</v>
      </c>
      <c r="J12" s="39" t="s">
        <v>280</v>
      </c>
      <c r="K12" s="26"/>
      <c r="L12" s="27" t="s">
        <v>61</v>
      </c>
      <c r="M12" s="27" t="str">
        <f>"145,0770"</f>
        <v>145,0770</v>
      </c>
      <c r="N12" s="15" t="s">
        <v>732</v>
      </c>
    </row>
  </sheetData>
  <sheetProtection/>
  <mergeCells count="15">
    <mergeCell ref="B5:M5"/>
    <mergeCell ref="B8:M8"/>
    <mergeCell ref="B11:M11"/>
    <mergeCell ref="A3:A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F17" sqref="F17"/>
    </sheetView>
  </sheetViews>
  <sheetFormatPr defaultColWidth="8.75390625" defaultRowHeight="12.75"/>
  <cols>
    <col min="1" max="1" width="7.25390625" style="25" customWidth="1"/>
    <col min="2" max="2" width="20.625" style="11" customWidth="1"/>
    <col min="3" max="3" width="26.625" style="11" customWidth="1"/>
    <col min="4" max="4" width="10.125" style="11" bestFit="1" customWidth="1"/>
    <col min="5" max="5" width="8.25390625" style="11" bestFit="1" customWidth="1"/>
    <col min="6" max="6" width="13.125" style="11" customWidth="1"/>
    <col min="7" max="7" width="34.125" style="11" bestFit="1" customWidth="1"/>
    <col min="8" max="11" width="5.625" style="11" bestFit="1" customWidth="1"/>
    <col min="12" max="12" width="11.25390625" style="35" customWidth="1"/>
    <col min="13" max="13" width="8.625" style="11" bestFit="1" customWidth="1"/>
    <col min="14" max="14" width="23.25390625" style="11" bestFit="1" customWidth="1"/>
  </cols>
  <sheetData>
    <row r="1" spans="1:14" s="1" customFormat="1" ht="15" customHeight="1">
      <c r="A1" s="24"/>
      <c r="B1" s="150" t="s">
        <v>1426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84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710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156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293</v>
      </c>
      <c r="C6" s="15" t="s">
        <v>294</v>
      </c>
      <c r="D6" s="15" t="s">
        <v>735</v>
      </c>
      <c r="E6" s="15" t="str">
        <f>"1,2466"</f>
        <v>1,2466</v>
      </c>
      <c r="F6" s="15" t="s">
        <v>10</v>
      </c>
      <c r="G6" s="15" t="s">
        <v>295</v>
      </c>
      <c r="H6" s="36" t="s">
        <v>321</v>
      </c>
      <c r="I6" s="26"/>
      <c r="J6" s="26"/>
      <c r="K6" s="26"/>
      <c r="L6" s="32">
        <v>177.5</v>
      </c>
      <c r="M6" s="27" t="str">
        <f>"221,2715"</f>
        <v>221,2715</v>
      </c>
      <c r="N6" s="15" t="s">
        <v>1420</v>
      </c>
    </row>
    <row r="8" spans="2:13" ht="15">
      <c r="B8" s="142" t="s">
        <v>50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640</v>
      </c>
      <c r="C9" s="15" t="s">
        <v>641</v>
      </c>
      <c r="D9" s="15" t="s">
        <v>736</v>
      </c>
      <c r="E9" s="15" t="str">
        <f>"0,8923"</f>
        <v>0,8923</v>
      </c>
      <c r="F9" s="15" t="s">
        <v>10</v>
      </c>
      <c r="G9" s="15" t="s">
        <v>683</v>
      </c>
      <c r="H9" s="36" t="s">
        <v>108</v>
      </c>
      <c r="I9" s="36" t="s">
        <v>109</v>
      </c>
      <c r="J9" s="36" t="s">
        <v>86</v>
      </c>
      <c r="K9" s="39" t="s">
        <v>103</v>
      </c>
      <c r="L9" s="32">
        <v>200</v>
      </c>
      <c r="M9" s="27" t="str">
        <f>"178,4600"</f>
        <v>178,4600</v>
      </c>
      <c r="N9" s="15" t="s">
        <v>738</v>
      </c>
    </row>
    <row r="11" spans="2:13" ht="15">
      <c r="B11" s="142" t="s">
        <v>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12.75">
      <c r="A12" s="25">
        <v>1</v>
      </c>
      <c r="B12" s="15" t="s">
        <v>642</v>
      </c>
      <c r="C12" s="15" t="s">
        <v>643</v>
      </c>
      <c r="D12" s="15" t="s">
        <v>737</v>
      </c>
      <c r="E12" s="15" t="str">
        <f>"0,6800"</f>
        <v>0,6800</v>
      </c>
      <c r="F12" s="15" t="s">
        <v>10</v>
      </c>
      <c r="G12" s="15" t="s">
        <v>644</v>
      </c>
      <c r="H12" s="39" t="s">
        <v>352</v>
      </c>
      <c r="I12" s="36" t="s">
        <v>352</v>
      </c>
      <c r="J12" s="39" t="s">
        <v>399</v>
      </c>
      <c r="K12" s="26"/>
      <c r="L12" s="32">
        <v>310</v>
      </c>
      <c r="M12" s="27" t="str">
        <f>"210,8000"</f>
        <v>210,8000</v>
      </c>
      <c r="N12" s="15" t="s">
        <v>13</v>
      </c>
    </row>
    <row r="14" spans="2:13" ht="15">
      <c r="B14" s="142" t="s">
        <v>56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4" ht="12.75">
      <c r="A15" s="25">
        <v>1</v>
      </c>
      <c r="B15" s="15" t="s">
        <v>526</v>
      </c>
      <c r="C15" s="15" t="s">
        <v>527</v>
      </c>
      <c r="D15" s="15" t="s">
        <v>712</v>
      </c>
      <c r="E15" s="15" t="str">
        <f>"0,6113"</f>
        <v>0,6113</v>
      </c>
      <c r="F15" s="15" t="s">
        <v>10</v>
      </c>
      <c r="G15" s="15" t="s">
        <v>528</v>
      </c>
      <c r="H15" s="36" t="s">
        <v>356</v>
      </c>
      <c r="I15" s="36" t="s">
        <v>333</v>
      </c>
      <c r="J15" s="39" t="s">
        <v>386</v>
      </c>
      <c r="K15" s="26"/>
      <c r="L15" s="32">
        <v>325</v>
      </c>
      <c r="M15" s="27" t="str">
        <f>"198,6725"</f>
        <v>198,6725</v>
      </c>
      <c r="N15" s="15" t="s">
        <v>13</v>
      </c>
    </row>
  </sheetData>
  <sheetProtection/>
  <mergeCells count="16">
    <mergeCell ref="B14:M14"/>
    <mergeCell ref="L3:L4"/>
    <mergeCell ref="M3:M4"/>
    <mergeCell ref="N3:N4"/>
    <mergeCell ref="B5:M5"/>
    <mergeCell ref="B8:M8"/>
    <mergeCell ref="B11:M11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5">
      <selection activeCell="G51" sqref="G51"/>
    </sheetView>
  </sheetViews>
  <sheetFormatPr defaultColWidth="8.75390625" defaultRowHeight="12.75"/>
  <cols>
    <col min="1" max="1" width="7.375" style="25" customWidth="1"/>
    <col min="2" max="2" width="24.75390625" style="11" bestFit="1" customWidth="1"/>
    <col min="3" max="3" width="27.25390625" style="11" bestFit="1" customWidth="1"/>
    <col min="4" max="4" width="10.125" style="11" bestFit="1" customWidth="1"/>
    <col min="5" max="5" width="10.75390625" style="11" customWidth="1"/>
    <col min="6" max="6" width="19.375" style="11" customWidth="1"/>
    <col min="7" max="7" width="35.75390625" style="11" customWidth="1"/>
    <col min="8" max="10" width="5.625" style="11" bestFit="1" customWidth="1"/>
    <col min="11" max="11" width="4.25390625" style="11" bestFit="1" customWidth="1"/>
    <col min="12" max="12" width="11.125" style="35" customWidth="1"/>
    <col min="13" max="13" width="8.625" style="11" bestFit="1" customWidth="1"/>
    <col min="14" max="14" width="16.375" style="11" customWidth="1"/>
  </cols>
  <sheetData>
    <row r="1" spans="1:14" s="1" customFormat="1" ht="15" customHeight="1">
      <c r="A1" s="24"/>
      <c r="B1" s="150" t="s">
        <v>1427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78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710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611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612</v>
      </c>
      <c r="C6" s="15" t="s">
        <v>613</v>
      </c>
      <c r="D6" s="15" t="s">
        <v>730</v>
      </c>
      <c r="E6" s="15" t="str">
        <f>"1,3265"</f>
        <v>1,3265</v>
      </c>
      <c r="F6" s="15" t="s">
        <v>10</v>
      </c>
      <c r="G6" s="15" t="s">
        <v>614</v>
      </c>
      <c r="H6" s="36" t="s">
        <v>213</v>
      </c>
      <c r="I6" s="39" t="s">
        <v>41</v>
      </c>
      <c r="J6" s="36" t="s">
        <v>41</v>
      </c>
      <c r="K6" s="26"/>
      <c r="L6" s="32">
        <v>130</v>
      </c>
      <c r="M6" s="27" t="str">
        <f>"172,4450"</f>
        <v>172,4450</v>
      </c>
      <c r="N6" s="15" t="s">
        <v>745</v>
      </c>
    </row>
    <row r="8" spans="2:13" ht="15">
      <c r="B8" s="142" t="s">
        <v>170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615</v>
      </c>
      <c r="C9" s="15" t="s">
        <v>616</v>
      </c>
      <c r="D9" s="15" t="s">
        <v>752</v>
      </c>
      <c r="E9" s="15" t="str">
        <f>"1,1192"</f>
        <v>1,1192</v>
      </c>
      <c r="F9" s="15" t="s">
        <v>10</v>
      </c>
      <c r="G9" s="15" t="s">
        <v>85</v>
      </c>
      <c r="H9" s="39" t="s">
        <v>213</v>
      </c>
      <c r="I9" s="36" t="s">
        <v>213</v>
      </c>
      <c r="J9" s="39" t="s">
        <v>42</v>
      </c>
      <c r="K9" s="26"/>
      <c r="L9" s="32">
        <v>120</v>
      </c>
      <c r="M9" s="27" t="str">
        <f>"134,3040"</f>
        <v>134,3040</v>
      </c>
      <c r="N9" s="15" t="s">
        <v>746</v>
      </c>
    </row>
    <row r="11" spans="2:13" ht="15">
      <c r="B11" s="142" t="s">
        <v>156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12.75">
      <c r="A12" s="25">
        <v>1</v>
      </c>
      <c r="B12" s="15" t="s">
        <v>448</v>
      </c>
      <c r="C12" s="15" t="s">
        <v>449</v>
      </c>
      <c r="D12" s="15" t="s">
        <v>735</v>
      </c>
      <c r="E12" s="15" t="str">
        <f>"0,9813"</f>
        <v>0,9813</v>
      </c>
      <c r="F12" s="15" t="s">
        <v>10</v>
      </c>
      <c r="G12" s="15" t="s">
        <v>295</v>
      </c>
      <c r="H12" s="36" t="s">
        <v>54</v>
      </c>
      <c r="I12" s="26"/>
      <c r="J12" s="26"/>
      <c r="K12" s="26"/>
      <c r="L12" s="32">
        <v>160</v>
      </c>
      <c r="M12" s="27" t="str">
        <f>"157,0080"</f>
        <v>157,0080</v>
      </c>
      <c r="N12" s="15" t="s">
        <v>747</v>
      </c>
    </row>
    <row r="14" spans="2:13" ht="15">
      <c r="B14" s="142" t="s">
        <v>164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</row>
    <row r="15" spans="1:14" ht="12.75">
      <c r="A15" s="25">
        <v>1</v>
      </c>
      <c r="B15" s="13" t="s">
        <v>617</v>
      </c>
      <c r="C15" s="13" t="s">
        <v>618</v>
      </c>
      <c r="D15" s="13" t="s">
        <v>690</v>
      </c>
      <c r="E15" s="13" t="str">
        <f>"0,9103"</f>
        <v>0,9103</v>
      </c>
      <c r="F15" s="13" t="s">
        <v>45</v>
      </c>
      <c r="G15" s="13" t="s">
        <v>466</v>
      </c>
      <c r="H15" s="37" t="s">
        <v>213</v>
      </c>
      <c r="I15" s="37" t="s">
        <v>25</v>
      </c>
      <c r="J15" s="29"/>
      <c r="K15" s="29"/>
      <c r="L15" s="33">
        <v>145</v>
      </c>
      <c r="M15" s="28" t="str">
        <f>"131,9935"</f>
        <v>131,9935</v>
      </c>
      <c r="N15" s="13" t="s">
        <v>748</v>
      </c>
    </row>
    <row r="16" spans="1:14" ht="12.75">
      <c r="A16" s="25">
        <v>1</v>
      </c>
      <c r="B16" s="14" t="s">
        <v>617</v>
      </c>
      <c r="C16" s="14" t="s">
        <v>619</v>
      </c>
      <c r="D16" s="14" t="s">
        <v>690</v>
      </c>
      <c r="E16" s="14" t="str">
        <f>"0,9103"</f>
        <v>0,9103</v>
      </c>
      <c r="F16" s="14" t="s">
        <v>45</v>
      </c>
      <c r="G16" s="14" t="s">
        <v>466</v>
      </c>
      <c r="H16" s="38" t="s">
        <v>213</v>
      </c>
      <c r="I16" s="38" t="s">
        <v>25</v>
      </c>
      <c r="J16" s="31"/>
      <c r="K16" s="31"/>
      <c r="L16" s="34">
        <v>145</v>
      </c>
      <c r="M16" s="30" t="str">
        <f>"131,9935"</f>
        <v>131,9935</v>
      </c>
      <c r="N16" s="14" t="s">
        <v>748</v>
      </c>
    </row>
    <row r="18" spans="2:13" ht="15">
      <c r="B18" s="142" t="s">
        <v>21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</row>
    <row r="19" spans="1:14" ht="12.75">
      <c r="A19" s="25">
        <v>1</v>
      </c>
      <c r="B19" s="13" t="s">
        <v>620</v>
      </c>
      <c r="C19" s="13" t="s">
        <v>621</v>
      </c>
      <c r="D19" s="13" t="s">
        <v>717</v>
      </c>
      <c r="E19" s="13" t="str">
        <f>"0,7942"</f>
        <v>0,7942</v>
      </c>
      <c r="F19" s="13" t="s">
        <v>203</v>
      </c>
      <c r="G19" s="13" t="s">
        <v>204</v>
      </c>
      <c r="H19" s="37" t="s">
        <v>95</v>
      </c>
      <c r="I19" s="29"/>
      <c r="J19" s="29"/>
      <c r="K19" s="29"/>
      <c r="L19" s="33">
        <v>222.5</v>
      </c>
      <c r="M19" s="28" t="str">
        <f>"176,7095"</f>
        <v>176,7095</v>
      </c>
      <c r="N19" s="13" t="s">
        <v>13</v>
      </c>
    </row>
    <row r="20" spans="1:14" ht="12.75">
      <c r="A20" s="25">
        <v>1</v>
      </c>
      <c r="B20" s="14" t="s">
        <v>620</v>
      </c>
      <c r="C20" s="14" t="s">
        <v>622</v>
      </c>
      <c r="D20" s="14" t="s">
        <v>717</v>
      </c>
      <c r="E20" s="14" t="str">
        <f>"0,7942"</f>
        <v>0,7942</v>
      </c>
      <c r="F20" s="14" t="s">
        <v>203</v>
      </c>
      <c r="G20" s="14" t="s">
        <v>204</v>
      </c>
      <c r="H20" s="38" t="s">
        <v>95</v>
      </c>
      <c r="I20" s="31"/>
      <c r="J20" s="31"/>
      <c r="K20" s="31"/>
      <c r="L20" s="34">
        <v>222.5</v>
      </c>
      <c r="M20" s="30" t="str">
        <f>"206,3967"</f>
        <v>206,3967</v>
      </c>
      <c r="N20" s="14" t="s">
        <v>13</v>
      </c>
    </row>
    <row r="22" spans="2:13" ht="15">
      <c r="B22" s="142" t="s">
        <v>26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4" ht="12.75">
      <c r="A23" s="25">
        <v>1</v>
      </c>
      <c r="B23" s="13" t="s">
        <v>623</v>
      </c>
      <c r="C23" s="13" t="s">
        <v>624</v>
      </c>
      <c r="D23" s="13" t="s">
        <v>753</v>
      </c>
      <c r="E23" s="13" t="str">
        <f>"0,7235"</f>
        <v>0,7235</v>
      </c>
      <c r="F23" s="13" t="s">
        <v>75</v>
      </c>
      <c r="G23" s="13" t="s">
        <v>76</v>
      </c>
      <c r="H23" s="37" t="s">
        <v>322</v>
      </c>
      <c r="I23" s="37" t="s">
        <v>280</v>
      </c>
      <c r="J23" s="37" t="s">
        <v>136</v>
      </c>
      <c r="K23" s="29"/>
      <c r="L23" s="33">
        <v>207.5</v>
      </c>
      <c r="M23" s="28" t="str">
        <f>"150,1263"</f>
        <v>150,1263</v>
      </c>
      <c r="N23" s="13" t="s">
        <v>749</v>
      </c>
    </row>
    <row r="24" spans="1:14" ht="12.75">
      <c r="A24" s="25">
        <v>2</v>
      </c>
      <c r="B24" s="17" t="s">
        <v>625</v>
      </c>
      <c r="C24" s="17" t="s">
        <v>626</v>
      </c>
      <c r="D24" s="17" t="s">
        <v>754</v>
      </c>
      <c r="E24" s="17" t="str">
        <f>"0,7390"</f>
        <v>0,7390</v>
      </c>
      <c r="F24" s="17" t="s">
        <v>10</v>
      </c>
      <c r="G24" s="17" t="s">
        <v>627</v>
      </c>
      <c r="H24" s="43" t="s">
        <v>11</v>
      </c>
      <c r="I24" s="43" t="s">
        <v>200</v>
      </c>
      <c r="J24" s="43" t="s">
        <v>268</v>
      </c>
      <c r="K24" s="41"/>
      <c r="L24" s="42">
        <v>162.5</v>
      </c>
      <c r="M24" s="40" t="str">
        <f>"120,0875"</f>
        <v>120,0875</v>
      </c>
      <c r="N24" s="17" t="s">
        <v>714</v>
      </c>
    </row>
    <row r="25" spans="1:14" ht="12.75">
      <c r="A25" s="25">
        <v>3</v>
      </c>
      <c r="B25" s="17" t="s">
        <v>628</v>
      </c>
      <c r="C25" s="17" t="s">
        <v>629</v>
      </c>
      <c r="D25" s="17" t="s">
        <v>755</v>
      </c>
      <c r="E25" s="17" t="str">
        <f>"0,7242"</f>
        <v>0,7242</v>
      </c>
      <c r="F25" s="17" t="s">
        <v>75</v>
      </c>
      <c r="G25" s="17" t="s">
        <v>76</v>
      </c>
      <c r="H25" s="43" t="s">
        <v>12</v>
      </c>
      <c r="I25" s="43" t="s">
        <v>54</v>
      </c>
      <c r="J25" s="45" t="s">
        <v>60</v>
      </c>
      <c r="K25" s="41"/>
      <c r="L25" s="42">
        <v>160</v>
      </c>
      <c r="M25" s="40" t="str">
        <f>"115,8720"</f>
        <v>115,8720</v>
      </c>
      <c r="N25" s="17" t="s">
        <v>749</v>
      </c>
    </row>
    <row r="26" spans="1:14" ht="12.75">
      <c r="A26" s="25">
        <v>1</v>
      </c>
      <c r="B26" s="14" t="s">
        <v>630</v>
      </c>
      <c r="C26" s="14" t="s">
        <v>631</v>
      </c>
      <c r="D26" s="14" t="s">
        <v>756</v>
      </c>
      <c r="E26" s="14" t="str">
        <f>"0,7173"</f>
        <v>0,7173</v>
      </c>
      <c r="F26" s="14" t="s">
        <v>10</v>
      </c>
      <c r="G26" s="14" t="s">
        <v>632</v>
      </c>
      <c r="H26" s="38" t="s">
        <v>310</v>
      </c>
      <c r="I26" s="46" t="s">
        <v>344</v>
      </c>
      <c r="J26" s="38" t="s">
        <v>344</v>
      </c>
      <c r="K26" s="31"/>
      <c r="L26" s="34">
        <v>300</v>
      </c>
      <c r="M26" s="30" t="str">
        <f>"215,1900"</f>
        <v>215,1900</v>
      </c>
      <c r="N26" s="14" t="s">
        <v>13</v>
      </c>
    </row>
    <row r="28" spans="2:13" ht="15">
      <c r="B28" s="142" t="s">
        <v>7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4" ht="12.75">
      <c r="A29" s="25">
        <v>1</v>
      </c>
      <c r="B29" s="13" t="s">
        <v>633</v>
      </c>
      <c r="C29" s="13" t="s">
        <v>634</v>
      </c>
      <c r="D29" s="13" t="s">
        <v>757</v>
      </c>
      <c r="E29" s="13" t="str">
        <f>"0,6714"</f>
        <v>0,6714</v>
      </c>
      <c r="F29" s="13" t="s">
        <v>203</v>
      </c>
      <c r="G29" s="13" t="s">
        <v>204</v>
      </c>
      <c r="H29" s="37" t="s">
        <v>361</v>
      </c>
      <c r="I29" s="37" t="s">
        <v>391</v>
      </c>
      <c r="J29" s="44" t="s">
        <v>364</v>
      </c>
      <c r="K29" s="29"/>
      <c r="L29" s="33">
        <v>245</v>
      </c>
      <c r="M29" s="28" t="str">
        <f>"164,4930"</f>
        <v>164,4930</v>
      </c>
      <c r="N29" s="13" t="s">
        <v>732</v>
      </c>
    </row>
    <row r="30" spans="1:14" ht="12.75">
      <c r="A30" s="25">
        <v>2</v>
      </c>
      <c r="B30" s="17" t="s">
        <v>464</v>
      </c>
      <c r="C30" s="17" t="s">
        <v>465</v>
      </c>
      <c r="D30" s="17" t="s">
        <v>691</v>
      </c>
      <c r="E30" s="17" t="str">
        <f>"0,6754"</f>
        <v>0,6754</v>
      </c>
      <c r="F30" s="17" t="s">
        <v>45</v>
      </c>
      <c r="G30" s="17" t="s">
        <v>466</v>
      </c>
      <c r="H30" s="43" t="s">
        <v>361</v>
      </c>
      <c r="I30" s="41"/>
      <c r="J30" s="41"/>
      <c r="K30" s="41"/>
      <c r="L30" s="42">
        <v>235</v>
      </c>
      <c r="M30" s="40" t="str">
        <f>"158,7190"</f>
        <v>158,7190</v>
      </c>
      <c r="N30" s="17" t="s">
        <v>13</v>
      </c>
    </row>
    <row r="31" spans="1:14" ht="12.75">
      <c r="A31" s="25">
        <v>3</v>
      </c>
      <c r="B31" s="17" t="s">
        <v>571</v>
      </c>
      <c r="C31" s="17" t="s">
        <v>572</v>
      </c>
      <c r="D31" s="17" t="s">
        <v>758</v>
      </c>
      <c r="E31" s="17" t="str">
        <f>"0,6893"</f>
        <v>0,6893</v>
      </c>
      <c r="F31" s="17" t="s">
        <v>564</v>
      </c>
      <c r="G31" s="17" t="s">
        <v>513</v>
      </c>
      <c r="H31" s="43" t="s">
        <v>12</v>
      </c>
      <c r="I31" s="43" t="s">
        <v>102</v>
      </c>
      <c r="J31" s="41"/>
      <c r="K31" s="41"/>
      <c r="L31" s="42">
        <v>190</v>
      </c>
      <c r="M31" s="40" t="str">
        <f>"130,9670"</f>
        <v>130,9670</v>
      </c>
      <c r="N31" s="17" t="s">
        <v>750</v>
      </c>
    </row>
    <row r="32" spans="1:14" ht="12.75">
      <c r="A32" s="25">
        <v>4</v>
      </c>
      <c r="B32" s="17" t="s">
        <v>635</v>
      </c>
      <c r="C32" s="17" t="s">
        <v>636</v>
      </c>
      <c r="D32" s="17" t="s">
        <v>194</v>
      </c>
      <c r="E32" s="17" t="str">
        <f>"0,6699"</f>
        <v>0,6699</v>
      </c>
      <c r="F32" s="17" t="s">
        <v>10</v>
      </c>
      <c r="G32" s="17" t="s">
        <v>740</v>
      </c>
      <c r="H32" s="45" t="s">
        <v>41</v>
      </c>
      <c r="I32" s="43" t="s">
        <v>41</v>
      </c>
      <c r="J32" s="43" t="s">
        <v>11</v>
      </c>
      <c r="K32" s="41"/>
      <c r="L32" s="42">
        <v>140</v>
      </c>
      <c r="M32" s="40" t="str">
        <f>"93,7860"</f>
        <v>93,7860</v>
      </c>
      <c r="N32" s="17" t="s">
        <v>702</v>
      </c>
    </row>
    <row r="33" spans="1:14" ht="12.75">
      <c r="A33" s="25">
        <v>1</v>
      </c>
      <c r="B33" s="14" t="s">
        <v>464</v>
      </c>
      <c r="C33" s="14" t="s">
        <v>470</v>
      </c>
      <c r="D33" s="14" t="s">
        <v>691</v>
      </c>
      <c r="E33" s="14" t="str">
        <f>"0,6754"</f>
        <v>0,6754</v>
      </c>
      <c r="F33" s="14" t="s">
        <v>45</v>
      </c>
      <c r="G33" s="14" t="s">
        <v>466</v>
      </c>
      <c r="H33" s="38" t="s">
        <v>361</v>
      </c>
      <c r="I33" s="31"/>
      <c r="J33" s="31"/>
      <c r="K33" s="31"/>
      <c r="L33" s="34">
        <v>235</v>
      </c>
      <c r="M33" s="30" t="str">
        <f>"160,9411"</f>
        <v>160,9411</v>
      </c>
      <c r="N33" s="14" t="s">
        <v>13</v>
      </c>
    </row>
    <row r="35" spans="2:13" ht="15">
      <c r="B35" s="142" t="s">
        <v>50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4" ht="12.75">
      <c r="A36" s="25">
        <v>1</v>
      </c>
      <c r="B36" s="13" t="s">
        <v>231</v>
      </c>
      <c r="C36" s="13" t="s">
        <v>232</v>
      </c>
      <c r="D36" s="13" t="s">
        <v>719</v>
      </c>
      <c r="E36" s="13" t="str">
        <f>"0,6421"</f>
        <v>0,6421</v>
      </c>
      <c r="F36" s="13" t="s">
        <v>10</v>
      </c>
      <c r="G36" s="13" t="s">
        <v>216</v>
      </c>
      <c r="H36" s="37" t="s">
        <v>115</v>
      </c>
      <c r="I36" s="29"/>
      <c r="J36" s="29"/>
      <c r="K36" s="29"/>
      <c r="L36" s="33">
        <v>232.5</v>
      </c>
      <c r="M36" s="28" t="str">
        <f>"149,2882"</f>
        <v>149,2882</v>
      </c>
      <c r="N36" s="13" t="s">
        <v>721</v>
      </c>
    </row>
    <row r="37" spans="1:14" ht="12.75">
      <c r="A37" s="25">
        <v>1</v>
      </c>
      <c r="B37" s="17" t="s">
        <v>240</v>
      </c>
      <c r="C37" s="17" t="s">
        <v>241</v>
      </c>
      <c r="D37" s="17" t="s">
        <v>681</v>
      </c>
      <c r="E37" s="17" t="str">
        <f>"0,6579"</f>
        <v>0,6579</v>
      </c>
      <c r="F37" s="17" t="s">
        <v>10</v>
      </c>
      <c r="G37" s="17" t="s">
        <v>696</v>
      </c>
      <c r="H37" s="43" t="s">
        <v>66</v>
      </c>
      <c r="I37" s="43" t="s">
        <v>335</v>
      </c>
      <c r="J37" s="43" t="s">
        <v>116</v>
      </c>
      <c r="K37" s="41"/>
      <c r="L37" s="42">
        <v>240</v>
      </c>
      <c r="M37" s="40" t="str">
        <f>"157,8960"</f>
        <v>157,8960</v>
      </c>
      <c r="N37" s="17" t="s">
        <v>722</v>
      </c>
    </row>
    <row r="38" spans="1:14" ht="12.75">
      <c r="A38" s="25">
        <v>2</v>
      </c>
      <c r="B38" s="14" t="s">
        <v>473</v>
      </c>
      <c r="C38" s="14" t="s">
        <v>474</v>
      </c>
      <c r="D38" s="14" t="s">
        <v>759</v>
      </c>
      <c r="E38" s="14" t="str">
        <f>"0,6402"</f>
        <v>0,6402</v>
      </c>
      <c r="F38" s="14" t="s">
        <v>203</v>
      </c>
      <c r="G38" s="14" t="s">
        <v>204</v>
      </c>
      <c r="H38" s="38" t="s">
        <v>335</v>
      </c>
      <c r="I38" s="46" t="s">
        <v>116</v>
      </c>
      <c r="J38" s="46" t="s">
        <v>116</v>
      </c>
      <c r="K38" s="31"/>
      <c r="L38" s="34">
        <v>230</v>
      </c>
      <c r="M38" s="30" t="str">
        <f>"147,2460"</f>
        <v>147,2460</v>
      </c>
      <c r="N38" s="14" t="s">
        <v>732</v>
      </c>
    </row>
    <row r="40" spans="2:13" ht="15">
      <c r="B40" s="142" t="s">
        <v>56</v>
      </c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</row>
    <row r="41" spans="1:14" ht="12.75">
      <c r="A41" s="25">
        <v>1</v>
      </c>
      <c r="B41" s="15" t="s">
        <v>475</v>
      </c>
      <c r="C41" s="15" t="s">
        <v>476</v>
      </c>
      <c r="D41" s="15" t="s">
        <v>760</v>
      </c>
      <c r="E41" s="15" t="str">
        <f>"0,6144"</f>
        <v>0,6144</v>
      </c>
      <c r="F41" s="15" t="s">
        <v>10</v>
      </c>
      <c r="G41" s="15" t="s">
        <v>741</v>
      </c>
      <c r="H41" s="36" t="s">
        <v>116</v>
      </c>
      <c r="I41" s="26"/>
      <c r="J41" s="26"/>
      <c r="K41" s="26"/>
      <c r="L41" s="32">
        <v>240</v>
      </c>
      <c r="M41" s="27" t="str">
        <f>"147,4560"</f>
        <v>147,4560</v>
      </c>
      <c r="N41" s="15" t="s">
        <v>751</v>
      </c>
    </row>
    <row r="43" spans="2:13" ht="15">
      <c r="B43" s="142" t="s">
        <v>91</v>
      </c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</row>
    <row r="44" spans="1:14" ht="12.75">
      <c r="A44" s="25">
        <v>1</v>
      </c>
      <c r="B44" s="13" t="s">
        <v>478</v>
      </c>
      <c r="C44" s="13" t="s">
        <v>58</v>
      </c>
      <c r="D44" s="13" t="s">
        <v>761</v>
      </c>
      <c r="E44" s="13" t="str">
        <f>"0,5935"</f>
        <v>0,5935</v>
      </c>
      <c r="F44" s="13" t="s">
        <v>10</v>
      </c>
      <c r="G44" s="13" t="s">
        <v>479</v>
      </c>
      <c r="H44" s="37" t="s">
        <v>132</v>
      </c>
      <c r="I44" s="37" t="s">
        <v>116</v>
      </c>
      <c r="J44" s="37" t="s">
        <v>364</v>
      </c>
      <c r="K44" s="29"/>
      <c r="L44" s="33">
        <v>250</v>
      </c>
      <c r="M44" s="28" t="str">
        <f>"148,3750"</f>
        <v>148,3750</v>
      </c>
      <c r="N44" s="13" t="s">
        <v>13</v>
      </c>
    </row>
    <row r="45" spans="1:14" ht="12.75">
      <c r="A45" s="25">
        <v>1</v>
      </c>
      <c r="B45" s="14" t="s">
        <v>283</v>
      </c>
      <c r="C45" s="14" t="s">
        <v>284</v>
      </c>
      <c r="D45" s="14" t="s">
        <v>692</v>
      </c>
      <c r="E45" s="14" t="str">
        <f>"0,5941"</f>
        <v>0,5941</v>
      </c>
      <c r="F45" s="14" t="s">
        <v>10</v>
      </c>
      <c r="G45" s="14" t="s">
        <v>71</v>
      </c>
      <c r="H45" s="38" t="s">
        <v>132</v>
      </c>
      <c r="I45" s="38" t="s">
        <v>116</v>
      </c>
      <c r="J45" s="31"/>
      <c r="K45" s="31"/>
      <c r="L45" s="34">
        <v>240</v>
      </c>
      <c r="M45" s="30" t="str">
        <f>"142,5840"</f>
        <v>142,5840</v>
      </c>
      <c r="N45" s="14" t="s">
        <v>13</v>
      </c>
    </row>
    <row r="48" spans="2:3" ht="18">
      <c r="B48" s="12" t="s">
        <v>137</v>
      </c>
      <c r="C48" s="12"/>
    </row>
    <row r="50" spans="2:3" ht="14.25">
      <c r="B50" s="20"/>
      <c r="C50" s="21" t="s">
        <v>1423</v>
      </c>
    </row>
    <row r="51" spans="2:6" ht="15">
      <c r="B51" s="22" t="s">
        <v>139</v>
      </c>
      <c r="C51" s="22" t="s">
        <v>140</v>
      </c>
      <c r="D51" s="22" t="s">
        <v>141</v>
      </c>
      <c r="E51" s="22" t="s">
        <v>676</v>
      </c>
      <c r="F51" s="22" t="s">
        <v>143</v>
      </c>
    </row>
    <row r="52" spans="1:6" ht="12.75">
      <c r="A52" s="25">
        <v>1</v>
      </c>
      <c r="B52" s="19" t="s">
        <v>630</v>
      </c>
      <c r="C52" s="48" t="s">
        <v>138</v>
      </c>
      <c r="D52" s="49" t="s">
        <v>742</v>
      </c>
      <c r="E52" s="49" t="s">
        <v>344</v>
      </c>
      <c r="F52" s="49" t="s">
        <v>637</v>
      </c>
    </row>
    <row r="53" spans="1:6" ht="12.75">
      <c r="A53" s="25">
        <v>2</v>
      </c>
      <c r="B53" s="19" t="s">
        <v>620</v>
      </c>
      <c r="C53" s="48" t="s">
        <v>138</v>
      </c>
      <c r="D53" s="49" t="s">
        <v>743</v>
      </c>
      <c r="E53" s="49" t="s">
        <v>95</v>
      </c>
      <c r="F53" s="49" t="s">
        <v>638</v>
      </c>
    </row>
    <row r="54" spans="1:6" ht="12.75">
      <c r="A54" s="25">
        <v>3</v>
      </c>
      <c r="B54" s="19" t="s">
        <v>633</v>
      </c>
      <c r="C54" s="48" t="s">
        <v>138</v>
      </c>
      <c r="D54" s="49" t="s">
        <v>744</v>
      </c>
      <c r="E54" s="49" t="s">
        <v>391</v>
      </c>
      <c r="F54" s="49" t="s">
        <v>639</v>
      </c>
    </row>
  </sheetData>
  <sheetProtection/>
  <mergeCells count="22">
    <mergeCell ref="B11:M11"/>
    <mergeCell ref="B43:M43"/>
    <mergeCell ref="B14:M14"/>
    <mergeCell ref="B18:M18"/>
    <mergeCell ref="B22:M22"/>
    <mergeCell ref="B28:M28"/>
    <mergeCell ref="B35:M35"/>
    <mergeCell ref="B40:M40"/>
    <mergeCell ref="M3:M4"/>
    <mergeCell ref="B5:M5"/>
    <mergeCell ref="B1:N2"/>
    <mergeCell ref="B3:B4"/>
    <mergeCell ref="C3:C4"/>
    <mergeCell ref="D3:D4"/>
    <mergeCell ref="E3:E4"/>
    <mergeCell ref="B8:M8"/>
    <mergeCell ref="F3:F4"/>
    <mergeCell ref="G3:G4"/>
    <mergeCell ref="H3:K3"/>
    <mergeCell ref="L3:L4"/>
    <mergeCell ref="N3:N4"/>
    <mergeCell ref="A3:A4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5">
      <selection activeCell="C39" sqref="C39"/>
    </sheetView>
  </sheetViews>
  <sheetFormatPr defaultColWidth="8.75390625" defaultRowHeight="12.75"/>
  <cols>
    <col min="1" max="1" width="7.25390625" style="25" customWidth="1"/>
    <col min="2" max="2" width="24.75390625" style="11" bestFit="1" customWidth="1"/>
    <col min="3" max="3" width="26.625" style="11" bestFit="1" customWidth="1"/>
    <col min="4" max="4" width="10.125" style="11" bestFit="1" customWidth="1"/>
    <col min="5" max="5" width="11.375" style="11" customWidth="1"/>
    <col min="6" max="6" width="13.00390625" style="11" customWidth="1"/>
    <col min="7" max="7" width="38.375" style="11" bestFit="1" customWidth="1"/>
    <col min="8" max="11" width="5.625" style="11" bestFit="1" customWidth="1"/>
    <col min="12" max="12" width="10.75390625" style="35" customWidth="1"/>
    <col min="13" max="13" width="8.625" style="11" bestFit="1" customWidth="1"/>
    <col min="14" max="14" width="19.25390625" style="11" customWidth="1"/>
  </cols>
  <sheetData>
    <row r="1" spans="1:14" s="1" customFormat="1" ht="15" customHeight="1">
      <c r="A1" s="24"/>
      <c r="B1" s="150" t="s">
        <v>1428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84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710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584</v>
      </c>
      <c r="C6" s="15" t="s">
        <v>585</v>
      </c>
      <c r="D6" s="15" t="s">
        <v>762</v>
      </c>
      <c r="E6" s="15" t="str">
        <f>"1,1866"</f>
        <v>1,1866</v>
      </c>
      <c r="F6" s="15" t="s">
        <v>10</v>
      </c>
      <c r="G6" s="15" t="s">
        <v>513</v>
      </c>
      <c r="H6" s="36" t="s">
        <v>179</v>
      </c>
      <c r="I6" s="36" t="s">
        <v>219</v>
      </c>
      <c r="J6" s="39" t="s">
        <v>47</v>
      </c>
      <c r="K6" s="26"/>
      <c r="L6" s="32">
        <v>115</v>
      </c>
      <c r="M6" s="27" t="str">
        <f>"136,4590"</f>
        <v>136,4590</v>
      </c>
      <c r="N6" s="15" t="s">
        <v>773</v>
      </c>
    </row>
    <row r="8" spans="2:13" ht="15">
      <c r="B8" s="142" t="s">
        <v>21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586</v>
      </c>
      <c r="C9" s="15" t="s">
        <v>587</v>
      </c>
      <c r="D9" s="15" t="s">
        <v>763</v>
      </c>
      <c r="E9" s="15" t="str">
        <f>"0,8100"</f>
        <v>0,8100</v>
      </c>
      <c r="F9" s="15" t="s">
        <v>10</v>
      </c>
      <c r="G9" s="15" t="s">
        <v>696</v>
      </c>
      <c r="H9" s="36" t="s">
        <v>206</v>
      </c>
      <c r="I9" s="36" t="s">
        <v>213</v>
      </c>
      <c r="J9" s="36" t="s">
        <v>41</v>
      </c>
      <c r="K9" s="26"/>
      <c r="L9" s="32">
        <v>130</v>
      </c>
      <c r="M9" s="27" t="str">
        <f>"105,3000"</f>
        <v>105,3000</v>
      </c>
      <c r="N9" s="15" t="s">
        <v>702</v>
      </c>
    </row>
    <row r="11" spans="2:13" ht="15">
      <c r="B11" s="142" t="s">
        <v>7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</row>
    <row r="12" spans="1:14" ht="12.75">
      <c r="A12" s="25">
        <v>1</v>
      </c>
      <c r="B12" s="13" t="s">
        <v>384</v>
      </c>
      <c r="C12" s="13" t="s">
        <v>385</v>
      </c>
      <c r="D12" s="13" t="s">
        <v>691</v>
      </c>
      <c r="E12" s="13" t="str">
        <f>"0,6754"</f>
        <v>0,6754</v>
      </c>
      <c r="F12" s="13" t="s">
        <v>10</v>
      </c>
      <c r="G12" s="13" t="s">
        <v>696</v>
      </c>
      <c r="H12" s="37" t="s">
        <v>332</v>
      </c>
      <c r="I12" s="29"/>
      <c r="J12" s="29"/>
      <c r="K12" s="29"/>
      <c r="L12" s="33">
        <v>305</v>
      </c>
      <c r="M12" s="28" t="str">
        <f>"205,9970"</f>
        <v>205,9970</v>
      </c>
      <c r="N12" s="13" t="s">
        <v>701</v>
      </c>
    </row>
    <row r="13" spans="1:14" ht="12.75">
      <c r="A13" s="25">
        <v>2</v>
      </c>
      <c r="B13" s="17" t="s">
        <v>588</v>
      </c>
      <c r="C13" s="17" t="s">
        <v>589</v>
      </c>
      <c r="D13" s="17" t="s">
        <v>764</v>
      </c>
      <c r="E13" s="17" t="str">
        <f>"0,6854"</f>
        <v>0,6854</v>
      </c>
      <c r="F13" s="17" t="s">
        <v>10</v>
      </c>
      <c r="G13" s="17" t="s">
        <v>185</v>
      </c>
      <c r="H13" s="43" t="s">
        <v>60</v>
      </c>
      <c r="I13" s="43" t="s">
        <v>108</v>
      </c>
      <c r="J13" s="45" t="s">
        <v>102</v>
      </c>
      <c r="K13" s="41"/>
      <c r="L13" s="42">
        <v>180</v>
      </c>
      <c r="M13" s="40" t="str">
        <f>"123,3720"</f>
        <v>123,3720</v>
      </c>
      <c r="N13" s="17" t="s">
        <v>729</v>
      </c>
    </row>
    <row r="14" spans="1:14" ht="12.75">
      <c r="A14" s="25">
        <v>1</v>
      </c>
      <c r="B14" s="14" t="s">
        <v>590</v>
      </c>
      <c r="C14" s="14" t="s">
        <v>591</v>
      </c>
      <c r="D14" s="14" t="s">
        <v>765</v>
      </c>
      <c r="E14" s="14" t="str">
        <f>"0,6785"</f>
        <v>0,6785</v>
      </c>
      <c r="F14" s="14" t="s">
        <v>10</v>
      </c>
      <c r="G14" s="14" t="s">
        <v>696</v>
      </c>
      <c r="H14" s="38" t="s">
        <v>108</v>
      </c>
      <c r="I14" s="38" t="s">
        <v>102</v>
      </c>
      <c r="J14" s="38" t="s">
        <v>86</v>
      </c>
      <c r="K14" s="38" t="s">
        <v>66</v>
      </c>
      <c r="L14" s="34">
        <v>200</v>
      </c>
      <c r="M14" s="30" t="str">
        <f>"143,8420"</f>
        <v>143,8420</v>
      </c>
      <c r="N14" s="14" t="s">
        <v>13</v>
      </c>
    </row>
    <row r="16" spans="2:13" ht="15">
      <c r="B16" s="142" t="s">
        <v>50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2:14" ht="12.75">
      <c r="B17" s="13" t="s">
        <v>518</v>
      </c>
      <c r="C17" s="13" t="s">
        <v>519</v>
      </c>
      <c r="D17" s="13" t="s">
        <v>766</v>
      </c>
      <c r="E17" s="13" t="str">
        <f>"0,6436"</f>
        <v>0,6436</v>
      </c>
      <c r="F17" s="13" t="s">
        <v>10</v>
      </c>
      <c r="G17" s="13" t="s">
        <v>696</v>
      </c>
      <c r="H17" s="44" t="s">
        <v>364</v>
      </c>
      <c r="I17" s="29"/>
      <c r="J17" s="29"/>
      <c r="K17" s="29"/>
      <c r="L17" s="50">
        <v>0</v>
      </c>
      <c r="M17" s="28" t="s">
        <v>713</v>
      </c>
      <c r="N17" s="13" t="s">
        <v>13</v>
      </c>
    </row>
    <row r="18" spans="2:14" ht="12.75">
      <c r="B18" s="14" t="s">
        <v>518</v>
      </c>
      <c r="C18" s="14" t="s">
        <v>520</v>
      </c>
      <c r="D18" s="14" t="s">
        <v>766</v>
      </c>
      <c r="E18" s="14" t="str">
        <f>"0,6436"</f>
        <v>0,6436</v>
      </c>
      <c r="F18" s="14" t="s">
        <v>10</v>
      </c>
      <c r="G18" s="14" t="s">
        <v>696</v>
      </c>
      <c r="H18" s="46" t="s">
        <v>364</v>
      </c>
      <c r="I18" s="31"/>
      <c r="J18" s="31"/>
      <c r="K18" s="31"/>
      <c r="L18" s="51">
        <v>0</v>
      </c>
      <c r="M18" s="30" t="s">
        <v>713</v>
      </c>
      <c r="N18" s="14" t="s">
        <v>13</v>
      </c>
    </row>
    <row r="20" spans="2:13" ht="15">
      <c r="B20" s="142" t="s">
        <v>56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spans="1:14" ht="12.75">
      <c r="A21" s="25">
        <v>1</v>
      </c>
      <c r="B21" s="13" t="s">
        <v>395</v>
      </c>
      <c r="C21" s="13" t="s">
        <v>396</v>
      </c>
      <c r="D21" s="13" t="s">
        <v>767</v>
      </c>
      <c r="E21" s="13" t="str">
        <f>"0,6088"</f>
        <v>0,6088</v>
      </c>
      <c r="F21" s="13" t="s">
        <v>10</v>
      </c>
      <c r="G21" s="13" t="s">
        <v>209</v>
      </c>
      <c r="H21" s="37" t="s">
        <v>315</v>
      </c>
      <c r="I21" s="29"/>
      <c r="J21" s="29"/>
      <c r="K21" s="29"/>
      <c r="L21" s="33">
        <v>260</v>
      </c>
      <c r="M21" s="28" t="str">
        <f>"158,2880"</f>
        <v>158,2880</v>
      </c>
      <c r="N21" s="13" t="s">
        <v>13</v>
      </c>
    </row>
    <row r="22" spans="1:14" ht="12.75">
      <c r="A22" s="25">
        <v>1</v>
      </c>
      <c r="B22" s="17" t="s">
        <v>592</v>
      </c>
      <c r="C22" s="17" t="s">
        <v>593</v>
      </c>
      <c r="D22" s="17" t="s">
        <v>768</v>
      </c>
      <c r="E22" s="17" t="str">
        <f>"0,6091"</f>
        <v>0,6091</v>
      </c>
      <c r="F22" s="17" t="s">
        <v>10</v>
      </c>
      <c r="G22" s="17" t="s">
        <v>303</v>
      </c>
      <c r="H22" s="43" t="s">
        <v>594</v>
      </c>
      <c r="I22" s="43" t="s">
        <v>333</v>
      </c>
      <c r="J22" s="45" t="s">
        <v>386</v>
      </c>
      <c r="K22" s="41"/>
      <c r="L22" s="42">
        <v>325</v>
      </c>
      <c r="M22" s="40" t="str">
        <f>"197,9575"</f>
        <v>197,9575</v>
      </c>
      <c r="N22" s="17" t="s">
        <v>774</v>
      </c>
    </row>
    <row r="23" spans="1:14" ht="12.75">
      <c r="A23" s="25">
        <v>2</v>
      </c>
      <c r="B23" s="17" t="s">
        <v>526</v>
      </c>
      <c r="C23" s="17" t="s">
        <v>527</v>
      </c>
      <c r="D23" s="17" t="s">
        <v>712</v>
      </c>
      <c r="E23" s="17" t="str">
        <f>"0,6113"</f>
        <v>0,6113</v>
      </c>
      <c r="F23" s="17" t="s">
        <v>10</v>
      </c>
      <c r="G23" s="17" t="s">
        <v>528</v>
      </c>
      <c r="H23" s="43" t="s">
        <v>356</v>
      </c>
      <c r="I23" s="41"/>
      <c r="J23" s="41"/>
      <c r="K23" s="41"/>
      <c r="L23" s="42">
        <v>315</v>
      </c>
      <c r="M23" s="40" t="str">
        <f>"192,5595"</f>
        <v>192,5595</v>
      </c>
      <c r="N23" s="17" t="s">
        <v>13</v>
      </c>
    </row>
    <row r="24" spans="1:14" ht="12.75">
      <c r="A24" s="25">
        <v>3</v>
      </c>
      <c r="B24" s="17" t="s">
        <v>595</v>
      </c>
      <c r="C24" s="17" t="s">
        <v>596</v>
      </c>
      <c r="D24" s="17" t="s">
        <v>769</v>
      </c>
      <c r="E24" s="17" t="str">
        <f>"0,6301"</f>
        <v>0,6301</v>
      </c>
      <c r="F24" s="17" t="s">
        <v>10</v>
      </c>
      <c r="G24" s="17" t="s">
        <v>295</v>
      </c>
      <c r="H24" s="43" t="s">
        <v>338</v>
      </c>
      <c r="I24" s="43" t="s">
        <v>357</v>
      </c>
      <c r="J24" s="43" t="s">
        <v>310</v>
      </c>
      <c r="K24" s="41"/>
      <c r="L24" s="42">
        <v>290</v>
      </c>
      <c r="M24" s="40" t="str">
        <f>"182,7290"</f>
        <v>182,7290</v>
      </c>
      <c r="N24" s="17" t="s">
        <v>707</v>
      </c>
    </row>
    <row r="25" spans="1:14" ht="12.75">
      <c r="A25" s="25">
        <v>4</v>
      </c>
      <c r="B25" s="17" t="s">
        <v>597</v>
      </c>
      <c r="C25" s="17" t="s">
        <v>598</v>
      </c>
      <c r="D25" s="17" t="s">
        <v>770</v>
      </c>
      <c r="E25" s="17" t="str">
        <f>"0,6214"</f>
        <v>0,6214</v>
      </c>
      <c r="F25" s="17" t="s">
        <v>10</v>
      </c>
      <c r="G25" s="17" t="s">
        <v>696</v>
      </c>
      <c r="H25" s="43" t="s">
        <v>338</v>
      </c>
      <c r="I25" s="43" t="s">
        <v>357</v>
      </c>
      <c r="J25" s="45" t="s">
        <v>486</v>
      </c>
      <c r="K25" s="41"/>
      <c r="L25" s="42">
        <v>285</v>
      </c>
      <c r="M25" s="40" t="str">
        <f>"177,0990"</f>
        <v>177,0990</v>
      </c>
      <c r="N25" s="17" t="s">
        <v>707</v>
      </c>
    </row>
    <row r="26" spans="1:14" ht="12.75">
      <c r="A26" s="25">
        <v>5</v>
      </c>
      <c r="B26" s="14" t="s">
        <v>395</v>
      </c>
      <c r="C26" s="14" t="s">
        <v>599</v>
      </c>
      <c r="D26" s="14" t="s">
        <v>767</v>
      </c>
      <c r="E26" s="14" t="str">
        <f>"0,6088"</f>
        <v>0,6088</v>
      </c>
      <c r="F26" s="14" t="s">
        <v>10</v>
      </c>
      <c r="G26" s="14" t="s">
        <v>209</v>
      </c>
      <c r="H26" s="38" t="s">
        <v>315</v>
      </c>
      <c r="I26" s="31"/>
      <c r="J26" s="31"/>
      <c r="K26" s="31"/>
      <c r="L26" s="34">
        <v>260</v>
      </c>
      <c r="M26" s="30" t="str">
        <f>"158,2880"</f>
        <v>158,2880</v>
      </c>
      <c r="N26" s="14" t="s">
        <v>13</v>
      </c>
    </row>
    <row r="28" spans="2:13" ht="15">
      <c r="B28" s="142" t="s">
        <v>91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4" ht="12.75">
      <c r="A29" s="25">
        <v>1</v>
      </c>
      <c r="B29" s="13" t="s">
        <v>397</v>
      </c>
      <c r="C29" s="13" t="s">
        <v>398</v>
      </c>
      <c r="D29" s="13" t="s">
        <v>698</v>
      </c>
      <c r="E29" s="13" t="str">
        <f>"0,5933"</f>
        <v>0,5933</v>
      </c>
      <c r="F29" s="13" t="s">
        <v>10</v>
      </c>
      <c r="G29" s="13" t="s">
        <v>696</v>
      </c>
      <c r="H29" s="37" t="s">
        <v>399</v>
      </c>
      <c r="I29" s="44"/>
      <c r="J29" s="29"/>
      <c r="K29" s="29"/>
      <c r="L29" s="33">
        <v>322.5</v>
      </c>
      <c r="M29" s="28" t="str">
        <f>"191,3392"</f>
        <v>191,3392</v>
      </c>
      <c r="N29" s="13" t="s">
        <v>702</v>
      </c>
    </row>
    <row r="30" spans="1:14" ht="12.75">
      <c r="A30" s="25">
        <v>1</v>
      </c>
      <c r="B30" s="14" t="s">
        <v>600</v>
      </c>
      <c r="C30" s="14" t="s">
        <v>601</v>
      </c>
      <c r="D30" s="14" t="s">
        <v>180</v>
      </c>
      <c r="E30" s="14" t="str">
        <f>"0,5928"</f>
        <v>0,5928</v>
      </c>
      <c r="F30" s="14" t="s">
        <v>10</v>
      </c>
      <c r="G30" s="14" t="s">
        <v>602</v>
      </c>
      <c r="H30" s="38" t="s">
        <v>116</v>
      </c>
      <c r="I30" s="46" t="s">
        <v>364</v>
      </c>
      <c r="J30" s="31"/>
      <c r="K30" s="31"/>
      <c r="L30" s="34">
        <v>240</v>
      </c>
      <c r="M30" s="30" t="str">
        <f>"142,2720"</f>
        <v>142,2720</v>
      </c>
      <c r="N30" s="14" t="s">
        <v>775</v>
      </c>
    </row>
    <row r="32" spans="2:13" ht="15">
      <c r="B32" s="142" t="s">
        <v>112</v>
      </c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</row>
    <row r="33" spans="1:14" ht="12.75">
      <c r="A33" s="25">
        <v>1</v>
      </c>
      <c r="B33" s="15" t="s">
        <v>603</v>
      </c>
      <c r="C33" s="15" t="s">
        <v>604</v>
      </c>
      <c r="D33" s="15" t="s">
        <v>213</v>
      </c>
      <c r="E33" s="15" t="str">
        <f>"0,5749"</f>
        <v>0,5749</v>
      </c>
      <c r="F33" s="15" t="s">
        <v>10</v>
      </c>
      <c r="G33" s="15" t="s">
        <v>17</v>
      </c>
      <c r="H33" s="36" t="s">
        <v>391</v>
      </c>
      <c r="I33" s="26"/>
      <c r="J33" s="26"/>
      <c r="K33" s="26"/>
      <c r="L33" s="32">
        <v>245</v>
      </c>
      <c r="M33" s="27" t="str">
        <f>"144,7943"</f>
        <v>144,7943</v>
      </c>
      <c r="N33" s="15" t="s">
        <v>13</v>
      </c>
    </row>
    <row r="35" spans="2:13" ht="15">
      <c r="B35" s="142" t="s">
        <v>605</v>
      </c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</row>
    <row r="36" spans="1:14" ht="12.75">
      <c r="A36" s="25">
        <v>1</v>
      </c>
      <c r="B36" s="15" t="s">
        <v>606</v>
      </c>
      <c r="C36" s="15" t="s">
        <v>607</v>
      </c>
      <c r="D36" s="15" t="s">
        <v>771</v>
      </c>
      <c r="E36" s="15" t="str">
        <f>"0,5548"</f>
        <v>0,5548</v>
      </c>
      <c r="F36" s="15" t="s">
        <v>10</v>
      </c>
      <c r="G36" s="15" t="s">
        <v>101</v>
      </c>
      <c r="H36" s="36" t="s">
        <v>388</v>
      </c>
      <c r="I36" s="39" t="s">
        <v>334</v>
      </c>
      <c r="J36" s="39" t="s">
        <v>334</v>
      </c>
      <c r="K36" s="26"/>
      <c r="L36" s="32">
        <v>320</v>
      </c>
      <c r="M36" s="27" t="str">
        <f>"177,5360"</f>
        <v>177,5360</v>
      </c>
      <c r="N36" s="15" t="s">
        <v>776</v>
      </c>
    </row>
    <row r="38" spans="2:3" ht="18">
      <c r="B38" s="12" t="s">
        <v>137</v>
      </c>
      <c r="C38" s="12"/>
    </row>
    <row r="39" spans="2:3" ht="14.25">
      <c r="B39" s="20"/>
      <c r="C39" s="21"/>
    </row>
    <row r="40" spans="2:6" ht="15">
      <c r="B40" s="22" t="s">
        <v>139</v>
      </c>
      <c r="C40" s="22" t="s">
        <v>140</v>
      </c>
      <c r="D40" s="22" t="s">
        <v>141</v>
      </c>
      <c r="E40" s="22" t="s">
        <v>676</v>
      </c>
      <c r="F40" s="22" t="s">
        <v>143</v>
      </c>
    </row>
    <row r="41" spans="1:6" ht="12.75">
      <c r="A41" s="25">
        <v>1</v>
      </c>
      <c r="B41" s="19" t="s">
        <v>384</v>
      </c>
      <c r="C41" s="48" t="s">
        <v>138</v>
      </c>
      <c r="D41" s="49" t="s">
        <v>194</v>
      </c>
      <c r="E41" s="49" t="s">
        <v>332</v>
      </c>
      <c r="F41" s="49" t="s">
        <v>608</v>
      </c>
    </row>
    <row r="42" spans="1:6" ht="12.75">
      <c r="A42" s="25">
        <v>2</v>
      </c>
      <c r="B42" s="19" t="s">
        <v>592</v>
      </c>
      <c r="C42" s="48" t="s">
        <v>138</v>
      </c>
      <c r="D42" s="49" t="s">
        <v>772</v>
      </c>
      <c r="E42" s="49" t="s">
        <v>333</v>
      </c>
      <c r="F42" s="49" t="s">
        <v>609</v>
      </c>
    </row>
    <row r="43" spans="1:6" ht="12.75">
      <c r="A43" s="25">
        <v>3</v>
      </c>
      <c r="B43" s="19" t="s">
        <v>526</v>
      </c>
      <c r="C43" s="48" t="s">
        <v>138</v>
      </c>
      <c r="D43" s="49" t="s">
        <v>772</v>
      </c>
      <c r="E43" s="49" t="s">
        <v>356</v>
      </c>
      <c r="F43" s="49" t="s">
        <v>610</v>
      </c>
    </row>
    <row r="44" spans="4:5" ht="12.75">
      <c r="D44" s="23"/>
      <c r="E44" s="23"/>
    </row>
  </sheetData>
  <sheetProtection/>
  <mergeCells count="20">
    <mergeCell ref="F3:F4"/>
    <mergeCell ref="B16:M16"/>
    <mergeCell ref="B20:M20"/>
    <mergeCell ref="B28:M28"/>
    <mergeCell ref="B32:M32"/>
    <mergeCell ref="B35:M35"/>
    <mergeCell ref="L3:L4"/>
    <mergeCell ref="M3:M4"/>
    <mergeCell ref="G3:G4"/>
    <mergeCell ref="H3:K3"/>
    <mergeCell ref="A3:A4"/>
    <mergeCell ref="N3:N4"/>
    <mergeCell ref="B5:M5"/>
    <mergeCell ref="B8:M8"/>
    <mergeCell ref="B11:M11"/>
    <mergeCell ref="B1:N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1">
      <selection activeCell="G29" sqref="G29"/>
    </sheetView>
  </sheetViews>
  <sheetFormatPr defaultColWidth="8.75390625" defaultRowHeight="12.75"/>
  <cols>
    <col min="1" max="1" width="8.75390625" style="0" customWidth="1"/>
    <col min="2" max="2" width="24.75390625" style="0" customWidth="1"/>
    <col min="3" max="3" width="32.125" style="0" customWidth="1"/>
    <col min="4" max="4" width="10.00390625" style="0" customWidth="1"/>
    <col min="5" max="5" width="11.75390625" style="0" customWidth="1"/>
    <col min="6" max="6" width="17.25390625" style="0" customWidth="1"/>
    <col min="7" max="7" width="36.75390625" style="0" customWidth="1"/>
    <col min="8" max="8" width="8.625" style="0" customWidth="1"/>
    <col min="9" max="9" width="7.875" style="0" customWidth="1"/>
    <col min="10" max="10" width="7.25390625" style="0" customWidth="1"/>
    <col min="11" max="11" width="5.875" style="0" customWidth="1"/>
    <col min="12" max="12" width="11.75390625" style="0" customWidth="1"/>
    <col min="13" max="13" width="10.00390625" style="0" customWidth="1"/>
    <col min="14" max="14" width="15.375" style="0" customWidth="1"/>
  </cols>
  <sheetData>
    <row r="1" spans="1:17" ht="12.75">
      <c r="A1" s="136"/>
      <c r="B1" s="174" t="s">
        <v>1452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</row>
    <row r="2" spans="1:17" ht="90.75" customHeight="1" thickBot="1">
      <c r="A2" s="136"/>
      <c r="B2" s="176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7" ht="15">
      <c r="A3" s="156" t="s">
        <v>671</v>
      </c>
      <c r="B3" s="148" t="s">
        <v>0</v>
      </c>
      <c r="C3" s="158" t="s">
        <v>672</v>
      </c>
      <c r="D3" s="158" t="s">
        <v>673</v>
      </c>
      <c r="E3" s="146" t="s">
        <v>947</v>
      </c>
      <c r="F3" s="146" t="s">
        <v>4</v>
      </c>
      <c r="G3" s="164" t="s">
        <v>674</v>
      </c>
      <c r="H3" s="146" t="s">
        <v>710</v>
      </c>
      <c r="I3" s="146"/>
      <c r="J3" s="146"/>
      <c r="K3" s="146"/>
      <c r="L3" s="148" t="s">
        <v>676</v>
      </c>
      <c r="M3" s="146" t="s">
        <v>3</v>
      </c>
      <c r="N3" s="161" t="s">
        <v>2</v>
      </c>
      <c r="O3" s="2"/>
      <c r="P3" s="2"/>
      <c r="Q3" s="2"/>
    </row>
    <row r="4" spans="1:17" ht="15.75" thickBot="1">
      <c r="A4" s="157"/>
      <c r="B4" s="149"/>
      <c r="C4" s="147"/>
      <c r="D4" s="147"/>
      <c r="E4" s="147"/>
      <c r="F4" s="147"/>
      <c r="G4" s="165"/>
      <c r="H4" s="90">
        <v>1</v>
      </c>
      <c r="I4" s="90">
        <v>2</v>
      </c>
      <c r="J4" s="90">
        <v>3</v>
      </c>
      <c r="K4" s="90" t="s">
        <v>1409</v>
      </c>
      <c r="L4" s="149"/>
      <c r="M4" s="147"/>
      <c r="N4" s="162"/>
      <c r="O4" s="2"/>
      <c r="P4" s="2"/>
      <c r="Q4" s="2"/>
    </row>
    <row r="5" spans="2:14" ht="15">
      <c r="B5" s="163" t="s">
        <v>1410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1"/>
    </row>
    <row r="6" spans="1:14" ht="12.75">
      <c r="A6" s="27" t="s">
        <v>778</v>
      </c>
      <c r="B6" s="15" t="s">
        <v>617</v>
      </c>
      <c r="C6" s="15" t="s">
        <v>1411</v>
      </c>
      <c r="D6" s="15" t="s">
        <v>1116</v>
      </c>
      <c r="E6" s="94">
        <v>0.51891</v>
      </c>
      <c r="F6" s="15" t="s">
        <v>1413</v>
      </c>
      <c r="G6" s="15" t="s">
        <v>1414</v>
      </c>
      <c r="H6" s="137">
        <v>220</v>
      </c>
      <c r="I6" s="36" t="s">
        <v>364</v>
      </c>
      <c r="J6" s="36" t="s">
        <v>338</v>
      </c>
      <c r="K6" s="26"/>
      <c r="L6" s="138">
        <v>275</v>
      </c>
      <c r="M6" s="27" t="s">
        <v>1415</v>
      </c>
      <c r="N6" s="15" t="s">
        <v>13</v>
      </c>
    </row>
    <row r="7" spans="1:14" ht="12.75">
      <c r="A7" s="27" t="s">
        <v>778</v>
      </c>
      <c r="B7" s="15" t="s">
        <v>668</v>
      </c>
      <c r="C7" s="15" t="s">
        <v>1412</v>
      </c>
      <c r="D7" s="15" t="s">
        <v>768</v>
      </c>
      <c r="E7" s="94">
        <v>0.51891</v>
      </c>
      <c r="F7" s="15" t="s">
        <v>1413</v>
      </c>
      <c r="G7" s="15" t="s">
        <v>1414</v>
      </c>
      <c r="H7" s="137">
        <v>220</v>
      </c>
      <c r="I7" s="36" t="s">
        <v>364</v>
      </c>
      <c r="J7" s="36" t="s">
        <v>338</v>
      </c>
      <c r="K7" s="26"/>
      <c r="L7" s="138">
        <v>275</v>
      </c>
      <c r="M7" s="27" t="s">
        <v>1415</v>
      </c>
      <c r="N7" s="15" t="s">
        <v>877</v>
      </c>
    </row>
    <row r="8" ht="12.75">
      <c r="E8" s="139"/>
    </row>
    <row r="29" ht="12.75">
      <c r="G29" t="s">
        <v>1423</v>
      </c>
    </row>
  </sheetData>
  <sheetProtection/>
  <mergeCells count="13">
    <mergeCell ref="M3:M4"/>
    <mergeCell ref="N3:N4"/>
    <mergeCell ref="B5:M5"/>
    <mergeCell ref="B1:Q2"/>
    <mergeCell ref="A3:A4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PageLayoutView="0" workbookViewId="0" topLeftCell="A1">
      <selection activeCell="B1" sqref="B1:R2"/>
    </sheetView>
  </sheetViews>
  <sheetFormatPr defaultColWidth="9.00390625" defaultRowHeight="12.75"/>
  <cols>
    <col min="1" max="1" width="6.875" style="24" customWidth="1"/>
    <col min="2" max="2" width="21.625" style="72" customWidth="1"/>
    <col min="3" max="3" width="26.625" style="5" bestFit="1" customWidth="1"/>
    <col min="4" max="4" width="9.125" style="5" customWidth="1"/>
    <col min="5" max="5" width="8.25390625" style="5" bestFit="1" customWidth="1"/>
    <col min="6" max="6" width="19.125" style="5" customWidth="1"/>
    <col min="7" max="7" width="28.25390625" style="5" customWidth="1"/>
    <col min="8" max="10" width="5.625" style="1" bestFit="1" customWidth="1"/>
    <col min="11" max="11" width="4.25390625" style="1" bestFit="1" customWidth="1"/>
    <col min="12" max="14" width="4.625" style="1" bestFit="1" customWidth="1"/>
    <col min="15" max="15" width="7.00390625" style="1" customWidth="1"/>
    <col min="16" max="16" width="7.75390625" style="4" bestFit="1" customWidth="1"/>
    <col min="17" max="17" width="8.625" style="1" bestFit="1" customWidth="1"/>
    <col min="18" max="18" width="16.625" style="5" customWidth="1"/>
    <col min="19" max="16384" width="11.375" style="1" customWidth="1"/>
  </cols>
  <sheetData>
    <row r="1" spans="2:18" ht="15" customHeight="1">
      <c r="B1" s="150" t="s">
        <v>1438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</row>
    <row r="2" spans="2:18" ht="100.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</row>
    <row r="3" spans="1:18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78" t="s">
        <v>947</v>
      </c>
      <c r="F3" s="146" t="s">
        <v>4</v>
      </c>
      <c r="G3" s="164" t="s">
        <v>674</v>
      </c>
      <c r="H3" s="146" t="s">
        <v>1456</v>
      </c>
      <c r="I3" s="146"/>
      <c r="J3" s="146"/>
      <c r="K3" s="146"/>
      <c r="L3" s="146" t="s">
        <v>1457</v>
      </c>
      <c r="M3" s="146"/>
      <c r="N3" s="146"/>
      <c r="O3" s="146"/>
      <c r="P3" s="144" t="s">
        <v>1</v>
      </c>
      <c r="Q3" s="146" t="s">
        <v>3</v>
      </c>
      <c r="R3" s="161" t="s">
        <v>2</v>
      </c>
    </row>
    <row r="4" spans="1:18" s="2" customFormat="1" ht="21" customHeight="1" thickBot="1">
      <c r="A4" s="149"/>
      <c r="B4" s="157"/>
      <c r="C4" s="147"/>
      <c r="D4" s="160"/>
      <c r="E4" s="160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145"/>
      <c r="Q4" s="147"/>
      <c r="R4" s="162"/>
    </row>
    <row r="5" spans="2:17" ht="15">
      <c r="B5" s="167" t="s">
        <v>170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8" ht="12.75">
      <c r="A6" s="24" t="s">
        <v>778</v>
      </c>
      <c r="B6" s="65" t="s">
        <v>1090</v>
      </c>
      <c r="C6" s="7" t="s">
        <v>1091</v>
      </c>
      <c r="D6" s="7" t="s">
        <v>1114</v>
      </c>
      <c r="E6" s="7" t="str">
        <f>"0,9984"</f>
        <v>0,9984</v>
      </c>
      <c r="F6" s="7" t="s">
        <v>45</v>
      </c>
      <c r="G6" s="7" t="s">
        <v>466</v>
      </c>
      <c r="H6" s="37" t="s">
        <v>506</v>
      </c>
      <c r="I6" s="60"/>
      <c r="J6" s="60"/>
      <c r="K6" s="60"/>
      <c r="L6" s="37" t="s">
        <v>504</v>
      </c>
      <c r="M6" s="60"/>
      <c r="N6" s="60"/>
      <c r="O6" s="60"/>
      <c r="P6" s="56" t="s">
        <v>169</v>
      </c>
      <c r="Q6" s="56" t="str">
        <f>"67,3886"</f>
        <v>67,3886</v>
      </c>
      <c r="R6" s="7" t="s">
        <v>1121</v>
      </c>
    </row>
    <row r="7" spans="1:18" ht="12.75">
      <c r="A7" s="24" t="s">
        <v>779</v>
      </c>
      <c r="B7" s="66" t="s">
        <v>1092</v>
      </c>
      <c r="C7" s="8" t="s">
        <v>1124</v>
      </c>
      <c r="D7" s="8" t="s">
        <v>1115</v>
      </c>
      <c r="E7" s="8" t="str">
        <f>"1,0350"</f>
        <v>1,0350</v>
      </c>
      <c r="F7" s="8" t="s">
        <v>45</v>
      </c>
      <c r="G7" s="8" t="s">
        <v>151</v>
      </c>
      <c r="H7" s="43" t="s">
        <v>997</v>
      </c>
      <c r="I7" s="76"/>
      <c r="J7" s="76"/>
      <c r="K7" s="76"/>
      <c r="L7" s="43" t="s">
        <v>1094</v>
      </c>
      <c r="M7" s="76"/>
      <c r="N7" s="76"/>
      <c r="O7" s="76"/>
      <c r="P7" s="58" t="s">
        <v>19</v>
      </c>
      <c r="Q7" s="58" t="str">
        <f>"62,1000"</f>
        <v>62,1000</v>
      </c>
      <c r="R7" s="8" t="s">
        <v>903</v>
      </c>
    </row>
    <row r="8" spans="1:18" ht="12.75">
      <c r="A8" s="24" t="s">
        <v>778</v>
      </c>
      <c r="B8" s="67" t="s">
        <v>1092</v>
      </c>
      <c r="C8" s="9" t="s">
        <v>1093</v>
      </c>
      <c r="D8" s="9" t="s">
        <v>1115</v>
      </c>
      <c r="E8" s="9" t="str">
        <f>"1,0350"</f>
        <v>1,0350</v>
      </c>
      <c r="F8" s="9" t="s">
        <v>45</v>
      </c>
      <c r="G8" s="9" t="s">
        <v>151</v>
      </c>
      <c r="H8" s="38" t="s">
        <v>997</v>
      </c>
      <c r="I8" s="77"/>
      <c r="J8" s="77"/>
      <c r="K8" s="77"/>
      <c r="L8" s="38" t="s">
        <v>1094</v>
      </c>
      <c r="M8" s="77"/>
      <c r="N8" s="77"/>
      <c r="O8" s="77"/>
      <c r="P8" s="57" t="s">
        <v>19</v>
      </c>
      <c r="Q8" s="57" t="str">
        <f>"62,1000"</f>
        <v>62,1000</v>
      </c>
      <c r="R8" s="9" t="s">
        <v>903</v>
      </c>
    </row>
    <row r="10" spans="2:17" ht="15">
      <c r="B10" s="166" t="s">
        <v>21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</row>
    <row r="11" spans="1:18" ht="12.75">
      <c r="A11" s="24" t="s">
        <v>778</v>
      </c>
      <c r="B11" s="64" t="s">
        <v>1125</v>
      </c>
      <c r="C11" s="6" t="s">
        <v>1126</v>
      </c>
      <c r="D11" s="6" t="s">
        <v>1131</v>
      </c>
      <c r="E11" s="6" t="str">
        <f>"0,9571"</f>
        <v>0,9571</v>
      </c>
      <c r="F11" s="6" t="s">
        <v>10</v>
      </c>
      <c r="G11" s="6" t="s">
        <v>696</v>
      </c>
      <c r="H11" s="36" t="s">
        <v>1094</v>
      </c>
      <c r="I11" s="36" t="s">
        <v>997</v>
      </c>
      <c r="J11" s="36" t="s">
        <v>505</v>
      </c>
      <c r="K11" s="75"/>
      <c r="L11" s="36" t="s">
        <v>1094</v>
      </c>
      <c r="M11" s="36" t="s">
        <v>504</v>
      </c>
      <c r="N11" s="80" t="s">
        <v>505</v>
      </c>
      <c r="O11" s="75"/>
      <c r="P11" s="55" t="s">
        <v>20</v>
      </c>
      <c r="Q11" s="55" t="str">
        <f>"62,2115"</f>
        <v>62,2115</v>
      </c>
      <c r="R11" s="6" t="s">
        <v>13</v>
      </c>
    </row>
    <row r="12" spans="8:17" ht="12.75">
      <c r="H12" s="24"/>
      <c r="I12" s="24"/>
      <c r="J12" s="24"/>
      <c r="K12" s="140"/>
      <c r="L12" s="24"/>
      <c r="M12" s="24"/>
      <c r="N12" s="141"/>
      <c r="O12" s="140"/>
      <c r="P12" s="24"/>
      <c r="Q12" s="24"/>
    </row>
    <row r="13" spans="1:18" ht="15">
      <c r="A13" s="25"/>
      <c r="B13" s="142" t="s">
        <v>21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1"/>
    </row>
    <row r="14" spans="1:18" ht="12.75">
      <c r="A14" s="25">
        <v>1</v>
      </c>
      <c r="B14" s="15" t="s">
        <v>1096</v>
      </c>
      <c r="C14" s="15" t="s">
        <v>1097</v>
      </c>
      <c r="D14" s="15" t="s">
        <v>1117</v>
      </c>
      <c r="E14" s="15" t="str">
        <f>"0,7503"</f>
        <v>0,7503</v>
      </c>
      <c r="F14" s="15" t="s">
        <v>10</v>
      </c>
      <c r="G14" s="15" t="s">
        <v>696</v>
      </c>
      <c r="H14" s="36" t="s">
        <v>163</v>
      </c>
      <c r="I14" s="39" t="s">
        <v>20</v>
      </c>
      <c r="J14" s="36" t="s">
        <v>20</v>
      </c>
      <c r="K14" s="26"/>
      <c r="L14" s="36" t="s">
        <v>152</v>
      </c>
      <c r="M14" s="39" t="s">
        <v>1098</v>
      </c>
      <c r="N14" s="36" t="s">
        <v>1098</v>
      </c>
      <c r="O14" s="39" t="s">
        <v>19</v>
      </c>
      <c r="P14" s="32">
        <v>123</v>
      </c>
      <c r="Q14" s="27" t="str">
        <f>"92,2930"</f>
        <v>92,2930</v>
      </c>
      <c r="R14" s="15" t="s">
        <v>13</v>
      </c>
    </row>
    <row r="15" spans="2:17" ht="15">
      <c r="B15" s="166" t="s">
        <v>26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8" ht="12.75">
      <c r="A16" s="24" t="s">
        <v>778</v>
      </c>
      <c r="B16" s="64" t="s">
        <v>1127</v>
      </c>
      <c r="C16" s="6" t="s">
        <v>1128</v>
      </c>
      <c r="D16" s="6" t="s">
        <v>755</v>
      </c>
      <c r="E16" s="6" t="str">
        <f>"0,7005"</f>
        <v>0,7005</v>
      </c>
      <c r="F16" s="6" t="s">
        <v>10</v>
      </c>
      <c r="G16" s="6" t="s">
        <v>101</v>
      </c>
      <c r="H16" s="36" t="s">
        <v>438</v>
      </c>
      <c r="I16" s="80" t="s">
        <v>326</v>
      </c>
      <c r="J16" s="80" t="s">
        <v>326</v>
      </c>
      <c r="K16" s="75"/>
      <c r="L16" s="36" t="s">
        <v>19</v>
      </c>
      <c r="M16" s="80" t="s">
        <v>20</v>
      </c>
      <c r="N16" s="80" t="s">
        <v>20</v>
      </c>
      <c r="O16" s="75"/>
      <c r="P16" s="55" t="s">
        <v>41</v>
      </c>
      <c r="Q16" s="55" t="str">
        <f>"91,0585"</f>
        <v>91,0585</v>
      </c>
      <c r="R16" s="6" t="s">
        <v>1132</v>
      </c>
    </row>
    <row r="18" spans="2:17" ht="15">
      <c r="B18" s="166" t="s">
        <v>7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1:18" ht="12.75">
      <c r="A19" s="24" t="s">
        <v>778</v>
      </c>
      <c r="B19" s="65" t="s">
        <v>43</v>
      </c>
      <c r="C19" s="7" t="s">
        <v>44</v>
      </c>
      <c r="D19" s="7" t="s">
        <v>844</v>
      </c>
      <c r="E19" s="7" t="str">
        <f>"0,6497"</f>
        <v>0,6497</v>
      </c>
      <c r="F19" s="7" t="s">
        <v>45</v>
      </c>
      <c r="G19" s="7" t="s">
        <v>46</v>
      </c>
      <c r="H19" s="37" t="s">
        <v>194</v>
      </c>
      <c r="I19" s="60"/>
      <c r="J19" s="60"/>
      <c r="K19" s="60"/>
      <c r="L19" s="37" t="s">
        <v>160</v>
      </c>
      <c r="M19" s="60"/>
      <c r="N19" s="60"/>
      <c r="O19" s="60"/>
      <c r="P19" s="56" t="s">
        <v>11</v>
      </c>
      <c r="Q19" s="56" t="str">
        <f>"90,9650"</f>
        <v>90,9650</v>
      </c>
      <c r="R19" s="7" t="s">
        <v>13</v>
      </c>
    </row>
    <row r="20" spans="1:18" ht="12.75">
      <c r="A20" s="24" t="s">
        <v>779</v>
      </c>
      <c r="B20" s="67" t="s">
        <v>38</v>
      </c>
      <c r="C20" s="9" t="s">
        <v>39</v>
      </c>
      <c r="D20" s="9" t="s">
        <v>923</v>
      </c>
      <c r="E20" s="9" t="str">
        <f>"0,6618"</f>
        <v>0,6618</v>
      </c>
      <c r="F20" s="9" t="s">
        <v>29</v>
      </c>
      <c r="G20" s="9" t="s">
        <v>30</v>
      </c>
      <c r="H20" s="38" t="s">
        <v>18</v>
      </c>
      <c r="I20" s="38" t="s">
        <v>154</v>
      </c>
      <c r="J20" s="38" t="s">
        <v>19</v>
      </c>
      <c r="K20" s="77"/>
      <c r="L20" s="38" t="s">
        <v>442</v>
      </c>
      <c r="M20" s="38" t="s">
        <v>18</v>
      </c>
      <c r="N20" s="38" t="s">
        <v>154</v>
      </c>
      <c r="O20" s="77"/>
      <c r="P20" s="57" t="s">
        <v>219</v>
      </c>
      <c r="Q20" s="57" t="str">
        <f>"76,1013"</f>
        <v>76,1013</v>
      </c>
      <c r="R20" s="9" t="s">
        <v>917</v>
      </c>
    </row>
    <row r="22" spans="2:17" ht="15">
      <c r="B22" s="166" t="s">
        <v>56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</row>
    <row r="23" spans="1:18" ht="12.75">
      <c r="A23" s="24" t="s">
        <v>778</v>
      </c>
      <c r="B23" s="65" t="s">
        <v>395</v>
      </c>
      <c r="C23" s="7" t="s">
        <v>396</v>
      </c>
      <c r="D23" s="7" t="s">
        <v>767</v>
      </c>
      <c r="E23" s="7" t="str">
        <f>"0,5816"</f>
        <v>0,5816</v>
      </c>
      <c r="F23" s="7" t="s">
        <v>10</v>
      </c>
      <c r="G23" s="7" t="s">
        <v>209</v>
      </c>
      <c r="H23" s="37" t="s">
        <v>441</v>
      </c>
      <c r="I23" s="37" t="s">
        <v>187</v>
      </c>
      <c r="J23" s="37" t="s">
        <v>188</v>
      </c>
      <c r="K23" s="60"/>
      <c r="L23" s="37" t="s">
        <v>19</v>
      </c>
      <c r="M23" s="37" t="s">
        <v>20</v>
      </c>
      <c r="N23" s="60"/>
      <c r="O23" s="60"/>
      <c r="P23" s="56" t="s">
        <v>54</v>
      </c>
      <c r="Q23" s="56" t="str">
        <f>"93,0480"</f>
        <v>93,0480</v>
      </c>
      <c r="R23" s="7" t="s">
        <v>13</v>
      </c>
    </row>
    <row r="24" spans="1:18" ht="12.75">
      <c r="A24" s="24" t="s">
        <v>778</v>
      </c>
      <c r="B24" s="67" t="s">
        <v>395</v>
      </c>
      <c r="C24" s="9" t="s">
        <v>599</v>
      </c>
      <c r="D24" s="9" t="s">
        <v>767</v>
      </c>
      <c r="E24" s="9" t="str">
        <f>"0,5816"</f>
        <v>0,5816</v>
      </c>
      <c r="F24" s="9" t="s">
        <v>10</v>
      </c>
      <c r="G24" s="9" t="s">
        <v>209</v>
      </c>
      <c r="H24" s="38" t="s">
        <v>441</v>
      </c>
      <c r="I24" s="38" t="s">
        <v>187</v>
      </c>
      <c r="J24" s="38" t="s">
        <v>188</v>
      </c>
      <c r="K24" s="77"/>
      <c r="L24" s="38" t="s">
        <v>19</v>
      </c>
      <c r="M24" s="38" t="s">
        <v>20</v>
      </c>
      <c r="N24" s="77"/>
      <c r="O24" s="77"/>
      <c r="P24" s="57" t="s">
        <v>54</v>
      </c>
      <c r="Q24" s="57" t="str">
        <f>"93,0480"</f>
        <v>93,0480</v>
      </c>
      <c r="R24" s="9" t="s">
        <v>13</v>
      </c>
    </row>
    <row r="26" spans="2:17" ht="15">
      <c r="B26" s="166" t="s">
        <v>91</v>
      </c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</row>
    <row r="27" spans="1:18" ht="12.75">
      <c r="A27" s="24" t="s">
        <v>778</v>
      </c>
      <c r="B27" s="64" t="s">
        <v>1129</v>
      </c>
      <c r="C27" s="6" t="s">
        <v>1130</v>
      </c>
      <c r="D27" s="6" t="s">
        <v>181</v>
      </c>
      <c r="E27" s="6" t="str">
        <f>"0,5647"</f>
        <v>0,5647</v>
      </c>
      <c r="F27" s="6" t="s">
        <v>10</v>
      </c>
      <c r="G27" s="6" t="s">
        <v>59</v>
      </c>
      <c r="H27" s="36" t="s">
        <v>179</v>
      </c>
      <c r="I27" s="80" t="s">
        <v>219</v>
      </c>
      <c r="J27" s="36" t="s">
        <v>219</v>
      </c>
      <c r="K27" s="75"/>
      <c r="L27" s="36" t="s">
        <v>326</v>
      </c>
      <c r="M27" s="36" t="s">
        <v>186</v>
      </c>
      <c r="N27" s="80" t="s">
        <v>556</v>
      </c>
      <c r="O27" s="75"/>
      <c r="P27" s="55" t="s">
        <v>86</v>
      </c>
      <c r="Q27" s="55" t="str">
        <f>"112,9400"</f>
        <v>112,9400</v>
      </c>
      <c r="R27" s="6" t="s">
        <v>13</v>
      </c>
    </row>
  </sheetData>
  <sheetProtection/>
  <mergeCells count="20"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B13:Q13"/>
    <mergeCell ref="B22:Q22"/>
    <mergeCell ref="B26:Q26"/>
    <mergeCell ref="A3:A4"/>
    <mergeCell ref="Q3:Q4"/>
    <mergeCell ref="R3:R4"/>
    <mergeCell ref="B5:Q5"/>
    <mergeCell ref="B10:Q10"/>
    <mergeCell ref="B15:Q15"/>
    <mergeCell ref="B18:Q18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R39"/>
  <sheetViews>
    <sheetView zoomScalePageLayoutView="0" workbookViewId="0" topLeftCell="A1">
      <selection activeCell="L3" sqref="L3:O3"/>
    </sheetView>
  </sheetViews>
  <sheetFormatPr defaultColWidth="8.75390625" defaultRowHeight="12.75"/>
  <cols>
    <col min="1" max="1" width="8.00390625" style="25" customWidth="1"/>
    <col min="2" max="2" width="22.125" style="11" customWidth="1"/>
    <col min="3" max="3" width="26.625" style="11" bestFit="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32.00390625" style="11" bestFit="1" customWidth="1"/>
    <col min="8" max="10" width="4.625" style="11" bestFit="1" customWidth="1"/>
    <col min="11" max="11" width="6.75390625" style="11" customWidth="1"/>
    <col min="12" max="14" width="4.625" style="11" bestFit="1" customWidth="1"/>
    <col min="15" max="15" width="6.875" style="11" customWidth="1"/>
    <col min="16" max="16" width="7.75390625" style="35" bestFit="1" customWidth="1"/>
    <col min="17" max="17" width="8.625" style="11" bestFit="1" customWidth="1"/>
    <col min="18" max="18" width="16.00390625" style="11" customWidth="1"/>
  </cols>
  <sheetData>
    <row r="1" spans="1:18" s="1" customFormat="1" ht="15" customHeight="1">
      <c r="A1" s="24"/>
      <c r="B1" s="150" t="s">
        <v>1437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</row>
    <row r="2" spans="1:18" s="1" customFormat="1" ht="10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</row>
    <row r="3" spans="1:18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947</v>
      </c>
      <c r="F3" s="146" t="s">
        <v>4</v>
      </c>
      <c r="G3" s="164" t="s">
        <v>674</v>
      </c>
      <c r="H3" s="146" t="s">
        <v>1456</v>
      </c>
      <c r="I3" s="146"/>
      <c r="J3" s="146"/>
      <c r="K3" s="146"/>
      <c r="L3" s="146" t="s">
        <v>1457</v>
      </c>
      <c r="M3" s="146"/>
      <c r="N3" s="146"/>
      <c r="O3" s="146"/>
      <c r="P3" s="144" t="s">
        <v>1</v>
      </c>
      <c r="Q3" s="146" t="s">
        <v>3</v>
      </c>
      <c r="R3" s="161" t="s">
        <v>2</v>
      </c>
    </row>
    <row r="4" spans="1:18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145"/>
      <c r="Q4" s="147"/>
      <c r="R4" s="162"/>
    </row>
    <row r="5" spans="2:17" ht="1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8" ht="12.75">
      <c r="A6" s="25">
        <v>1</v>
      </c>
      <c r="B6" s="15" t="s">
        <v>554</v>
      </c>
      <c r="C6" s="15" t="s">
        <v>1088</v>
      </c>
      <c r="D6" s="15" t="s">
        <v>1113</v>
      </c>
      <c r="E6" s="15" t="str">
        <f>"1,0701"</f>
        <v>1,0701</v>
      </c>
      <c r="F6" s="15" t="s">
        <v>45</v>
      </c>
      <c r="G6" s="15" t="s">
        <v>466</v>
      </c>
      <c r="H6" s="36" t="s">
        <v>504</v>
      </c>
      <c r="I6" s="36" t="s">
        <v>997</v>
      </c>
      <c r="J6" s="26"/>
      <c r="K6" s="26"/>
      <c r="L6" s="36" t="s">
        <v>1089</v>
      </c>
      <c r="M6" s="39" t="s">
        <v>979</v>
      </c>
      <c r="N6" s="26"/>
      <c r="O6" s="26"/>
      <c r="P6" s="32">
        <v>52.5</v>
      </c>
      <c r="Q6" s="27" t="str">
        <f>"56,1802"</f>
        <v>56,1802</v>
      </c>
      <c r="R6" s="15" t="s">
        <v>645</v>
      </c>
    </row>
    <row r="8" spans="2:17" ht="15">
      <c r="B8" s="142" t="s">
        <v>170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8" ht="12.75">
      <c r="A9" s="25">
        <v>1</v>
      </c>
      <c r="B9" s="13" t="s">
        <v>171</v>
      </c>
      <c r="C9" s="13" t="s">
        <v>172</v>
      </c>
      <c r="D9" s="13" t="s">
        <v>19</v>
      </c>
      <c r="E9" s="13" t="str">
        <f>"0,9876"</f>
        <v>0,9876</v>
      </c>
      <c r="F9" s="13" t="s">
        <v>10</v>
      </c>
      <c r="G9" s="13" t="s">
        <v>696</v>
      </c>
      <c r="H9" s="37" t="s">
        <v>504</v>
      </c>
      <c r="I9" s="37" t="s">
        <v>505</v>
      </c>
      <c r="J9" s="37" t="s">
        <v>506</v>
      </c>
      <c r="K9" s="29"/>
      <c r="L9" s="37" t="s">
        <v>504</v>
      </c>
      <c r="M9" s="37" t="s">
        <v>505</v>
      </c>
      <c r="N9" s="44" t="s">
        <v>506</v>
      </c>
      <c r="O9" s="29"/>
      <c r="P9" s="33">
        <v>72.5</v>
      </c>
      <c r="Q9" s="28" t="str">
        <f>"71,6010"</f>
        <v>71,6010</v>
      </c>
      <c r="R9" s="13" t="s">
        <v>13</v>
      </c>
    </row>
    <row r="10" spans="1:18" ht="12.75">
      <c r="A10" s="25">
        <v>1</v>
      </c>
      <c r="B10" s="17" t="s">
        <v>1090</v>
      </c>
      <c r="C10" s="17" t="s">
        <v>1091</v>
      </c>
      <c r="D10" s="17" t="s">
        <v>1114</v>
      </c>
      <c r="E10" s="17" t="str">
        <f>"0,9984"</f>
        <v>0,9984</v>
      </c>
      <c r="F10" s="17" t="s">
        <v>45</v>
      </c>
      <c r="G10" s="17" t="s">
        <v>466</v>
      </c>
      <c r="H10" s="43" t="s">
        <v>506</v>
      </c>
      <c r="I10" s="45" t="s">
        <v>500</v>
      </c>
      <c r="J10" s="45" t="s">
        <v>500</v>
      </c>
      <c r="K10" s="41"/>
      <c r="L10" s="43" t="s">
        <v>504</v>
      </c>
      <c r="M10" s="45" t="s">
        <v>997</v>
      </c>
      <c r="N10" s="45" t="s">
        <v>505</v>
      </c>
      <c r="O10" s="41"/>
      <c r="P10" s="42">
        <v>67.5</v>
      </c>
      <c r="Q10" s="40" t="str">
        <f>"67,3886"</f>
        <v>67,3886</v>
      </c>
      <c r="R10" s="17" t="s">
        <v>1121</v>
      </c>
    </row>
    <row r="11" spans="1:18" ht="12.75">
      <c r="A11" s="25">
        <v>1</v>
      </c>
      <c r="B11" s="14" t="s">
        <v>1092</v>
      </c>
      <c r="C11" s="14" t="s">
        <v>1093</v>
      </c>
      <c r="D11" s="14" t="s">
        <v>1115</v>
      </c>
      <c r="E11" s="14" t="str">
        <f>"1,0350"</f>
        <v>1,0350</v>
      </c>
      <c r="F11" s="14" t="s">
        <v>45</v>
      </c>
      <c r="G11" s="14" t="s">
        <v>151</v>
      </c>
      <c r="H11" s="38" t="s">
        <v>1094</v>
      </c>
      <c r="I11" s="38" t="s">
        <v>997</v>
      </c>
      <c r="J11" s="46" t="s">
        <v>505</v>
      </c>
      <c r="K11" s="31"/>
      <c r="L11" s="38" t="s">
        <v>983</v>
      </c>
      <c r="M11" s="38" t="s">
        <v>1094</v>
      </c>
      <c r="N11" s="31"/>
      <c r="O11" s="31"/>
      <c r="P11" s="34">
        <v>60</v>
      </c>
      <c r="Q11" s="30" t="str">
        <f>"62,1000"</f>
        <v>62,1000</v>
      </c>
      <c r="R11" s="14" t="s">
        <v>1122</v>
      </c>
    </row>
    <row r="13" spans="2:17" ht="15">
      <c r="B13" s="142" t="s">
        <v>164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8" ht="12.75">
      <c r="A14" s="25">
        <v>1</v>
      </c>
      <c r="B14" s="13" t="s">
        <v>617</v>
      </c>
      <c r="C14" s="13" t="s">
        <v>1095</v>
      </c>
      <c r="D14" s="13" t="s">
        <v>1116</v>
      </c>
      <c r="E14" s="13" t="str">
        <f>"0,8942"</f>
        <v>0,8942</v>
      </c>
      <c r="F14" s="13" t="s">
        <v>45</v>
      </c>
      <c r="G14" s="13" t="s">
        <v>466</v>
      </c>
      <c r="H14" s="37" t="s">
        <v>442</v>
      </c>
      <c r="I14" s="44" t="s">
        <v>18</v>
      </c>
      <c r="J14" s="44" t="s">
        <v>18</v>
      </c>
      <c r="K14" s="29"/>
      <c r="L14" s="37" t="s">
        <v>506</v>
      </c>
      <c r="M14" s="37" t="s">
        <v>500</v>
      </c>
      <c r="N14" s="44" t="s">
        <v>433</v>
      </c>
      <c r="O14" s="29"/>
      <c r="P14" s="33">
        <v>85</v>
      </c>
      <c r="Q14" s="28" t="str">
        <f>"76,0070"</f>
        <v>76,0070</v>
      </c>
      <c r="R14" s="13" t="s">
        <v>748</v>
      </c>
    </row>
    <row r="15" spans="1:18" ht="12.75">
      <c r="A15" s="25">
        <v>1</v>
      </c>
      <c r="B15" s="14" t="s">
        <v>617</v>
      </c>
      <c r="C15" s="14" t="s">
        <v>619</v>
      </c>
      <c r="D15" s="14" t="s">
        <v>1116</v>
      </c>
      <c r="E15" s="14" t="str">
        <f>"0,8942"</f>
        <v>0,8942</v>
      </c>
      <c r="F15" s="14" t="s">
        <v>45</v>
      </c>
      <c r="G15" s="14" t="s">
        <v>466</v>
      </c>
      <c r="H15" s="38" t="s">
        <v>442</v>
      </c>
      <c r="I15" s="46" t="s">
        <v>18</v>
      </c>
      <c r="J15" s="46" t="s">
        <v>18</v>
      </c>
      <c r="K15" s="31"/>
      <c r="L15" s="38" t="s">
        <v>506</v>
      </c>
      <c r="M15" s="38" t="s">
        <v>500</v>
      </c>
      <c r="N15" s="46" t="s">
        <v>433</v>
      </c>
      <c r="O15" s="31"/>
      <c r="P15" s="34">
        <v>85</v>
      </c>
      <c r="Q15" s="30" t="str">
        <f>"76,0070"</f>
        <v>76,0070</v>
      </c>
      <c r="R15" s="14" t="s">
        <v>748</v>
      </c>
    </row>
    <row r="17" spans="2:17" ht="15">
      <c r="B17" s="142" t="s">
        <v>21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8" ht="12.75">
      <c r="A18" s="25">
        <v>1</v>
      </c>
      <c r="B18" s="15" t="s">
        <v>1096</v>
      </c>
      <c r="C18" s="15" t="s">
        <v>1097</v>
      </c>
      <c r="D18" s="15" t="s">
        <v>1117</v>
      </c>
      <c r="E18" s="15" t="str">
        <f>"0,7503"</f>
        <v>0,7503</v>
      </c>
      <c r="F18" s="15" t="s">
        <v>10</v>
      </c>
      <c r="G18" s="15" t="s">
        <v>696</v>
      </c>
      <c r="H18" s="36" t="s">
        <v>163</v>
      </c>
      <c r="I18" s="39" t="s">
        <v>20</v>
      </c>
      <c r="J18" s="36" t="s">
        <v>20</v>
      </c>
      <c r="K18" s="26"/>
      <c r="L18" s="36" t="s">
        <v>152</v>
      </c>
      <c r="M18" s="39" t="s">
        <v>1098</v>
      </c>
      <c r="N18" s="36" t="s">
        <v>1098</v>
      </c>
      <c r="O18" s="39" t="s">
        <v>19</v>
      </c>
      <c r="P18" s="32">
        <v>123</v>
      </c>
      <c r="Q18" s="27" t="str">
        <f>"92,2930"</f>
        <v>92,2930</v>
      </c>
      <c r="R18" s="15" t="s">
        <v>13</v>
      </c>
    </row>
    <row r="20" spans="2:17" ht="15">
      <c r="B20" s="142" t="s">
        <v>26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</row>
    <row r="21" spans="1:18" ht="12.75">
      <c r="A21" s="25">
        <v>1</v>
      </c>
      <c r="B21" s="13" t="s">
        <v>1099</v>
      </c>
      <c r="C21" s="13" t="s">
        <v>1100</v>
      </c>
      <c r="D21" s="13" t="s">
        <v>1118</v>
      </c>
      <c r="E21" s="13" t="str">
        <f>"0,6899"</f>
        <v>0,6899</v>
      </c>
      <c r="F21" s="13" t="s">
        <v>29</v>
      </c>
      <c r="G21" s="13" t="s">
        <v>1101</v>
      </c>
      <c r="H21" s="37" t="s">
        <v>186</v>
      </c>
      <c r="I21" s="44" t="s">
        <v>187</v>
      </c>
      <c r="J21" s="44" t="s">
        <v>187</v>
      </c>
      <c r="K21" s="44"/>
      <c r="L21" s="37" t="s">
        <v>20</v>
      </c>
      <c r="M21" s="37" t="s">
        <v>438</v>
      </c>
      <c r="N21" s="37" t="s">
        <v>192</v>
      </c>
      <c r="O21" s="29"/>
      <c r="P21" s="33">
        <v>157.5</v>
      </c>
      <c r="Q21" s="28" t="str">
        <f>"108,6592"</f>
        <v>108,6592</v>
      </c>
      <c r="R21" s="13" t="s">
        <v>13</v>
      </c>
    </row>
    <row r="22" spans="1:18" ht="12.75">
      <c r="A22" s="25">
        <v>2</v>
      </c>
      <c r="B22" s="14" t="s">
        <v>1102</v>
      </c>
      <c r="C22" s="14" t="s">
        <v>1103</v>
      </c>
      <c r="D22" s="14" t="s">
        <v>1119</v>
      </c>
      <c r="E22" s="14" t="str">
        <f>"0,7049"</f>
        <v>0,7049</v>
      </c>
      <c r="F22" s="14" t="s">
        <v>10</v>
      </c>
      <c r="G22" s="14" t="s">
        <v>1104</v>
      </c>
      <c r="H22" s="38" t="s">
        <v>442</v>
      </c>
      <c r="I22" s="38" t="s">
        <v>160</v>
      </c>
      <c r="J22" s="46" t="s">
        <v>19</v>
      </c>
      <c r="K22" s="31"/>
      <c r="L22" s="38" t="s">
        <v>500</v>
      </c>
      <c r="M22" s="38" t="s">
        <v>154</v>
      </c>
      <c r="N22" s="46" t="s">
        <v>160</v>
      </c>
      <c r="O22" s="31"/>
      <c r="P22" s="34">
        <v>112.5</v>
      </c>
      <c r="Q22" s="30" t="str">
        <f>"79,2956"</f>
        <v>79,2956</v>
      </c>
      <c r="R22" s="14" t="s">
        <v>13</v>
      </c>
    </row>
    <row r="24" spans="2:17" ht="15">
      <c r="B24" s="142" t="s">
        <v>7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</row>
    <row r="25" spans="1:18" ht="12.75">
      <c r="A25" s="25">
        <v>1</v>
      </c>
      <c r="B25" s="13" t="s">
        <v>43</v>
      </c>
      <c r="C25" s="13" t="s">
        <v>44</v>
      </c>
      <c r="D25" s="13" t="s">
        <v>830</v>
      </c>
      <c r="E25" s="13" t="str">
        <f>"0,6557"</f>
        <v>0,6557</v>
      </c>
      <c r="F25" s="13" t="s">
        <v>45</v>
      </c>
      <c r="G25" s="13" t="s">
        <v>46</v>
      </c>
      <c r="H25" s="44" t="s">
        <v>441</v>
      </c>
      <c r="I25" s="37" t="s">
        <v>194</v>
      </c>
      <c r="J25" s="44" t="s">
        <v>186</v>
      </c>
      <c r="K25" s="29"/>
      <c r="L25" s="37" t="s">
        <v>152</v>
      </c>
      <c r="M25" s="37" t="s">
        <v>160</v>
      </c>
      <c r="N25" s="44" t="s">
        <v>19</v>
      </c>
      <c r="O25" s="29"/>
      <c r="P25" s="33">
        <v>140</v>
      </c>
      <c r="Q25" s="28" t="str">
        <f>"91,7910"</f>
        <v>91,7910</v>
      </c>
      <c r="R25" s="13" t="s">
        <v>13</v>
      </c>
    </row>
    <row r="26" spans="1:18" ht="12.75">
      <c r="A26" s="25">
        <v>2</v>
      </c>
      <c r="B26" s="17" t="s">
        <v>464</v>
      </c>
      <c r="C26" s="17" t="s">
        <v>465</v>
      </c>
      <c r="D26" s="17" t="s">
        <v>1075</v>
      </c>
      <c r="E26" s="17" t="str">
        <f>"0,6471"</f>
        <v>0,6471</v>
      </c>
      <c r="F26" s="17" t="s">
        <v>45</v>
      </c>
      <c r="G26" s="17" t="s">
        <v>466</v>
      </c>
      <c r="H26" s="43" t="s">
        <v>169</v>
      </c>
      <c r="I26" s="43" t="s">
        <v>192</v>
      </c>
      <c r="J26" s="45" t="s">
        <v>441</v>
      </c>
      <c r="K26" s="41"/>
      <c r="L26" s="43" t="s">
        <v>152</v>
      </c>
      <c r="M26" s="43" t="s">
        <v>160</v>
      </c>
      <c r="N26" s="45" t="s">
        <v>163</v>
      </c>
      <c r="O26" s="41"/>
      <c r="P26" s="42">
        <v>130</v>
      </c>
      <c r="Q26" s="40" t="str">
        <f>"84,1295"</f>
        <v>84,1295</v>
      </c>
      <c r="R26" s="17" t="s">
        <v>13</v>
      </c>
    </row>
    <row r="27" spans="1:18" ht="12.75">
      <c r="A27" s="25">
        <v>1</v>
      </c>
      <c r="B27" s="14" t="s">
        <v>464</v>
      </c>
      <c r="C27" s="14" t="s">
        <v>1105</v>
      </c>
      <c r="D27" s="14" t="s">
        <v>1075</v>
      </c>
      <c r="E27" s="14" t="str">
        <f>"0,6471"</f>
        <v>0,6471</v>
      </c>
      <c r="F27" s="14" t="s">
        <v>45</v>
      </c>
      <c r="G27" s="14" t="s">
        <v>466</v>
      </c>
      <c r="H27" s="38" t="s">
        <v>169</v>
      </c>
      <c r="I27" s="38" t="s">
        <v>192</v>
      </c>
      <c r="J27" s="46" t="s">
        <v>441</v>
      </c>
      <c r="K27" s="31"/>
      <c r="L27" s="38" t="s">
        <v>152</v>
      </c>
      <c r="M27" s="38" t="s">
        <v>160</v>
      </c>
      <c r="N27" s="46" t="s">
        <v>163</v>
      </c>
      <c r="O27" s="31"/>
      <c r="P27" s="34">
        <v>130</v>
      </c>
      <c r="Q27" s="30" t="str">
        <f>"85,8121"</f>
        <v>85,8121</v>
      </c>
      <c r="R27" s="14" t="s">
        <v>13</v>
      </c>
    </row>
    <row r="29" spans="2:17" ht="15">
      <c r="B29" s="142" t="s">
        <v>56</v>
      </c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</row>
    <row r="30" spans="1:18" ht="12.75">
      <c r="A30" s="25">
        <v>1</v>
      </c>
      <c r="B30" s="13" t="s">
        <v>668</v>
      </c>
      <c r="C30" s="13" t="s">
        <v>669</v>
      </c>
      <c r="D30" s="13" t="s">
        <v>768</v>
      </c>
      <c r="E30" s="13" t="str">
        <f>"0,5818"</f>
        <v>0,5818</v>
      </c>
      <c r="F30" s="13" t="s">
        <v>45</v>
      </c>
      <c r="G30" s="13" t="s">
        <v>466</v>
      </c>
      <c r="H30" s="37" t="s">
        <v>438</v>
      </c>
      <c r="I30" s="37" t="s">
        <v>193</v>
      </c>
      <c r="J30" s="37" t="s">
        <v>441</v>
      </c>
      <c r="K30" s="29"/>
      <c r="L30" s="37" t="s">
        <v>160</v>
      </c>
      <c r="M30" s="37" t="s">
        <v>19</v>
      </c>
      <c r="N30" s="37" t="s">
        <v>20</v>
      </c>
      <c r="O30" s="29"/>
      <c r="P30" s="33">
        <v>145</v>
      </c>
      <c r="Q30" s="28" t="str">
        <f>"84,3610"</f>
        <v>84,3610</v>
      </c>
      <c r="R30" s="13" t="s">
        <v>1123</v>
      </c>
    </row>
    <row r="31" spans="1:18" ht="12.75">
      <c r="A31" s="25">
        <v>1</v>
      </c>
      <c r="B31" s="17" t="s">
        <v>668</v>
      </c>
      <c r="C31" s="17" t="s">
        <v>1106</v>
      </c>
      <c r="D31" s="17" t="s">
        <v>768</v>
      </c>
      <c r="E31" s="17" t="str">
        <f>"0,5818"</f>
        <v>0,5818</v>
      </c>
      <c r="F31" s="17" t="s">
        <v>45</v>
      </c>
      <c r="G31" s="17" t="s">
        <v>466</v>
      </c>
      <c r="H31" s="43" t="s">
        <v>438</v>
      </c>
      <c r="I31" s="43" t="s">
        <v>193</v>
      </c>
      <c r="J31" s="43" t="s">
        <v>441</v>
      </c>
      <c r="K31" s="41"/>
      <c r="L31" s="43" t="s">
        <v>160</v>
      </c>
      <c r="M31" s="43" t="s">
        <v>19</v>
      </c>
      <c r="N31" s="43" t="s">
        <v>20</v>
      </c>
      <c r="O31" s="41"/>
      <c r="P31" s="42">
        <v>145</v>
      </c>
      <c r="Q31" s="40" t="str">
        <f>"85,2046"</f>
        <v>85,2046</v>
      </c>
      <c r="R31" s="17" t="s">
        <v>1123</v>
      </c>
    </row>
    <row r="32" spans="1:18" ht="12.75">
      <c r="A32" s="25">
        <v>1</v>
      </c>
      <c r="B32" s="14" t="s">
        <v>1107</v>
      </c>
      <c r="C32" s="14" t="s">
        <v>1108</v>
      </c>
      <c r="D32" s="14" t="s">
        <v>1120</v>
      </c>
      <c r="E32" s="14" t="str">
        <f>"0,5891"</f>
        <v>0,5891</v>
      </c>
      <c r="F32" s="14" t="s">
        <v>10</v>
      </c>
      <c r="G32" s="14" t="s">
        <v>696</v>
      </c>
      <c r="H32" s="38" t="s">
        <v>19</v>
      </c>
      <c r="I32" s="46" t="s">
        <v>438</v>
      </c>
      <c r="J32" s="38" t="s">
        <v>441</v>
      </c>
      <c r="K32" s="31"/>
      <c r="L32" s="38" t="s">
        <v>18</v>
      </c>
      <c r="M32" s="46" t="s">
        <v>20</v>
      </c>
      <c r="N32" s="38" t="s">
        <v>169</v>
      </c>
      <c r="O32" s="31"/>
      <c r="P32" s="34">
        <v>147.5</v>
      </c>
      <c r="Q32" s="30" t="str">
        <f>"99,6654"</f>
        <v>99,6654</v>
      </c>
      <c r="R32" s="14" t="s">
        <v>13</v>
      </c>
    </row>
    <row r="34" spans="2:3" ht="18">
      <c r="B34" s="12" t="s">
        <v>137</v>
      </c>
      <c r="C34" s="12"/>
    </row>
    <row r="35" spans="2:3" ht="14.25">
      <c r="B35" s="20"/>
      <c r="C35" s="21" t="s">
        <v>1423</v>
      </c>
    </row>
    <row r="36" spans="2:6" ht="15">
      <c r="B36" s="22" t="s">
        <v>139</v>
      </c>
      <c r="C36" s="22" t="s">
        <v>140</v>
      </c>
      <c r="D36" s="22" t="s">
        <v>141</v>
      </c>
      <c r="E36" s="22" t="s">
        <v>142</v>
      </c>
      <c r="F36" s="22" t="s">
        <v>956</v>
      </c>
    </row>
    <row r="37" spans="1:7" ht="12.75">
      <c r="A37" s="25">
        <v>1</v>
      </c>
      <c r="B37" s="19" t="s">
        <v>1099</v>
      </c>
      <c r="C37" s="48" t="s">
        <v>138</v>
      </c>
      <c r="D37" s="49" t="s">
        <v>742</v>
      </c>
      <c r="E37" s="49" t="s">
        <v>253</v>
      </c>
      <c r="F37" s="49" t="s">
        <v>1109</v>
      </c>
      <c r="G37" s="11" t="s">
        <v>1423</v>
      </c>
    </row>
    <row r="38" spans="1:6" ht="12.75">
      <c r="A38" s="25">
        <v>2</v>
      </c>
      <c r="B38" s="19" t="s">
        <v>1096</v>
      </c>
      <c r="C38" s="48" t="s">
        <v>138</v>
      </c>
      <c r="D38" s="49" t="s">
        <v>169</v>
      </c>
      <c r="E38" s="49" t="s">
        <v>1110</v>
      </c>
      <c r="F38" s="49" t="s">
        <v>1111</v>
      </c>
    </row>
    <row r="39" spans="1:6" ht="12.75">
      <c r="A39" s="25">
        <v>3</v>
      </c>
      <c r="B39" s="19" t="s">
        <v>43</v>
      </c>
      <c r="C39" s="48" t="s">
        <v>138</v>
      </c>
      <c r="D39" s="49" t="s">
        <v>744</v>
      </c>
      <c r="E39" s="49" t="s">
        <v>11</v>
      </c>
      <c r="F39" s="49" t="s">
        <v>1112</v>
      </c>
    </row>
  </sheetData>
  <sheetProtection/>
  <mergeCells count="20">
    <mergeCell ref="B1:R2"/>
    <mergeCell ref="B3:B4"/>
    <mergeCell ref="C3:C4"/>
    <mergeCell ref="D3:D4"/>
    <mergeCell ref="E3:E4"/>
    <mergeCell ref="F3:F4"/>
    <mergeCell ref="G3:G4"/>
    <mergeCell ref="H3:K3"/>
    <mergeCell ref="L3:O3"/>
    <mergeCell ref="P3:P4"/>
    <mergeCell ref="B20:Q20"/>
    <mergeCell ref="B24:Q24"/>
    <mergeCell ref="B29:Q29"/>
    <mergeCell ref="A3:A4"/>
    <mergeCell ref="Q3:Q4"/>
    <mergeCell ref="R3:R4"/>
    <mergeCell ref="B5:Q5"/>
    <mergeCell ref="B8:Q8"/>
    <mergeCell ref="B13:Q13"/>
    <mergeCell ref="B17:Q17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H40" sqref="H40"/>
    </sheetView>
  </sheetViews>
  <sheetFormatPr defaultColWidth="9.00390625" defaultRowHeight="12.75"/>
  <cols>
    <col min="1" max="1" width="11.375" style="24" customWidth="1"/>
    <col min="2" max="2" width="23.875" style="72" customWidth="1"/>
    <col min="3" max="3" width="24.00390625" style="5" bestFit="1" customWidth="1"/>
    <col min="4" max="4" width="10.125" style="5" bestFit="1" customWidth="1"/>
    <col min="5" max="5" width="21.75390625" style="5" bestFit="1" customWidth="1"/>
    <col min="6" max="6" width="30.125" style="5" bestFit="1" customWidth="1"/>
    <col min="7" max="9" width="4.625" style="1" bestFit="1" customWidth="1"/>
    <col min="10" max="10" width="4.875" style="1" customWidth="1"/>
    <col min="11" max="11" width="12.00390625" style="4" customWidth="1"/>
    <col min="12" max="12" width="19.375" style="5" customWidth="1"/>
    <col min="13" max="16384" width="11.375" style="1" customWidth="1"/>
  </cols>
  <sheetData>
    <row r="1" spans="2:12" ht="15" customHeight="1">
      <c r="B1" s="150" t="s">
        <v>1212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2:12" ht="81.7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4</v>
      </c>
      <c r="F3" s="146" t="s">
        <v>1152</v>
      </c>
      <c r="G3" s="179" t="s">
        <v>710</v>
      </c>
      <c r="H3" s="179"/>
      <c r="I3" s="179"/>
      <c r="J3" s="148"/>
      <c r="K3" s="144" t="s">
        <v>676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3" t="s">
        <v>778</v>
      </c>
      <c r="H4" s="3" t="s">
        <v>779</v>
      </c>
      <c r="I4" s="3" t="s">
        <v>780</v>
      </c>
      <c r="J4" s="3" t="s">
        <v>5</v>
      </c>
      <c r="K4" s="145"/>
      <c r="L4" s="162"/>
    </row>
    <row r="5" spans="2:11" ht="15">
      <c r="B5" s="167" t="s">
        <v>170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1:12" ht="12.75">
      <c r="A6" s="24" t="s">
        <v>778</v>
      </c>
      <c r="B6" s="64" t="s">
        <v>1197</v>
      </c>
      <c r="C6" s="6" t="s">
        <v>1198</v>
      </c>
      <c r="D6" s="6" t="s">
        <v>1208</v>
      </c>
      <c r="E6" s="6" t="s">
        <v>1199</v>
      </c>
      <c r="F6" s="6" t="s">
        <v>482</v>
      </c>
      <c r="G6" s="36" t="s">
        <v>1200</v>
      </c>
      <c r="H6" s="36" t="s">
        <v>1044</v>
      </c>
      <c r="I6" s="80" t="s">
        <v>1201</v>
      </c>
      <c r="J6" s="75"/>
      <c r="K6" s="55" t="s">
        <v>1044</v>
      </c>
      <c r="L6" s="6" t="s">
        <v>1210</v>
      </c>
    </row>
    <row r="8" spans="2:11" ht="15">
      <c r="B8" s="166" t="s">
        <v>26</v>
      </c>
      <c r="C8" s="142"/>
      <c r="D8" s="142"/>
      <c r="E8" s="142"/>
      <c r="F8" s="142"/>
      <c r="G8" s="142"/>
      <c r="H8" s="142"/>
      <c r="I8" s="142"/>
      <c r="J8" s="142"/>
      <c r="K8" s="142"/>
    </row>
    <row r="9" spans="1:12" ht="12.75">
      <c r="A9" s="24" t="s">
        <v>778</v>
      </c>
      <c r="B9" s="65" t="s">
        <v>1136</v>
      </c>
      <c r="C9" s="7" t="s">
        <v>1137</v>
      </c>
      <c r="D9" s="7" t="s">
        <v>1074</v>
      </c>
      <c r="E9" s="7" t="s">
        <v>10</v>
      </c>
      <c r="F9" s="7" t="s">
        <v>37</v>
      </c>
      <c r="G9" s="37" t="s">
        <v>1044</v>
      </c>
      <c r="H9" s="37" t="s">
        <v>1154</v>
      </c>
      <c r="I9" s="37" t="s">
        <v>1133</v>
      </c>
      <c r="J9" s="60"/>
      <c r="K9" s="56" t="s">
        <v>1133</v>
      </c>
      <c r="L9" s="7" t="s">
        <v>1440</v>
      </c>
    </row>
    <row r="10" spans="1:12" ht="12.75">
      <c r="A10" s="24" t="s">
        <v>779</v>
      </c>
      <c r="B10" s="67" t="s">
        <v>171</v>
      </c>
      <c r="C10" s="9" t="s">
        <v>1202</v>
      </c>
      <c r="D10" s="9" t="s">
        <v>1209</v>
      </c>
      <c r="E10" s="9" t="s">
        <v>10</v>
      </c>
      <c r="F10" s="9" t="s">
        <v>37</v>
      </c>
      <c r="G10" s="38" t="s">
        <v>998</v>
      </c>
      <c r="H10" s="38" t="s">
        <v>1155</v>
      </c>
      <c r="I10" s="38" t="s">
        <v>1057</v>
      </c>
      <c r="J10" s="77"/>
      <c r="K10" s="57" t="s">
        <v>1057</v>
      </c>
      <c r="L10" s="9" t="s">
        <v>13</v>
      </c>
    </row>
    <row r="12" spans="2:11" ht="15">
      <c r="B12" s="166" t="s">
        <v>1203</v>
      </c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2" ht="12.75">
      <c r="A13" s="24" t="s">
        <v>778</v>
      </c>
      <c r="B13" s="64" t="s">
        <v>15</v>
      </c>
      <c r="C13" s="6" t="s">
        <v>16</v>
      </c>
      <c r="D13" s="6" t="s">
        <v>919</v>
      </c>
      <c r="E13" s="6" t="s">
        <v>10</v>
      </c>
      <c r="F13" s="6" t="s">
        <v>17</v>
      </c>
      <c r="G13" s="36" t="s">
        <v>1200</v>
      </c>
      <c r="H13" s="36" t="s">
        <v>1044</v>
      </c>
      <c r="I13" s="89" t="s">
        <v>1154</v>
      </c>
      <c r="J13" s="75"/>
      <c r="K13" s="55" t="s">
        <v>1044</v>
      </c>
      <c r="L13" s="6" t="s">
        <v>938</v>
      </c>
    </row>
    <row r="15" spans="2:11" ht="15">
      <c r="B15" s="166" t="s">
        <v>1141</v>
      </c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2" ht="12.75">
      <c r="A16" s="24" t="s">
        <v>778</v>
      </c>
      <c r="B16" s="64" t="s">
        <v>1142</v>
      </c>
      <c r="C16" s="6" t="s">
        <v>1143</v>
      </c>
      <c r="D16" s="6" t="s">
        <v>438</v>
      </c>
      <c r="E16" s="6" t="s">
        <v>10</v>
      </c>
      <c r="F16" s="6" t="s">
        <v>1144</v>
      </c>
      <c r="G16" s="36" t="s">
        <v>822</v>
      </c>
      <c r="H16" s="36" t="s">
        <v>153</v>
      </c>
      <c r="I16" s="80" t="s">
        <v>1138</v>
      </c>
      <c r="J16" s="75"/>
      <c r="K16" s="55" t="s">
        <v>153</v>
      </c>
      <c r="L16" s="6" t="s">
        <v>13</v>
      </c>
    </row>
    <row r="18" spans="2:11" ht="15">
      <c r="B18" s="166" t="s">
        <v>50</v>
      </c>
      <c r="C18" s="142"/>
      <c r="D18" s="142"/>
      <c r="E18" s="142"/>
      <c r="F18" s="142"/>
      <c r="G18" s="142"/>
      <c r="H18" s="142"/>
      <c r="I18" s="142"/>
      <c r="J18" s="142"/>
      <c r="K18" s="142"/>
    </row>
    <row r="19" spans="1:12" ht="12.75">
      <c r="A19" s="24" t="s">
        <v>778</v>
      </c>
      <c r="B19" s="65" t="s">
        <v>1204</v>
      </c>
      <c r="C19" s="7" t="s">
        <v>1205</v>
      </c>
      <c r="D19" s="7" t="s">
        <v>719</v>
      </c>
      <c r="E19" s="7" t="s">
        <v>10</v>
      </c>
      <c r="F19" s="7" t="s">
        <v>1158</v>
      </c>
      <c r="G19" s="37" t="s">
        <v>1150</v>
      </c>
      <c r="H19" s="37" t="s">
        <v>844</v>
      </c>
      <c r="I19" s="62" t="s">
        <v>1151</v>
      </c>
      <c r="J19" s="60"/>
      <c r="K19" s="56" t="s">
        <v>844</v>
      </c>
      <c r="L19" s="7" t="s">
        <v>13</v>
      </c>
    </row>
    <row r="20" spans="1:12" ht="12.75">
      <c r="A20" s="24" t="s">
        <v>778</v>
      </c>
      <c r="B20" s="67" t="s">
        <v>1204</v>
      </c>
      <c r="C20" s="9" t="s">
        <v>1206</v>
      </c>
      <c r="D20" s="9" t="s">
        <v>719</v>
      </c>
      <c r="E20" s="9" t="s">
        <v>10</v>
      </c>
      <c r="F20" s="9" t="s">
        <v>1158</v>
      </c>
      <c r="G20" s="38" t="s">
        <v>1150</v>
      </c>
      <c r="H20" s="38" t="s">
        <v>844</v>
      </c>
      <c r="I20" s="78" t="s">
        <v>1151</v>
      </c>
      <c r="J20" s="77"/>
      <c r="K20" s="57" t="s">
        <v>844</v>
      </c>
      <c r="L20" s="9" t="s">
        <v>13</v>
      </c>
    </row>
    <row r="22" spans="2:11" ht="15">
      <c r="B22" s="166" t="s">
        <v>56</v>
      </c>
      <c r="C22" s="142"/>
      <c r="D22" s="142"/>
      <c r="E22" s="142"/>
      <c r="F22" s="142"/>
      <c r="G22" s="142"/>
      <c r="H22" s="142"/>
      <c r="I22" s="142"/>
      <c r="J22" s="142"/>
      <c r="K22" s="142"/>
    </row>
    <row r="23" spans="1:12" ht="12.75">
      <c r="A23" s="24" t="s">
        <v>778</v>
      </c>
      <c r="B23" s="64" t="s">
        <v>1186</v>
      </c>
      <c r="C23" s="6" t="s">
        <v>1187</v>
      </c>
      <c r="D23" s="6" t="s">
        <v>1193</v>
      </c>
      <c r="E23" s="6" t="s">
        <v>10</v>
      </c>
      <c r="F23" s="6" t="s">
        <v>37</v>
      </c>
      <c r="G23" s="36" t="s">
        <v>1150</v>
      </c>
      <c r="H23" s="36" t="s">
        <v>844</v>
      </c>
      <c r="I23" s="80" t="s">
        <v>1151</v>
      </c>
      <c r="J23" s="75"/>
      <c r="K23" s="55" t="s">
        <v>844</v>
      </c>
      <c r="L23" s="6" t="s">
        <v>1211</v>
      </c>
    </row>
    <row r="25" spans="2:11" ht="15">
      <c r="B25" s="166" t="s">
        <v>91</v>
      </c>
      <c r="C25" s="142"/>
      <c r="D25" s="142"/>
      <c r="E25" s="142"/>
      <c r="F25" s="142"/>
      <c r="G25" s="142"/>
      <c r="H25" s="142"/>
      <c r="I25" s="142"/>
      <c r="J25" s="142"/>
      <c r="K25" s="142"/>
    </row>
    <row r="26" spans="1:12" ht="12.75">
      <c r="A26" s="24" t="s">
        <v>778</v>
      </c>
      <c r="B26" s="65" t="s">
        <v>1188</v>
      </c>
      <c r="C26" s="7" t="s">
        <v>1189</v>
      </c>
      <c r="D26" s="7" t="s">
        <v>1194</v>
      </c>
      <c r="E26" s="7" t="s">
        <v>10</v>
      </c>
      <c r="F26" s="7" t="s">
        <v>37</v>
      </c>
      <c r="G26" s="37" t="s">
        <v>1151</v>
      </c>
      <c r="H26" s="37" t="s">
        <v>1207</v>
      </c>
      <c r="I26" s="62" t="s">
        <v>719</v>
      </c>
      <c r="J26" s="60"/>
      <c r="K26" s="56" t="s">
        <v>1207</v>
      </c>
      <c r="L26" s="7" t="s">
        <v>1211</v>
      </c>
    </row>
    <row r="27" spans="1:12" ht="12.75">
      <c r="A27" s="24" t="s">
        <v>779</v>
      </c>
      <c r="B27" s="67" t="s">
        <v>1147</v>
      </c>
      <c r="C27" s="9" t="s">
        <v>1159</v>
      </c>
      <c r="D27" s="9" t="s">
        <v>1153</v>
      </c>
      <c r="E27" s="9" t="s">
        <v>10</v>
      </c>
      <c r="F27" s="9" t="s">
        <v>191</v>
      </c>
      <c r="G27" s="38" t="s">
        <v>1145</v>
      </c>
      <c r="H27" s="38" t="s">
        <v>1146</v>
      </c>
      <c r="I27" s="78" t="s">
        <v>869</v>
      </c>
      <c r="J27" s="77"/>
      <c r="K27" s="57" t="s">
        <v>1146</v>
      </c>
      <c r="L27" s="9" t="s">
        <v>13</v>
      </c>
    </row>
    <row r="29" spans="2:11" ht="15">
      <c r="B29" s="166" t="s">
        <v>14</v>
      </c>
      <c r="C29" s="142"/>
      <c r="D29" s="142"/>
      <c r="E29" s="142"/>
      <c r="F29" s="142"/>
      <c r="G29" s="142"/>
      <c r="H29" s="142"/>
      <c r="I29" s="142"/>
      <c r="J29" s="142"/>
      <c r="K29" s="142"/>
    </row>
    <row r="30" spans="1:12" ht="12.75">
      <c r="A30" s="24" t="s">
        <v>778</v>
      </c>
      <c r="B30" s="64" t="s">
        <v>1147</v>
      </c>
      <c r="C30" s="6" t="s">
        <v>1148</v>
      </c>
      <c r="D30" s="6" t="s">
        <v>1153</v>
      </c>
      <c r="E30" s="6" t="s">
        <v>10</v>
      </c>
      <c r="F30" s="6" t="s">
        <v>191</v>
      </c>
      <c r="G30" s="36" t="s">
        <v>1145</v>
      </c>
      <c r="H30" s="36" t="s">
        <v>1146</v>
      </c>
      <c r="I30" s="80" t="s">
        <v>869</v>
      </c>
      <c r="J30" s="75"/>
      <c r="K30" s="55" t="s">
        <v>1146</v>
      </c>
      <c r="L30" s="6" t="s">
        <v>13</v>
      </c>
    </row>
    <row r="31" spans="8:11" ht="12.75">
      <c r="H31" s="24"/>
      <c r="I31" s="24"/>
      <c r="J31" s="24"/>
      <c r="K31" s="24"/>
    </row>
  </sheetData>
  <sheetProtection/>
  <mergeCells count="18">
    <mergeCell ref="B1:L2"/>
    <mergeCell ref="B3:B4"/>
    <mergeCell ref="C3:C4"/>
    <mergeCell ref="D3:D4"/>
    <mergeCell ref="E3:E4"/>
    <mergeCell ref="F3:F4"/>
    <mergeCell ref="G3:J3"/>
    <mergeCell ref="K3:K4"/>
    <mergeCell ref="B22:K22"/>
    <mergeCell ref="B25:K25"/>
    <mergeCell ref="B29:K29"/>
    <mergeCell ref="A3:A4"/>
    <mergeCell ref="L3:L4"/>
    <mergeCell ref="B5:K5"/>
    <mergeCell ref="B8:K8"/>
    <mergeCell ref="B12:K12"/>
    <mergeCell ref="B15:K15"/>
    <mergeCell ref="B18:K1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G39" sqref="G39"/>
    </sheetView>
  </sheetViews>
  <sheetFormatPr defaultColWidth="8.75390625" defaultRowHeight="12.75"/>
  <cols>
    <col min="1" max="1" width="9.125" style="25" customWidth="1"/>
    <col min="2" max="2" width="23.125" style="11" customWidth="1"/>
    <col min="3" max="3" width="27.75390625" style="11" customWidth="1"/>
    <col min="4" max="4" width="10.125" style="11" bestFit="1" customWidth="1"/>
    <col min="5" max="5" width="21.75390625" style="11" bestFit="1" customWidth="1"/>
    <col min="6" max="6" width="36.25390625" style="11" customWidth="1"/>
    <col min="7" max="9" width="5.625" style="11" bestFit="1" customWidth="1"/>
    <col min="10" max="10" width="4.625" style="11" bestFit="1" customWidth="1"/>
    <col min="11" max="11" width="11.375" style="35" customWidth="1"/>
    <col min="12" max="12" width="16.75390625" style="11" bestFit="1" customWidth="1"/>
  </cols>
  <sheetData>
    <row r="1" spans="1:12" s="1" customFormat="1" ht="15" customHeight="1">
      <c r="A1" s="24"/>
      <c r="B1" s="150" t="s">
        <v>1192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1" customFormat="1" ht="83.2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4</v>
      </c>
      <c r="F3" s="146" t="s">
        <v>1152</v>
      </c>
      <c r="G3" s="179" t="s">
        <v>710</v>
      </c>
      <c r="H3" s="179"/>
      <c r="I3" s="179"/>
      <c r="J3" s="148"/>
      <c r="K3" s="144" t="s">
        <v>676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3" t="s">
        <v>778</v>
      </c>
      <c r="H4" s="3" t="s">
        <v>779</v>
      </c>
      <c r="I4" s="3" t="s">
        <v>780</v>
      </c>
      <c r="J4" s="3" t="s">
        <v>5</v>
      </c>
      <c r="K4" s="145"/>
      <c r="L4" s="162"/>
    </row>
    <row r="5" spans="2:11" ht="15">
      <c r="B5" s="163" t="s">
        <v>170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1:12" ht="12.75">
      <c r="A6" s="25">
        <v>1</v>
      </c>
      <c r="B6" s="15" t="s">
        <v>1179</v>
      </c>
      <c r="C6" s="15" t="s">
        <v>1180</v>
      </c>
      <c r="D6" s="15" t="s">
        <v>19</v>
      </c>
      <c r="E6" s="15" t="s">
        <v>325</v>
      </c>
      <c r="F6" s="15" t="s">
        <v>740</v>
      </c>
      <c r="G6" s="36" t="s">
        <v>438</v>
      </c>
      <c r="H6" s="36" t="s">
        <v>441</v>
      </c>
      <c r="I6" s="36" t="s">
        <v>186</v>
      </c>
      <c r="J6" s="39" t="s">
        <v>187</v>
      </c>
      <c r="K6" s="32">
        <v>85</v>
      </c>
      <c r="L6" s="15" t="s">
        <v>866</v>
      </c>
    </row>
    <row r="8" spans="2:11" ht="15">
      <c r="B8" s="142" t="s">
        <v>1141</v>
      </c>
      <c r="C8" s="142"/>
      <c r="D8" s="142"/>
      <c r="E8" s="142"/>
      <c r="F8" s="142"/>
      <c r="G8" s="142"/>
      <c r="H8" s="142"/>
      <c r="I8" s="142"/>
      <c r="J8" s="142"/>
      <c r="K8" s="142"/>
    </row>
    <row r="9" spans="1:12" ht="12.75">
      <c r="A9" s="25">
        <v>1</v>
      </c>
      <c r="B9" s="13" t="s">
        <v>1181</v>
      </c>
      <c r="C9" s="13" t="s">
        <v>1182</v>
      </c>
      <c r="D9" s="13" t="s">
        <v>20</v>
      </c>
      <c r="E9" s="13" t="s">
        <v>10</v>
      </c>
      <c r="F9" s="13" t="s">
        <v>1104</v>
      </c>
      <c r="G9" s="37" t="s">
        <v>206</v>
      </c>
      <c r="H9" s="37" t="s">
        <v>41</v>
      </c>
      <c r="I9" s="37" t="s">
        <v>11</v>
      </c>
      <c r="J9" s="29"/>
      <c r="K9" s="33">
        <v>140</v>
      </c>
      <c r="L9" s="13" t="s">
        <v>1195</v>
      </c>
    </row>
    <row r="10" spans="1:12" ht="12.75">
      <c r="A10" s="25">
        <v>1</v>
      </c>
      <c r="B10" s="14" t="s">
        <v>1142</v>
      </c>
      <c r="C10" s="14" t="s">
        <v>1143</v>
      </c>
      <c r="D10" s="14" t="s">
        <v>438</v>
      </c>
      <c r="E10" s="14" t="s">
        <v>10</v>
      </c>
      <c r="F10" s="14" t="s">
        <v>1144</v>
      </c>
      <c r="G10" s="46" t="s">
        <v>206</v>
      </c>
      <c r="H10" s="38" t="s">
        <v>206</v>
      </c>
      <c r="I10" s="46" t="s">
        <v>213</v>
      </c>
      <c r="J10" s="31"/>
      <c r="K10" s="34">
        <v>110</v>
      </c>
      <c r="L10" s="14" t="s">
        <v>13</v>
      </c>
    </row>
    <row r="12" spans="2:11" ht="15">
      <c r="B12" s="142" t="s">
        <v>1183</v>
      </c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2" ht="12.75">
      <c r="A13" s="25">
        <v>1</v>
      </c>
      <c r="B13" s="15" t="s">
        <v>1102</v>
      </c>
      <c r="C13" s="15" t="s">
        <v>1103</v>
      </c>
      <c r="D13" s="15" t="s">
        <v>1119</v>
      </c>
      <c r="E13" s="15" t="s">
        <v>10</v>
      </c>
      <c r="F13" s="15" t="s">
        <v>1104</v>
      </c>
      <c r="G13" s="36" t="s">
        <v>206</v>
      </c>
      <c r="H13" s="36" t="s">
        <v>213</v>
      </c>
      <c r="I13" s="39" t="s">
        <v>40</v>
      </c>
      <c r="J13" s="26"/>
      <c r="K13" s="32">
        <v>120</v>
      </c>
      <c r="L13" s="15" t="s">
        <v>13</v>
      </c>
    </row>
    <row r="15" spans="2:11" ht="15">
      <c r="B15" s="142" t="s">
        <v>50</v>
      </c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2" ht="12.75">
      <c r="A16" s="25">
        <v>1</v>
      </c>
      <c r="B16" s="15" t="s">
        <v>1156</v>
      </c>
      <c r="C16" s="15" t="s">
        <v>1157</v>
      </c>
      <c r="D16" s="15" t="s">
        <v>757</v>
      </c>
      <c r="E16" s="15" t="s">
        <v>10</v>
      </c>
      <c r="F16" s="15" t="s">
        <v>1158</v>
      </c>
      <c r="G16" s="36" t="s">
        <v>12</v>
      </c>
      <c r="H16" s="36" t="s">
        <v>253</v>
      </c>
      <c r="I16" s="36" t="s">
        <v>268</v>
      </c>
      <c r="J16" s="26"/>
      <c r="K16" s="32">
        <v>162.5</v>
      </c>
      <c r="L16" s="15" t="s">
        <v>1196</v>
      </c>
    </row>
    <row r="18" spans="2:11" ht="15">
      <c r="B18" s="142" t="s">
        <v>56</v>
      </c>
      <c r="C18" s="142"/>
      <c r="D18" s="142"/>
      <c r="E18" s="142"/>
      <c r="F18" s="142"/>
      <c r="G18" s="142"/>
      <c r="H18" s="142"/>
      <c r="I18" s="142"/>
      <c r="J18" s="142"/>
      <c r="K18" s="142"/>
    </row>
    <row r="19" spans="1:12" ht="12.75">
      <c r="A19" s="25">
        <v>1</v>
      </c>
      <c r="B19" s="13" t="s">
        <v>1184</v>
      </c>
      <c r="C19" s="13" t="s">
        <v>1185</v>
      </c>
      <c r="D19" s="13" t="s">
        <v>704</v>
      </c>
      <c r="E19" s="13" t="s">
        <v>10</v>
      </c>
      <c r="F19" s="13" t="s">
        <v>696</v>
      </c>
      <c r="G19" s="37" t="s">
        <v>200</v>
      </c>
      <c r="H19" s="37" t="s">
        <v>54</v>
      </c>
      <c r="I19" s="37" t="s">
        <v>60</v>
      </c>
      <c r="J19" s="29"/>
      <c r="K19" s="33">
        <v>170</v>
      </c>
      <c r="L19" s="13" t="s">
        <v>13</v>
      </c>
    </row>
    <row r="20" spans="1:12" ht="12.75">
      <c r="A20" s="25">
        <v>2</v>
      </c>
      <c r="B20" s="14" t="s">
        <v>1186</v>
      </c>
      <c r="C20" s="14" t="s">
        <v>1187</v>
      </c>
      <c r="D20" s="14" t="s">
        <v>1193</v>
      </c>
      <c r="E20" s="14" t="s">
        <v>10</v>
      </c>
      <c r="F20" s="14" t="s">
        <v>696</v>
      </c>
      <c r="G20" s="38" t="s">
        <v>12</v>
      </c>
      <c r="H20" s="38" t="s">
        <v>54</v>
      </c>
      <c r="I20" s="46" t="s">
        <v>60</v>
      </c>
      <c r="J20" s="31"/>
      <c r="K20" s="34">
        <v>160</v>
      </c>
      <c r="L20" s="14" t="s">
        <v>13</v>
      </c>
    </row>
    <row r="22" spans="2:11" ht="15">
      <c r="B22" s="142" t="s">
        <v>91</v>
      </c>
      <c r="C22" s="142"/>
      <c r="D22" s="142"/>
      <c r="E22" s="142"/>
      <c r="F22" s="142"/>
      <c r="G22" s="142"/>
      <c r="H22" s="142"/>
      <c r="I22" s="142"/>
      <c r="J22" s="142"/>
      <c r="K22" s="142"/>
    </row>
    <row r="23" spans="1:12" ht="12.75">
      <c r="A23" s="25">
        <v>1</v>
      </c>
      <c r="B23" s="13" t="s">
        <v>1188</v>
      </c>
      <c r="C23" s="13" t="s">
        <v>1189</v>
      </c>
      <c r="D23" s="13" t="s">
        <v>1194</v>
      </c>
      <c r="E23" s="13" t="s">
        <v>10</v>
      </c>
      <c r="F23" s="13" t="s">
        <v>696</v>
      </c>
      <c r="G23" s="37" t="s">
        <v>72</v>
      </c>
      <c r="H23" s="37" t="s">
        <v>55</v>
      </c>
      <c r="I23" s="37" t="s">
        <v>61</v>
      </c>
      <c r="J23" s="29"/>
      <c r="K23" s="33">
        <v>185</v>
      </c>
      <c r="L23" s="13" t="s">
        <v>13</v>
      </c>
    </row>
    <row r="24" spans="1:12" ht="12.75">
      <c r="A24" s="25">
        <v>2</v>
      </c>
      <c r="B24" s="17" t="s">
        <v>1163</v>
      </c>
      <c r="C24" s="17" t="s">
        <v>1164</v>
      </c>
      <c r="D24" s="17" t="s">
        <v>1166</v>
      </c>
      <c r="E24" s="17" t="s">
        <v>10</v>
      </c>
      <c r="F24" s="17" t="s">
        <v>1165</v>
      </c>
      <c r="G24" s="43" t="s">
        <v>90</v>
      </c>
      <c r="H24" s="43" t="s">
        <v>108</v>
      </c>
      <c r="I24" s="43" t="s">
        <v>61</v>
      </c>
      <c r="J24" s="41"/>
      <c r="K24" s="42">
        <v>185</v>
      </c>
      <c r="L24" s="17" t="s">
        <v>13</v>
      </c>
    </row>
    <row r="25" spans="1:12" ht="12.75">
      <c r="A25" s="25">
        <v>3</v>
      </c>
      <c r="B25" s="17" t="s">
        <v>1190</v>
      </c>
      <c r="C25" s="17" t="s">
        <v>1191</v>
      </c>
      <c r="D25" s="17" t="s">
        <v>931</v>
      </c>
      <c r="E25" s="17" t="s">
        <v>10</v>
      </c>
      <c r="F25" s="17" t="s">
        <v>696</v>
      </c>
      <c r="G25" s="43" t="s">
        <v>239</v>
      </c>
      <c r="H25" s="43" t="s">
        <v>268</v>
      </c>
      <c r="I25" s="88" t="s">
        <v>72</v>
      </c>
      <c r="J25" s="41"/>
      <c r="K25" s="42">
        <v>162.5</v>
      </c>
      <c r="L25" s="17" t="s">
        <v>13</v>
      </c>
    </row>
    <row r="26" spans="1:12" ht="12.75">
      <c r="A26" s="25">
        <v>4</v>
      </c>
      <c r="B26" s="14" t="s">
        <v>1147</v>
      </c>
      <c r="C26" s="14" t="s">
        <v>1159</v>
      </c>
      <c r="D26" s="14" t="s">
        <v>1153</v>
      </c>
      <c r="E26" s="14" t="s">
        <v>10</v>
      </c>
      <c r="F26" s="14" t="s">
        <v>191</v>
      </c>
      <c r="G26" s="38" t="s">
        <v>11</v>
      </c>
      <c r="H26" s="38" t="s">
        <v>12</v>
      </c>
      <c r="I26" s="46" t="s">
        <v>54</v>
      </c>
      <c r="J26" s="31"/>
      <c r="K26" s="34">
        <v>150</v>
      </c>
      <c r="L26" s="14" t="s">
        <v>13</v>
      </c>
    </row>
    <row r="28" spans="2:11" ht="15">
      <c r="B28" s="142" t="s">
        <v>14</v>
      </c>
      <c r="C28" s="142"/>
      <c r="D28" s="142"/>
      <c r="E28" s="142"/>
      <c r="F28" s="142"/>
      <c r="G28" s="142"/>
      <c r="H28" s="142"/>
      <c r="I28" s="142"/>
      <c r="J28" s="142"/>
      <c r="K28" s="142"/>
    </row>
    <row r="29" spans="1:12" ht="12.75">
      <c r="A29" s="25">
        <v>1</v>
      </c>
      <c r="B29" s="15" t="s">
        <v>1147</v>
      </c>
      <c r="C29" s="15" t="s">
        <v>1148</v>
      </c>
      <c r="D29" s="15" t="s">
        <v>1153</v>
      </c>
      <c r="E29" s="15" t="s">
        <v>10</v>
      </c>
      <c r="F29" s="15" t="s">
        <v>191</v>
      </c>
      <c r="G29" s="36" t="s">
        <v>11</v>
      </c>
      <c r="H29" s="36" t="s">
        <v>12</v>
      </c>
      <c r="I29" s="39" t="s">
        <v>54</v>
      </c>
      <c r="J29" s="26"/>
      <c r="K29" s="32">
        <v>150</v>
      </c>
      <c r="L29" s="15" t="s">
        <v>13</v>
      </c>
    </row>
    <row r="31" spans="2:3" ht="18">
      <c r="B31" s="12" t="s">
        <v>137</v>
      </c>
      <c r="C31" s="12"/>
    </row>
    <row r="32" spans="2:3" ht="14.25">
      <c r="B32" s="20"/>
      <c r="C32" s="21" t="s">
        <v>1423</v>
      </c>
    </row>
    <row r="33" spans="2:5" ht="15">
      <c r="B33" s="22" t="s">
        <v>139</v>
      </c>
      <c r="C33" s="22" t="s">
        <v>140</v>
      </c>
      <c r="D33" s="22" t="s">
        <v>141</v>
      </c>
      <c r="E33" s="22" t="s">
        <v>676</v>
      </c>
    </row>
    <row r="34" spans="1:5" ht="12.75">
      <c r="A34" s="25">
        <v>1</v>
      </c>
      <c r="B34" s="19" t="s">
        <v>1188</v>
      </c>
      <c r="C34" s="48" t="s">
        <v>138</v>
      </c>
      <c r="D34" s="49" t="s">
        <v>206</v>
      </c>
      <c r="E34" s="49" t="s">
        <v>61</v>
      </c>
    </row>
    <row r="35" spans="1:5" ht="12.75">
      <c r="A35" s="25">
        <v>2</v>
      </c>
      <c r="B35" s="19" t="s">
        <v>1163</v>
      </c>
      <c r="C35" s="48" t="s">
        <v>138</v>
      </c>
      <c r="D35" s="49" t="s">
        <v>790</v>
      </c>
      <c r="E35" s="49" t="s">
        <v>61</v>
      </c>
    </row>
    <row r="36" spans="1:5" ht="12.75">
      <c r="A36" s="25">
        <v>3</v>
      </c>
      <c r="B36" s="19" t="s">
        <v>1184</v>
      </c>
      <c r="C36" s="48" t="s">
        <v>138</v>
      </c>
      <c r="D36" s="49" t="s">
        <v>772</v>
      </c>
      <c r="E36" s="49" t="s">
        <v>60</v>
      </c>
    </row>
    <row r="37" spans="3:5" ht="12.75">
      <c r="C37" s="48"/>
      <c r="D37" s="48"/>
      <c r="E37" s="48"/>
    </row>
  </sheetData>
  <sheetProtection/>
  <mergeCells count="17">
    <mergeCell ref="B1:L2"/>
    <mergeCell ref="B3:B4"/>
    <mergeCell ref="C3:C4"/>
    <mergeCell ref="D3:D4"/>
    <mergeCell ref="E3:E4"/>
    <mergeCell ref="F3:F4"/>
    <mergeCell ref="G3:J3"/>
    <mergeCell ref="K3:K4"/>
    <mergeCell ref="B22:K22"/>
    <mergeCell ref="B28:K28"/>
    <mergeCell ref="A3:A4"/>
    <mergeCell ref="L3:L4"/>
    <mergeCell ref="B5:K5"/>
    <mergeCell ref="B8:K8"/>
    <mergeCell ref="B12:K12"/>
    <mergeCell ref="B15:K15"/>
    <mergeCell ref="B18:K1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40" sqref="F40"/>
    </sheetView>
  </sheetViews>
  <sheetFormatPr defaultColWidth="8.75390625" defaultRowHeight="12.75"/>
  <cols>
    <col min="1" max="1" width="9.125" style="25" customWidth="1"/>
    <col min="2" max="2" width="23.125" style="11" customWidth="1"/>
    <col min="3" max="3" width="25.875" style="11" customWidth="1"/>
    <col min="4" max="4" width="10.125" style="11" bestFit="1" customWidth="1"/>
    <col min="5" max="5" width="21.75390625" style="11" bestFit="1" customWidth="1"/>
    <col min="6" max="6" width="30.125" style="11" bestFit="1" customWidth="1"/>
    <col min="7" max="8" width="4.625" style="11" bestFit="1" customWidth="1"/>
    <col min="9" max="10" width="5.625" style="11" bestFit="1" customWidth="1"/>
    <col min="11" max="11" width="10.625" style="35" customWidth="1"/>
    <col min="12" max="12" width="19.00390625" style="11" customWidth="1"/>
  </cols>
  <sheetData>
    <row r="1" spans="1:12" s="1" customFormat="1" ht="15" customHeight="1">
      <c r="A1" s="24"/>
      <c r="B1" s="150" t="s">
        <v>1167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1" customFormat="1" ht="83.2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4</v>
      </c>
      <c r="F3" s="146" t="s">
        <v>1152</v>
      </c>
      <c r="G3" s="179" t="s">
        <v>710</v>
      </c>
      <c r="H3" s="179"/>
      <c r="I3" s="179"/>
      <c r="J3" s="148"/>
      <c r="K3" s="144" t="s">
        <v>676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3" t="s">
        <v>778</v>
      </c>
      <c r="H4" s="3" t="s">
        <v>779</v>
      </c>
      <c r="I4" s="3" t="s">
        <v>780</v>
      </c>
      <c r="J4" s="3" t="s">
        <v>5</v>
      </c>
      <c r="K4" s="145"/>
      <c r="L4" s="162"/>
    </row>
    <row r="5" spans="2:11" ht="15">
      <c r="B5" s="163" t="s">
        <v>26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1:12" ht="12.75">
      <c r="A6" s="25">
        <v>1</v>
      </c>
      <c r="B6" s="13" t="s">
        <v>1136</v>
      </c>
      <c r="C6" s="13" t="s">
        <v>1137</v>
      </c>
      <c r="D6" s="13" t="s">
        <v>1074</v>
      </c>
      <c r="E6" s="13" t="s">
        <v>10</v>
      </c>
      <c r="F6" s="13" t="s">
        <v>696</v>
      </c>
      <c r="G6" s="37" t="s">
        <v>1044</v>
      </c>
      <c r="H6" s="37" t="s">
        <v>1154</v>
      </c>
      <c r="I6" s="37" t="s">
        <v>822</v>
      </c>
      <c r="J6" s="37" t="s">
        <v>1134</v>
      </c>
      <c r="K6" s="33">
        <v>49</v>
      </c>
      <c r="L6" s="13" t="s">
        <v>1440</v>
      </c>
    </row>
    <row r="7" spans="1:12" ht="12.75">
      <c r="A7" s="25">
        <v>2</v>
      </c>
      <c r="B7" s="14" t="s">
        <v>1125</v>
      </c>
      <c r="C7" s="14" t="s">
        <v>1126</v>
      </c>
      <c r="D7" s="14" t="s">
        <v>1131</v>
      </c>
      <c r="E7" s="14" t="s">
        <v>10</v>
      </c>
      <c r="F7" s="14" t="s">
        <v>696</v>
      </c>
      <c r="G7" s="38" t="s">
        <v>1155</v>
      </c>
      <c r="H7" s="38" t="s">
        <v>1057</v>
      </c>
      <c r="I7" s="38" t="s">
        <v>1044</v>
      </c>
      <c r="J7" s="31"/>
      <c r="K7" s="34">
        <v>39</v>
      </c>
      <c r="L7" s="14" t="s">
        <v>13</v>
      </c>
    </row>
    <row r="9" spans="2:11" ht="15">
      <c r="B9" s="142" t="s">
        <v>1141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1:12" ht="12.75">
      <c r="A10" s="25">
        <v>1</v>
      </c>
      <c r="B10" s="15" t="s">
        <v>1142</v>
      </c>
      <c r="C10" s="15" t="s">
        <v>1143</v>
      </c>
      <c r="D10" s="15" t="s">
        <v>438</v>
      </c>
      <c r="E10" s="15" t="s">
        <v>10</v>
      </c>
      <c r="F10" s="15" t="s">
        <v>1144</v>
      </c>
      <c r="G10" s="39" t="s">
        <v>822</v>
      </c>
      <c r="H10" s="36" t="s">
        <v>822</v>
      </c>
      <c r="I10" s="39" t="s">
        <v>153</v>
      </c>
      <c r="J10" s="26"/>
      <c r="K10" s="32">
        <v>49</v>
      </c>
      <c r="L10" s="15" t="s">
        <v>13</v>
      </c>
    </row>
    <row r="12" spans="2:11" ht="15">
      <c r="B12" s="142" t="s">
        <v>50</v>
      </c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2" ht="12.75">
      <c r="A13" s="25">
        <v>1</v>
      </c>
      <c r="B13" s="15" t="s">
        <v>1156</v>
      </c>
      <c r="C13" s="15" t="s">
        <v>1157</v>
      </c>
      <c r="D13" s="15" t="s">
        <v>757</v>
      </c>
      <c r="E13" s="15" t="s">
        <v>10</v>
      </c>
      <c r="F13" s="15" t="s">
        <v>1158</v>
      </c>
      <c r="G13" s="36" t="s">
        <v>697</v>
      </c>
      <c r="H13" s="39" t="s">
        <v>869</v>
      </c>
      <c r="I13" s="39" t="s">
        <v>869</v>
      </c>
      <c r="J13" s="26"/>
      <c r="K13" s="32">
        <v>59</v>
      </c>
      <c r="L13" s="15" t="s">
        <v>1168</v>
      </c>
    </row>
    <row r="15" spans="2:11" ht="15">
      <c r="B15" s="142" t="s">
        <v>91</v>
      </c>
      <c r="C15" s="142"/>
      <c r="D15" s="142"/>
      <c r="E15" s="142"/>
      <c r="F15" s="142"/>
      <c r="G15" s="142"/>
      <c r="H15" s="142"/>
      <c r="I15" s="142"/>
      <c r="J15" s="142"/>
      <c r="K15" s="142"/>
    </row>
    <row r="16" spans="1:12" ht="12.75">
      <c r="A16" s="25">
        <v>1</v>
      </c>
      <c r="B16" s="13" t="s">
        <v>1147</v>
      </c>
      <c r="C16" s="13" t="s">
        <v>1159</v>
      </c>
      <c r="D16" s="13" t="s">
        <v>1153</v>
      </c>
      <c r="E16" s="13" t="s">
        <v>10</v>
      </c>
      <c r="F16" s="13" t="s">
        <v>191</v>
      </c>
      <c r="G16" s="37" t="s">
        <v>869</v>
      </c>
      <c r="H16" s="37" t="s">
        <v>1160</v>
      </c>
      <c r="I16" s="37" t="s">
        <v>1161</v>
      </c>
      <c r="J16" s="37" t="s">
        <v>1162</v>
      </c>
      <c r="K16" s="33">
        <v>104</v>
      </c>
      <c r="L16" s="13" t="s">
        <v>13</v>
      </c>
    </row>
    <row r="17" spans="1:12" ht="12.75">
      <c r="A17" s="25">
        <v>2</v>
      </c>
      <c r="B17" s="14" t="s">
        <v>1163</v>
      </c>
      <c r="C17" s="14" t="s">
        <v>1164</v>
      </c>
      <c r="D17" s="14" t="s">
        <v>1166</v>
      </c>
      <c r="E17" s="14" t="s">
        <v>10</v>
      </c>
      <c r="F17" s="14" t="s">
        <v>1165</v>
      </c>
      <c r="G17" s="38" t="s">
        <v>822</v>
      </c>
      <c r="H17" s="38" t="s">
        <v>697</v>
      </c>
      <c r="I17" s="38" t="s">
        <v>1139</v>
      </c>
      <c r="J17" s="31"/>
      <c r="K17" s="34">
        <v>64</v>
      </c>
      <c r="L17" s="14" t="s">
        <v>13</v>
      </c>
    </row>
    <row r="19" spans="2:11" ht="15">
      <c r="B19" s="142" t="s">
        <v>14</v>
      </c>
      <c r="C19" s="142"/>
      <c r="D19" s="142"/>
      <c r="E19" s="142"/>
      <c r="F19" s="142"/>
      <c r="G19" s="142"/>
      <c r="H19" s="142"/>
      <c r="I19" s="142"/>
      <c r="J19" s="142"/>
      <c r="K19" s="142"/>
    </row>
    <row r="20" spans="1:12" ht="12.75">
      <c r="A20" s="25">
        <v>1</v>
      </c>
      <c r="B20" s="15" t="s">
        <v>1147</v>
      </c>
      <c r="C20" s="15" t="s">
        <v>1148</v>
      </c>
      <c r="D20" s="15" t="s">
        <v>1153</v>
      </c>
      <c r="E20" s="15" t="s">
        <v>10</v>
      </c>
      <c r="F20" s="15" t="s">
        <v>191</v>
      </c>
      <c r="G20" s="36" t="s">
        <v>869</v>
      </c>
      <c r="H20" s="36" t="s">
        <v>1160</v>
      </c>
      <c r="I20" s="36" t="s">
        <v>1161</v>
      </c>
      <c r="J20" s="36" t="s">
        <v>1162</v>
      </c>
      <c r="K20" s="32">
        <v>104</v>
      </c>
      <c r="L20" s="15" t="s">
        <v>13</v>
      </c>
    </row>
  </sheetData>
  <sheetProtection/>
  <mergeCells count="15">
    <mergeCell ref="B19:K19"/>
    <mergeCell ref="B1:L2"/>
    <mergeCell ref="B3:B4"/>
    <mergeCell ref="C3:C4"/>
    <mergeCell ref="D3:D4"/>
    <mergeCell ref="E3:E4"/>
    <mergeCell ref="F3:F4"/>
    <mergeCell ref="G3:J3"/>
    <mergeCell ref="K3:K4"/>
    <mergeCell ref="A3:A4"/>
    <mergeCell ref="L3:L4"/>
    <mergeCell ref="B5:K5"/>
    <mergeCell ref="B9:K9"/>
    <mergeCell ref="B12:K12"/>
    <mergeCell ref="B15:K1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E2">
      <selection activeCell="C36" sqref="C36"/>
    </sheetView>
  </sheetViews>
  <sheetFormatPr defaultColWidth="8.75390625" defaultRowHeight="12.75"/>
  <cols>
    <col min="1" max="1" width="7.00390625" style="25" customWidth="1"/>
    <col min="2" max="2" width="21.25390625" style="11" customWidth="1"/>
    <col min="3" max="3" width="27.25390625" style="11" bestFit="1" customWidth="1"/>
    <col min="4" max="4" width="10.125" style="11" bestFit="1" customWidth="1"/>
    <col min="5" max="5" width="8.25390625" style="11" bestFit="1" customWidth="1"/>
    <col min="6" max="6" width="18.25390625" style="11" customWidth="1"/>
    <col min="7" max="7" width="37.25390625" style="11" customWidth="1"/>
    <col min="8" max="14" width="5.625" style="11" bestFit="1" customWidth="1"/>
    <col min="15" max="15" width="4.25390625" style="11" bestFit="1" customWidth="1"/>
    <col min="16" max="18" width="5.625" style="11" bestFit="1" customWidth="1"/>
    <col min="19" max="19" width="4.25390625" style="11" bestFit="1" customWidth="1"/>
    <col min="20" max="20" width="7.75390625" style="35" bestFit="1" customWidth="1"/>
    <col min="21" max="21" width="8.625" style="11" bestFit="1" customWidth="1"/>
    <col min="22" max="22" width="16.00390625" style="11" customWidth="1"/>
  </cols>
  <sheetData>
    <row r="1" spans="1:22" s="1" customFormat="1" ht="15" customHeight="1">
      <c r="A1" s="24"/>
      <c r="B1" s="150" t="s">
        <v>788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2"/>
    </row>
    <row r="2" spans="1:22" s="1" customFormat="1" ht="86.2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1:2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6" t="s">
        <v>709</v>
      </c>
      <c r="M3" s="146"/>
      <c r="N3" s="146"/>
      <c r="O3" s="146"/>
      <c r="P3" s="146" t="s">
        <v>710</v>
      </c>
      <c r="Q3" s="146"/>
      <c r="R3" s="146"/>
      <c r="S3" s="146"/>
      <c r="T3" s="144" t="s">
        <v>1</v>
      </c>
      <c r="U3" s="146" t="s">
        <v>3</v>
      </c>
      <c r="V3" s="161" t="s">
        <v>2</v>
      </c>
    </row>
    <row r="4" spans="1:2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778</v>
      </c>
      <c r="I4" s="3" t="s">
        <v>779</v>
      </c>
      <c r="J4" s="3" t="s">
        <v>780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145"/>
      <c r="U4" s="147"/>
      <c r="V4" s="162"/>
    </row>
    <row r="5" spans="2:21" ht="15">
      <c r="B5" s="163" t="s">
        <v>164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2" ht="12.75">
      <c r="A6" s="25">
        <v>1</v>
      </c>
      <c r="B6" s="13" t="s">
        <v>552</v>
      </c>
      <c r="C6" s="13" t="s">
        <v>553</v>
      </c>
      <c r="D6" s="13" t="s">
        <v>781</v>
      </c>
      <c r="E6" s="13" t="str">
        <f>"1,1900"</f>
        <v>1,1900</v>
      </c>
      <c r="F6" s="13" t="s">
        <v>75</v>
      </c>
      <c r="G6" s="13" t="s">
        <v>76</v>
      </c>
      <c r="H6" s="37" t="s">
        <v>206</v>
      </c>
      <c r="I6" s="44" t="s">
        <v>213</v>
      </c>
      <c r="J6" s="44" t="s">
        <v>213</v>
      </c>
      <c r="K6" s="29"/>
      <c r="L6" s="37" t="s">
        <v>19</v>
      </c>
      <c r="M6" s="44" t="s">
        <v>20</v>
      </c>
      <c r="N6" s="44" t="s">
        <v>20</v>
      </c>
      <c r="O6" s="29"/>
      <c r="P6" s="37" t="s">
        <v>206</v>
      </c>
      <c r="Q6" s="37" t="s">
        <v>213</v>
      </c>
      <c r="R6" s="44" t="s">
        <v>41</v>
      </c>
      <c r="S6" s="29"/>
      <c r="T6" s="33">
        <v>290</v>
      </c>
      <c r="U6" s="28" t="str">
        <f>"345,1000"</f>
        <v>345,1000</v>
      </c>
      <c r="V6" s="13" t="s">
        <v>749</v>
      </c>
    </row>
    <row r="7" spans="1:22" ht="12.75">
      <c r="A7" s="25">
        <v>2</v>
      </c>
      <c r="B7" s="17" t="s">
        <v>554</v>
      </c>
      <c r="C7" s="17" t="s">
        <v>555</v>
      </c>
      <c r="D7" s="17" t="s">
        <v>679</v>
      </c>
      <c r="E7" s="17" t="str">
        <f>"1,1967"</f>
        <v>1,1967</v>
      </c>
      <c r="F7" s="17" t="s">
        <v>45</v>
      </c>
      <c r="G7" s="17" t="s">
        <v>466</v>
      </c>
      <c r="H7" s="43" t="s">
        <v>193</v>
      </c>
      <c r="I7" s="41"/>
      <c r="J7" s="41"/>
      <c r="K7" s="41"/>
      <c r="L7" s="43" t="s">
        <v>442</v>
      </c>
      <c r="M7" s="43" t="s">
        <v>434</v>
      </c>
      <c r="N7" s="43" t="s">
        <v>18</v>
      </c>
      <c r="O7" s="41"/>
      <c r="P7" s="43" t="s">
        <v>186</v>
      </c>
      <c r="Q7" s="43" t="s">
        <v>501</v>
      </c>
      <c r="R7" s="43" t="s">
        <v>556</v>
      </c>
      <c r="S7" s="41"/>
      <c r="T7" s="42">
        <v>220</v>
      </c>
      <c r="U7" s="40" t="str">
        <f>"263,2740"</f>
        <v>263,2740</v>
      </c>
      <c r="V7" s="17" t="s">
        <v>557</v>
      </c>
    </row>
    <row r="8" spans="1:22" ht="12.75">
      <c r="A8" s="25">
        <v>1</v>
      </c>
      <c r="B8" s="14" t="s">
        <v>554</v>
      </c>
      <c r="C8" s="14" t="s">
        <v>558</v>
      </c>
      <c r="D8" s="14" t="s">
        <v>679</v>
      </c>
      <c r="E8" s="14" t="str">
        <f>"1,1967"</f>
        <v>1,1967</v>
      </c>
      <c r="F8" s="14" t="s">
        <v>45</v>
      </c>
      <c r="G8" s="14" t="s">
        <v>466</v>
      </c>
      <c r="H8" s="38" t="s">
        <v>193</v>
      </c>
      <c r="I8" s="31"/>
      <c r="J8" s="31"/>
      <c r="K8" s="31"/>
      <c r="L8" s="38" t="s">
        <v>442</v>
      </c>
      <c r="M8" s="38" t="s">
        <v>434</v>
      </c>
      <c r="N8" s="38" t="s">
        <v>18</v>
      </c>
      <c r="O8" s="31"/>
      <c r="P8" s="38" t="s">
        <v>186</v>
      </c>
      <c r="Q8" s="38" t="s">
        <v>501</v>
      </c>
      <c r="R8" s="38" t="s">
        <v>556</v>
      </c>
      <c r="S8" s="31"/>
      <c r="T8" s="34">
        <v>220</v>
      </c>
      <c r="U8" s="30" t="str">
        <f>"263,2740"</f>
        <v>263,2740</v>
      </c>
      <c r="V8" s="14" t="s">
        <v>557</v>
      </c>
    </row>
    <row r="10" spans="2:21" ht="15">
      <c r="B10" s="142" t="s">
        <v>14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</row>
    <row r="11" spans="1:22" ht="12.75">
      <c r="A11" s="25">
        <v>1</v>
      </c>
      <c r="B11" s="15" t="s">
        <v>559</v>
      </c>
      <c r="C11" s="15" t="s">
        <v>560</v>
      </c>
      <c r="D11" s="15" t="s">
        <v>782</v>
      </c>
      <c r="E11" s="15" t="str">
        <f>"0,8028"</f>
        <v>0,8028</v>
      </c>
      <c r="F11" s="15" t="s">
        <v>561</v>
      </c>
      <c r="G11" s="15" t="s">
        <v>696</v>
      </c>
      <c r="H11" s="39" t="s">
        <v>108</v>
      </c>
      <c r="I11" s="36" t="s">
        <v>108</v>
      </c>
      <c r="J11" s="36" t="s">
        <v>61</v>
      </c>
      <c r="K11" s="39" t="s">
        <v>125</v>
      </c>
      <c r="L11" s="36" t="s">
        <v>194</v>
      </c>
      <c r="M11" s="39" t="s">
        <v>501</v>
      </c>
      <c r="N11" s="39" t="s">
        <v>501</v>
      </c>
      <c r="O11" s="26"/>
      <c r="P11" s="39" t="s">
        <v>12</v>
      </c>
      <c r="Q11" s="36" t="s">
        <v>200</v>
      </c>
      <c r="R11" s="36" t="s">
        <v>54</v>
      </c>
      <c r="S11" s="26"/>
      <c r="T11" s="32">
        <v>427.5</v>
      </c>
      <c r="U11" s="27" t="str">
        <f>"343,1970"</f>
        <v>343,1970</v>
      </c>
      <c r="V11" s="15" t="s">
        <v>13</v>
      </c>
    </row>
    <row r="13" spans="2:21" ht="15">
      <c r="B13" s="142" t="s">
        <v>21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</row>
    <row r="14" spans="1:22" ht="12.75">
      <c r="A14" s="25">
        <v>1</v>
      </c>
      <c r="B14" s="13" t="s">
        <v>562</v>
      </c>
      <c r="C14" s="13" t="s">
        <v>563</v>
      </c>
      <c r="D14" s="13" t="s">
        <v>716</v>
      </c>
      <c r="E14" s="13" t="str">
        <f>"0,7756"</f>
        <v>0,7756</v>
      </c>
      <c r="F14" s="13" t="s">
        <v>564</v>
      </c>
      <c r="G14" s="13" t="s">
        <v>513</v>
      </c>
      <c r="H14" s="37" t="s">
        <v>86</v>
      </c>
      <c r="I14" s="44" t="s">
        <v>132</v>
      </c>
      <c r="J14" s="37" t="s">
        <v>132</v>
      </c>
      <c r="K14" s="29"/>
      <c r="L14" s="37" t="s">
        <v>40</v>
      </c>
      <c r="M14" s="37" t="s">
        <v>49</v>
      </c>
      <c r="N14" s="44" t="s">
        <v>11</v>
      </c>
      <c r="O14" s="29"/>
      <c r="P14" s="37" t="s">
        <v>86</v>
      </c>
      <c r="Q14" s="44" t="s">
        <v>67</v>
      </c>
      <c r="R14" s="37" t="s">
        <v>67</v>
      </c>
      <c r="S14" s="29"/>
      <c r="T14" s="33">
        <v>572.5</v>
      </c>
      <c r="U14" s="28" t="str">
        <f>"444,0310"</f>
        <v>444,0310</v>
      </c>
      <c r="V14" s="13" t="s">
        <v>750</v>
      </c>
    </row>
    <row r="15" spans="1:22" ht="12.75">
      <c r="A15" s="25">
        <v>2</v>
      </c>
      <c r="B15" s="14" t="s">
        <v>565</v>
      </c>
      <c r="C15" s="14" t="s">
        <v>566</v>
      </c>
      <c r="D15" s="14" t="s">
        <v>783</v>
      </c>
      <c r="E15" s="14" t="str">
        <f>"0,7832"</f>
        <v>0,7832</v>
      </c>
      <c r="F15" s="14" t="s">
        <v>75</v>
      </c>
      <c r="G15" s="14" t="s">
        <v>76</v>
      </c>
      <c r="H15" s="38" t="s">
        <v>108</v>
      </c>
      <c r="I15" s="46" t="s">
        <v>102</v>
      </c>
      <c r="J15" s="46" t="s">
        <v>102</v>
      </c>
      <c r="K15" s="31"/>
      <c r="L15" s="38" t="s">
        <v>213</v>
      </c>
      <c r="M15" s="38" t="s">
        <v>40</v>
      </c>
      <c r="N15" s="46" t="s">
        <v>41</v>
      </c>
      <c r="O15" s="31"/>
      <c r="P15" s="38" t="s">
        <v>86</v>
      </c>
      <c r="Q15" s="46" t="s">
        <v>103</v>
      </c>
      <c r="R15" s="31"/>
      <c r="S15" s="31"/>
      <c r="T15" s="34">
        <v>505</v>
      </c>
      <c r="U15" s="30" t="str">
        <f>"395,5160"</f>
        <v>395,5160</v>
      </c>
      <c r="V15" s="14" t="s">
        <v>749</v>
      </c>
    </row>
    <row r="17" spans="2:21" ht="15">
      <c r="B17" s="142" t="s">
        <v>26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</row>
    <row r="18" spans="1:22" ht="12.75">
      <c r="A18" s="25">
        <v>1</v>
      </c>
      <c r="B18" s="15" t="s">
        <v>567</v>
      </c>
      <c r="C18" s="15" t="s">
        <v>568</v>
      </c>
      <c r="D18" s="15" t="s">
        <v>784</v>
      </c>
      <c r="E18" s="15" t="str">
        <f>"0,7152"</f>
        <v>0,7152</v>
      </c>
      <c r="F18" s="15" t="s">
        <v>10</v>
      </c>
      <c r="G18" s="15" t="s">
        <v>696</v>
      </c>
      <c r="H18" s="36" t="s">
        <v>72</v>
      </c>
      <c r="I18" s="39" t="s">
        <v>55</v>
      </c>
      <c r="J18" s="39" t="s">
        <v>55</v>
      </c>
      <c r="K18" s="26"/>
      <c r="L18" s="36" t="s">
        <v>40</v>
      </c>
      <c r="M18" s="39" t="s">
        <v>41</v>
      </c>
      <c r="N18" s="39" t="s">
        <v>41</v>
      </c>
      <c r="O18" s="26"/>
      <c r="P18" s="36" t="s">
        <v>102</v>
      </c>
      <c r="Q18" s="36" t="s">
        <v>103</v>
      </c>
      <c r="R18" s="39" t="s">
        <v>66</v>
      </c>
      <c r="S18" s="26"/>
      <c r="T18" s="32">
        <v>495</v>
      </c>
      <c r="U18" s="27" t="str">
        <f>"354,0240"</f>
        <v>354,0240</v>
      </c>
      <c r="V18" s="15" t="s">
        <v>13</v>
      </c>
    </row>
    <row r="20" spans="2:21" ht="15">
      <c r="B20" s="142" t="s">
        <v>7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</row>
    <row r="21" spans="1:22" ht="12.75">
      <c r="A21" s="25">
        <v>1</v>
      </c>
      <c r="B21" s="13" t="s">
        <v>569</v>
      </c>
      <c r="C21" s="13" t="s">
        <v>570</v>
      </c>
      <c r="D21" s="13" t="s">
        <v>785</v>
      </c>
      <c r="E21" s="13" t="str">
        <f>"0,6759"</f>
        <v>0,6759</v>
      </c>
      <c r="F21" s="13" t="s">
        <v>10</v>
      </c>
      <c r="G21" s="13" t="s">
        <v>101</v>
      </c>
      <c r="H21" s="37" t="s">
        <v>49</v>
      </c>
      <c r="I21" s="44" t="s">
        <v>242</v>
      </c>
      <c r="J21" s="44" t="s">
        <v>285</v>
      </c>
      <c r="K21" s="29"/>
      <c r="L21" s="37" t="s">
        <v>326</v>
      </c>
      <c r="M21" s="37" t="s">
        <v>194</v>
      </c>
      <c r="N21" s="37" t="s">
        <v>186</v>
      </c>
      <c r="O21" s="29"/>
      <c r="P21" s="37" t="s">
        <v>11</v>
      </c>
      <c r="Q21" s="37" t="s">
        <v>12</v>
      </c>
      <c r="R21" s="37" t="s">
        <v>54</v>
      </c>
      <c r="S21" s="29"/>
      <c r="T21" s="33">
        <v>380</v>
      </c>
      <c r="U21" s="28" t="str">
        <f>"256,8420"</f>
        <v>256,8420</v>
      </c>
      <c r="V21" s="13" t="s">
        <v>791</v>
      </c>
    </row>
    <row r="22" spans="1:22" ht="12.75">
      <c r="A22" s="25">
        <v>1</v>
      </c>
      <c r="B22" s="14" t="s">
        <v>571</v>
      </c>
      <c r="C22" s="14" t="s">
        <v>572</v>
      </c>
      <c r="D22" s="14" t="s">
        <v>758</v>
      </c>
      <c r="E22" s="14" t="str">
        <f>"0,6893"</f>
        <v>0,6893</v>
      </c>
      <c r="F22" s="14" t="s">
        <v>564</v>
      </c>
      <c r="G22" s="14" t="s">
        <v>513</v>
      </c>
      <c r="H22" s="38" t="s">
        <v>12</v>
      </c>
      <c r="I22" s="46" t="s">
        <v>54</v>
      </c>
      <c r="J22" s="46" t="s">
        <v>72</v>
      </c>
      <c r="K22" s="31"/>
      <c r="L22" s="46" t="s">
        <v>206</v>
      </c>
      <c r="M22" s="38" t="s">
        <v>222</v>
      </c>
      <c r="N22" s="38" t="s">
        <v>40</v>
      </c>
      <c r="O22" s="31"/>
      <c r="P22" s="38" t="s">
        <v>12</v>
      </c>
      <c r="Q22" s="38" t="s">
        <v>55</v>
      </c>
      <c r="R22" s="38" t="s">
        <v>102</v>
      </c>
      <c r="S22" s="31"/>
      <c r="T22" s="34">
        <v>465</v>
      </c>
      <c r="U22" s="30" t="str">
        <f>"320,5245"</f>
        <v>320,5245</v>
      </c>
      <c r="V22" s="14" t="s">
        <v>750</v>
      </c>
    </row>
    <row r="24" spans="2:21" ht="15">
      <c r="B24" s="143" t="s">
        <v>50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3"/>
    </row>
    <row r="25" spans="1:22" ht="12.75">
      <c r="A25" s="25">
        <v>1</v>
      </c>
      <c r="B25" s="15" t="s">
        <v>240</v>
      </c>
      <c r="C25" s="15" t="s">
        <v>241</v>
      </c>
      <c r="D25" s="15" t="s">
        <v>681</v>
      </c>
      <c r="E25" s="15" t="str">
        <f>"0,6579"</f>
        <v>0,6579</v>
      </c>
      <c r="F25" s="15" t="s">
        <v>10</v>
      </c>
      <c r="G25" s="15" t="s">
        <v>696</v>
      </c>
      <c r="H25" s="36" t="s">
        <v>335</v>
      </c>
      <c r="I25" s="26"/>
      <c r="J25" s="26"/>
      <c r="K25" s="26"/>
      <c r="L25" s="36" t="s">
        <v>42</v>
      </c>
      <c r="M25" s="36" t="s">
        <v>242</v>
      </c>
      <c r="N25" s="39" t="s">
        <v>239</v>
      </c>
      <c r="O25" s="26"/>
      <c r="P25" s="39" t="s">
        <v>66</v>
      </c>
      <c r="Q25" s="36" t="s">
        <v>335</v>
      </c>
      <c r="R25" s="36" t="s">
        <v>116</v>
      </c>
      <c r="S25" s="26"/>
      <c r="T25" s="32">
        <v>612.5</v>
      </c>
      <c r="U25" s="27" t="str">
        <f>"402,9637"</f>
        <v>402,9637</v>
      </c>
      <c r="V25" s="15" t="s">
        <v>722</v>
      </c>
    </row>
    <row r="27" spans="2:21" ht="15">
      <c r="B27" s="142" t="s">
        <v>56</v>
      </c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</row>
    <row r="28" spans="1:22" ht="12.75">
      <c r="A28" s="25">
        <v>1</v>
      </c>
      <c r="B28" s="15" t="s">
        <v>573</v>
      </c>
      <c r="C28" s="15" t="s">
        <v>574</v>
      </c>
      <c r="D28" s="15" t="s">
        <v>205</v>
      </c>
      <c r="E28" s="15" t="str">
        <f>"0,6086"</f>
        <v>0,6086</v>
      </c>
      <c r="F28" s="15" t="s">
        <v>64</v>
      </c>
      <c r="G28" s="15" t="s">
        <v>185</v>
      </c>
      <c r="H28" s="36" t="s">
        <v>104</v>
      </c>
      <c r="I28" s="52" t="s">
        <v>335</v>
      </c>
      <c r="J28" s="36" t="s">
        <v>116</v>
      </c>
      <c r="K28" s="26"/>
      <c r="L28" s="36" t="s">
        <v>54</v>
      </c>
      <c r="M28" s="39" t="s">
        <v>226</v>
      </c>
      <c r="N28" s="36" t="s">
        <v>226</v>
      </c>
      <c r="O28" s="26"/>
      <c r="P28" s="36" t="s">
        <v>86</v>
      </c>
      <c r="Q28" s="36" t="s">
        <v>66</v>
      </c>
      <c r="R28" s="36" t="s">
        <v>132</v>
      </c>
      <c r="S28" s="26"/>
      <c r="T28" s="32">
        <v>627.5</v>
      </c>
      <c r="U28" s="27" t="str">
        <f>"381,8965"</f>
        <v>381,8965</v>
      </c>
      <c r="V28" s="15" t="s">
        <v>729</v>
      </c>
    </row>
    <row r="30" spans="2:21" ht="15">
      <c r="B30" s="142" t="s">
        <v>91</v>
      </c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</row>
    <row r="31" spans="1:22" ht="12.75">
      <c r="A31" s="25">
        <v>1</v>
      </c>
      <c r="B31" s="13" t="s">
        <v>777</v>
      </c>
      <c r="C31" s="13" t="s">
        <v>575</v>
      </c>
      <c r="D31" s="13" t="s">
        <v>786</v>
      </c>
      <c r="E31" s="13" t="str">
        <f>"0,5919"</f>
        <v>0,5919</v>
      </c>
      <c r="F31" s="13" t="s">
        <v>10</v>
      </c>
      <c r="G31" s="13" t="s">
        <v>696</v>
      </c>
      <c r="H31" s="37" t="s">
        <v>66</v>
      </c>
      <c r="I31" s="37" t="s">
        <v>68</v>
      </c>
      <c r="J31" s="37" t="s">
        <v>361</v>
      </c>
      <c r="K31" s="29"/>
      <c r="L31" s="37" t="s">
        <v>55</v>
      </c>
      <c r="M31" s="37" t="s">
        <v>61</v>
      </c>
      <c r="N31" s="44" t="s">
        <v>125</v>
      </c>
      <c r="O31" s="29"/>
      <c r="P31" s="37" t="s">
        <v>116</v>
      </c>
      <c r="Q31" s="37" t="s">
        <v>340</v>
      </c>
      <c r="R31" s="44" t="s">
        <v>349</v>
      </c>
      <c r="S31" s="29"/>
      <c r="T31" s="33">
        <v>675</v>
      </c>
      <c r="U31" s="28" t="str">
        <f>"399,5325"</f>
        <v>399,5325</v>
      </c>
      <c r="V31" s="13" t="s">
        <v>792</v>
      </c>
    </row>
    <row r="32" spans="1:22" ht="12.75">
      <c r="A32" s="25">
        <v>2</v>
      </c>
      <c r="B32" s="14" t="s">
        <v>576</v>
      </c>
      <c r="C32" s="14" t="s">
        <v>577</v>
      </c>
      <c r="D32" s="14" t="s">
        <v>787</v>
      </c>
      <c r="E32" s="14" t="str">
        <f>"0,5990"</f>
        <v>0,5990</v>
      </c>
      <c r="F32" s="14" t="s">
        <v>10</v>
      </c>
      <c r="G32" s="14" t="s">
        <v>308</v>
      </c>
      <c r="H32" s="38" t="s">
        <v>86</v>
      </c>
      <c r="I32" s="38" t="s">
        <v>104</v>
      </c>
      <c r="J32" s="46" t="s">
        <v>68</v>
      </c>
      <c r="K32" s="31"/>
      <c r="L32" s="38" t="s">
        <v>219</v>
      </c>
      <c r="M32" s="38" t="s">
        <v>40</v>
      </c>
      <c r="N32" s="46" t="s">
        <v>42</v>
      </c>
      <c r="O32" s="31"/>
      <c r="P32" s="46" t="s">
        <v>86</v>
      </c>
      <c r="Q32" s="53" t="s">
        <v>66</v>
      </c>
      <c r="R32" s="46" t="s">
        <v>132</v>
      </c>
      <c r="S32" s="31"/>
      <c r="T32" s="34">
        <v>550</v>
      </c>
      <c r="U32" s="30" t="str">
        <f>"329,4500"</f>
        <v>329,4500</v>
      </c>
      <c r="V32" s="14" t="s">
        <v>13</v>
      </c>
    </row>
    <row r="35" spans="2:3" ht="18">
      <c r="B35" s="12" t="s">
        <v>137</v>
      </c>
      <c r="C35" s="12"/>
    </row>
    <row r="36" spans="2:3" ht="14.25">
      <c r="B36" s="20"/>
      <c r="C36" s="21"/>
    </row>
    <row r="37" spans="2:6" ht="15">
      <c r="B37" s="22" t="s">
        <v>139</v>
      </c>
      <c r="C37" s="22" t="s">
        <v>140</v>
      </c>
      <c r="D37" s="22" t="s">
        <v>141</v>
      </c>
      <c r="E37" s="22" t="s">
        <v>142</v>
      </c>
      <c r="F37" s="22" t="s">
        <v>143</v>
      </c>
    </row>
    <row r="38" spans="1:6" ht="12.75">
      <c r="A38" s="25">
        <v>1</v>
      </c>
      <c r="B38" s="19" t="s">
        <v>562</v>
      </c>
      <c r="C38" s="48" t="s">
        <v>138</v>
      </c>
      <c r="D38" s="49" t="s">
        <v>169</v>
      </c>
      <c r="E38" s="49" t="s">
        <v>578</v>
      </c>
      <c r="F38" s="49" t="s">
        <v>579</v>
      </c>
    </row>
    <row r="39" spans="1:6" ht="12.75">
      <c r="A39" s="25">
        <v>2</v>
      </c>
      <c r="B39" s="19" t="s">
        <v>240</v>
      </c>
      <c r="C39" s="48" t="s">
        <v>138</v>
      </c>
      <c r="D39" s="49" t="s">
        <v>789</v>
      </c>
      <c r="E39" s="49" t="s">
        <v>580</v>
      </c>
      <c r="F39" s="49" t="s">
        <v>581</v>
      </c>
    </row>
    <row r="40" spans="1:6" ht="12.75">
      <c r="A40" s="25">
        <v>3</v>
      </c>
      <c r="B40" s="19" t="s">
        <v>777</v>
      </c>
      <c r="C40" s="48" t="s">
        <v>138</v>
      </c>
      <c r="D40" s="49" t="s">
        <v>790</v>
      </c>
      <c r="E40" s="49" t="s">
        <v>582</v>
      </c>
      <c r="F40" s="49" t="s">
        <v>583</v>
      </c>
    </row>
  </sheetData>
  <sheetProtection/>
  <mergeCells count="22">
    <mergeCell ref="B30:U30"/>
    <mergeCell ref="T3:T4"/>
    <mergeCell ref="U3:U4"/>
    <mergeCell ref="G3:G4"/>
    <mergeCell ref="H3:K3"/>
    <mergeCell ref="L3:O3"/>
    <mergeCell ref="F3:F4"/>
    <mergeCell ref="P3:S3"/>
    <mergeCell ref="B17:U17"/>
    <mergeCell ref="B20:U20"/>
    <mergeCell ref="B27:U27"/>
    <mergeCell ref="A3:A4"/>
    <mergeCell ref="V3:V4"/>
    <mergeCell ref="B5:U5"/>
    <mergeCell ref="B10:U10"/>
    <mergeCell ref="B13:U13"/>
    <mergeCell ref="B1:V2"/>
    <mergeCell ref="B3:B4"/>
    <mergeCell ref="C3:C4"/>
    <mergeCell ref="D3:D4"/>
    <mergeCell ref="E3:E4"/>
    <mergeCell ref="B24:U24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E29" sqref="E29"/>
    </sheetView>
  </sheetViews>
  <sheetFormatPr defaultColWidth="8.75390625" defaultRowHeight="12.75"/>
  <cols>
    <col min="1" max="1" width="9.125" style="25" customWidth="1"/>
    <col min="2" max="2" width="24.75390625" style="11" bestFit="1" customWidth="1"/>
    <col min="3" max="3" width="27.875" style="11" customWidth="1"/>
    <col min="4" max="4" width="10.125" style="11" bestFit="1" customWidth="1"/>
    <col min="5" max="5" width="20.125" style="11" customWidth="1"/>
    <col min="6" max="6" width="30.125" style="11" bestFit="1" customWidth="1"/>
    <col min="7" max="9" width="4.625" style="11" bestFit="1" customWidth="1"/>
    <col min="10" max="10" width="5.375" style="11" customWidth="1"/>
    <col min="11" max="11" width="11.125" style="11" customWidth="1"/>
    <col min="12" max="12" width="21.75390625" style="11" bestFit="1" customWidth="1"/>
  </cols>
  <sheetData>
    <row r="1" spans="1:12" s="1" customFormat="1" ht="15" customHeight="1">
      <c r="A1" s="24"/>
      <c r="B1" s="150" t="s">
        <v>1439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1" customFormat="1" ht="96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4</v>
      </c>
      <c r="F3" s="146" t="s">
        <v>1152</v>
      </c>
      <c r="G3" s="179" t="s">
        <v>710</v>
      </c>
      <c r="H3" s="179"/>
      <c r="I3" s="179"/>
      <c r="J3" s="148"/>
      <c r="K3" s="146" t="s">
        <v>676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3" t="s">
        <v>778</v>
      </c>
      <c r="H4" s="3" t="s">
        <v>779</v>
      </c>
      <c r="I4" s="3" t="s">
        <v>780</v>
      </c>
      <c r="J4" s="3" t="s">
        <v>5</v>
      </c>
      <c r="K4" s="147"/>
      <c r="L4" s="162"/>
    </row>
    <row r="5" spans="2:11" ht="15">
      <c r="B5" s="163" t="s">
        <v>26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1:12" ht="12.75">
      <c r="A6" s="25">
        <v>1</v>
      </c>
      <c r="B6" s="13" t="s">
        <v>1125</v>
      </c>
      <c r="C6" s="13" t="s">
        <v>1126</v>
      </c>
      <c r="D6" s="13" t="s">
        <v>1131</v>
      </c>
      <c r="E6" s="13" t="s">
        <v>10</v>
      </c>
      <c r="F6" s="13" t="s">
        <v>683</v>
      </c>
      <c r="G6" s="37" t="s">
        <v>1133</v>
      </c>
      <c r="H6" s="37" t="s">
        <v>1134</v>
      </c>
      <c r="I6" s="37" t="s">
        <v>1135</v>
      </c>
      <c r="J6" s="29"/>
      <c r="K6" s="28" t="s">
        <v>1135</v>
      </c>
      <c r="L6" s="13" t="s">
        <v>877</v>
      </c>
    </row>
    <row r="7" spans="1:12" ht="12.75">
      <c r="A7" s="25">
        <v>2</v>
      </c>
      <c r="B7" s="14" t="s">
        <v>1136</v>
      </c>
      <c r="C7" s="14" t="s">
        <v>1137</v>
      </c>
      <c r="D7" s="14" t="s">
        <v>1074</v>
      </c>
      <c r="E7" s="14" t="s">
        <v>10</v>
      </c>
      <c r="F7" s="14" t="s">
        <v>696</v>
      </c>
      <c r="G7" s="38" t="s">
        <v>1134</v>
      </c>
      <c r="H7" s="38" t="s">
        <v>1138</v>
      </c>
      <c r="I7" s="46" t="s">
        <v>1139</v>
      </c>
      <c r="J7" s="31"/>
      <c r="K7" s="30">
        <v>56.5</v>
      </c>
      <c r="L7" s="14" t="s">
        <v>1140</v>
      </c>
    </row>
    <row r="9" spans="2:11" ht="15">
      <c r="B9" s="142" t="s">
        <v>1141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1:12" ht="12.75">
      <c r="A10" s="25">
        <v>1</v>
      </c>
      <c r="B10" s="15" t="s">
        <v>1142</v>
      </c>
      <c r="C10" s="15" t="s">
        <v>1143</v>
      </c>
      <c r="D10" s="15" t="s">
        <v>438</v>
      </c>
      <c r="E10" s="15" t="s">
        <v>10</v>
      </c>
      <c r="F10" s="15" t="s">
        <v>1144</v>
      </c>
      <c r="G10" s="36" t="s">
        <v>1145</v>
      </c>
      <c r="H10" s="39" t="s">
        <v>1146</v>
      </c>
      <c r="I10" s="36" t="s">
        <v>1146</v>
      </c>
      <c r="J10" s="26"/>
      <c r="K10" s="27">
        <v>66.5</v>
      </c>
      <c r="L10" s="15" t="s">
        <v>13</v>
      </c>
    </row>
    <row r="12" spans="2:11" ht="15">
      <c r="B12" s="142" t="s">
        <v>14</v>
      </c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2" ht="12.75">
      <c r="A13" s="25">
        <v>1</v>
      </c>
      <c r="B13" s="15" t="s">
        <v>1147</v>
      </c>
      <c r="C13" s="15" t="s">
        <v>1148</v>
      </c>
      <c r="D13" s="15" t="s">
        <v>1153</v>
      </c>
      <c r="E13" s="15" t="s">
        <v>10</v>
      </c>
      <c r="F13" s="15" t="s">
        <v>191</v>
      </c>
      <c r="G13" s="36" t="s">
        <v>1149</v>
      </c>
      <c r="H13" s="36" t="s">
        <v>1150</v>
      </c>
      <c r="I13" s="36" t="s">
        <v>1151</v>
      </c>
      <c r="J13" s="26"/>
      <c r="K13" s="27" t="s">
        <v>1151</v>
      </c>
      <c r="L13" s="15" t="s">
        <v>13</v>
      </c>
    </row>
    <row r="29" ht="12.75">
      <c r="E29" s="11" t="s">
        <v>1423</v>
      </c>
    </row>
  </sheetData>
  <sheetProtection/>
  <mergeCells count="13">
    <mergeCell ref="B12:K12"/>
    <mergeCell ref="A3:A4"/>
    <mergeCell ref="B1:L2"/>
    <mergeCell ref="B3:B4"/>
    <mergeCell ref="C3:C4"/>
    <mergeCell ref="D3:D4"/>
    <mergeCell ref="E3:E4"/>
    <mergeCell ref="F3:F4"/>
    <mergeCell ref="G3:J3"/>
    <mergeCell ref="K3:K4"/>
    <mergeCell ref="L3:L4"/>
    <mergeCell ref="B5:K5"/>
    <mergeCell ref="B9:K9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E26" sqref="E25:E26"/>
    </sheetView>
  </sheetViews>
  <sheetFormatPr defaultColWidth="8.75390625" defaultRowHeight="12.75"/>
  <cols>
    <col min="1" max="1" width="9.125" style="25" customWidth="1"/>
    <col min="2" max="2" width="21.25390625" style="11" customWidth="1"/>
    <col min="3" max="3" width="27.25390625" style="11" customWidth="1"/>
    <col min="4" max="4" width="10.125" style="11" bestFit="1" customWidth="1"/>
    <col min="5" max="5" width="21.75390625" style="11" bestFit="1" customWidth="1"/>
    <col min="6" max="6" width="30.125" style="11" bestFit="1" customWidth="1"/>
    <col min="7" max="10" width="4.625" style="11" bestFit="1" customWidth="1"/>
    <col min="11" max="11" width="10.875" style="35" customWidth="1"/>
    <col min="12" max="12" width="21.75390625" style="11" bestFit="1" customWidth="1"/>
  </cols>
  <sheetData>
    <row r="1" spans="1:12" s="1" customFormat="1" ht="15" customHeight="1">
      <c r="A1" s="24"/>
      <c r="B1" s="150" t="s">
        <v>1178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1" customFormat="1" ht="83.2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4</v>
      </c>
      <c r="F3" s="146" t="s">
        <v>1152</v>
      </c>
      <c r="G3" s="179" t="s">
        <v>710</v>
      </c>
      <c r="H3" s="179"/>
      <c r="I3" s="179"/>
      <c r="J3" s="148"/>
      <c r="K3" s="144" t="s">
        <v>676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3" t="s">
        <v>778</v>
      </c>
      <c r="H4" s="3" t="s">
        <v>779</v>
      </c>
      <c r="I4" s="3" t="s">
        <v>780</v>
      </c>
      <c r="J4" s="3" t="s">
        <v>5</v>
      </c>
      <c r="K4" s="145"/>
      <c r="L4" s="162"/>
    </row>
    <row r="5" spans="2:11" ht="15">
      <c r="B5" s="163" t="s">
        <v>26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1:12" ht="12.75">
      <c r="A6" s="25">
        <v>1</v>
      </c>
      <c r="B6" s="13" t="s">
        <v>1136</v>
      </c>
      <c r="C6" s="13" t="s">
        <v>1137</v>
      </c>
      <c r="D6" s="13" t="s">
        <v>1074</v>
      </c>
      <c r="E6" s="13" t="s">
        <v>10</v>
      </c>
      <c r="F6" s="13" t="s">
        <v>683</v>
      </c>
      <c r="G6" s="37" t="s">
        <v>1010</v>
      </c>
      <c r="H6" s="37" t="s">
        <v>1169</v>
      </c>
      <c r="I6" s="37" t="s">
        <v>1053</v>
      </c>
      <c r="J6" s="37" t="s">
        <v>1170</v>
      </c>
      <c r="K6" s="33">
        <v>22</v>
      </c>
      <c r="L6" s="13" t="s">
        <v>1440</v>
      </c>
    </row>
    <row r="7" spans="1:12" ht="12.75">
      <c r="A7" s="25">
        <v>2</v>
      </c>
      <c r="B7" s="14" t="s">
        <v>1171</v>
      </c>
      <c r="C7" s="14" t="s">
        <v>1172</v>
      </c>
      <c r="D7" s="14" t="s">
        <v>1177</v>
      </c>
      <c r="E7" s="14" t="s">
        <v>10</v>
      </c>
      <c r="F7" s="14" t="s">
        <v>1056</v>
      </c>
      <c r="G7" s="38" t="s">
        <v>1173</v>
      </c>
      <c r="H7" s="38" t="s">
        <v>1174</v>
      </c>
      <c r="I7" s="38" t="s">
        <v>1010</v>
      </c>
      <c r="J7" s="31"/>
      <c r="K7" s="34">
        <v>17</v>
      </c>
      <c r="L7" s="14" t="s">
        <v>13</v>
      </c>
    </row>
    <row r="9" spans="2:11" ht="15">
      <c r="B9" s="142" t="s">
        <v>91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1:12" ht="12.75">
      <c r="A10" s="25">
        <v>1</v>
      </c>
      <c r="B10" s="15" t="s">
        <v>1147</v>
      </c>
      <c r="C10" s="15" t="s">
        <v>1159</v>
      </c>
      <c r="D10" s="15" t="s">
        <v>1153</v>
      </c>
      <c r="E10" s="15" t="s">
        <v>10</v>
      </c>
      <c r="F10" s="15" t="s">
        <v>191</v>
      </c>
      <c r="G10" s="36" t="s">
        <v>1017</v>
      </c>
      <c r="H10" s="36" t="s">
        <v>1175</v>
      </c>
      <c r="I10" s="36" t="s">
        <v>1176</v>
      </c>
      <c r="J10" s="36" t="s">
        <v>984</v>
      </c>
      <c r="K10" s="32">
        <v>39.5</v>
      </c>
      <c r="L10" s="15" t="s">
        <v>13</v>
      </c>
    </row>
    <row r="12" spans="2:11" ht="15">
      <c r="B12" s="142" t="s">
        <v>14</v>
      </c>
      <c r="C12" s="142"/>
      <c r="D12" s="142"/>
      <c r="E12" s="142"/>
      <c r="F12" s="142"/>
      <c r="G12" s="142"/>
      <c r="H12" s="142"/>
      <c r="I12" s="142"/>
      <c r="J12" s="142"/>
      <c r="K12" s="142"/>
    </row>
    <row r="13" spans="1:12" ht="12.75">
      <c r="A13" s="25">
        <v>1</v>
      </c>
      <c r="B13" s="15" t="s">
        <v>1147</v>
      </c>
      <c r="C13" s="15" t="s">
        <v>1148</v>
      </c>
      <c r="D13" s="15" t="s">
        <v>1153</v>
      </c>
      <c r="E13" s="15" t="s">
        <v>10</v>
      </c>
      <c r="F13" s="15" t="s">
        <v>191</v>
      </c>
      <c r="G13" s="36" t="s">
        <v>1017</v>
      </c>
      <c r="H13" s="36" t="s">
        <v>1175</v>
      </c>
      <c r="I13" s="36" t="s">
        <v>1176</v>
      </c>
      <c r="J13" s="36" t="s">
        <v>984</v>
      </c>
      <c r="K13" s="32">
        <v>39.5</v>
      </c>
      <c r="L13" s="15" t="s">
        <v>13</v>
      </c>
    </row>
  </sheetData>
  <sheetProtection/>
  <mergeCells count="13">
    <mergeCell ref="B12:K12"/>
    <mergeCell ref="A3:A4"/>
    <mergeCell ref="B1:L2"/>
    <mergeCell ref="B3:B4"/>
    <mergeCell ref="C3:C4"/>
    <mergeCell ref="D3:D4"/>
    <mergeCell ref="E3:E4"/>
    <mergeCell ref="F3:F4"/>
    <mergeCell ref="G3:J3"/>
    <mergeCell ref="K3:K4"/>
    <mergeCell ref="L3:L4"/>
    <mergeCell ref="B5:K5"/>
    <mergeCell ref="B9:K9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B1">
      <selection activeCell="L15" sqref="L15"/>
    </sheetView>
  </sheetViews>
  <sheetFormatPr defaultColWidth="8.75390625" defaultRowHeight="12.75"/>
  <cols>
    <col min="1" max="1" width="9.125" style="25" customWidth="1"/>
    <col min="2" max="2" width="19.25390625" style="11" customWidth="1"/>
    <col min="3" max="3" width="27.125" style="1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38.375" style="11" customWidth="1"/>
    <col min="8" max="10" width="5.625" style="11" bestFit="1" customWidth="1"/>
    <col min="11" max="11" width="4.25390625" style="11" bestFit="1" customWidth="1"/>
    <col min="12" max="12" width="10.75390625" style="35" customWidth="1"/>
    <col min="13" max="13" width="7.625" style="11" customWidth="1"/>
    <col min="14" max="14" width="5.625" style="11" bestFit="1" customWidth="1"/>
    <col min="15" max="15" width="10.375" style="96" customWidth="1"/>
    <col min="16" max="16" width="8.875" style="35" customWidth="1"/>
    <col min="17" max="17" width="9.75390625" style="11" customWidth="1"/>
    <col min="18" max="18" width="14.25390625" style="11" customWidth="1"/>
    <col min="19" max="19" width="12.625" style="11" customWidth="1"/>
    <col min="20" max="20" width="17.625" style="11" bestFit="1" customWidth="1"/>
  </cols>
  <sheetData>
    <row r="1" spans="1:20" s="1" customFormat="1" ht="15" customHeight="1">
      <c r="A1" s="24"/>
      <c r="B1" s="150" t="s">
        <v>1442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</row>
    <row r="2" spans="1:20" s="1" customFormat="1" ht="112.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</row>
    <row r="3" spans="1:20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4" t="s">
        <v>676</v>
      </c>
      <c r="M3" s="146" t="s">
        <v>1233</v>
      </c>
      <c r="N3" s="146" t="s">
        <v>709</v>
      </c>
      <c r="O3" s="146"/>
      <c r="P3" s="144" t="s">
        <v>990</v>
      </c>
      <c r="Q3" s="146" t="s">
        <v>1233</v>
      </c>
      <c r="R3" s="146" t="s">
        <v>1234</v>
      </c>
      <c r="S3" s="146" t="s">
        <v>3</v>
      </c>
      <c r="T3" s="161" t="s">
        <v>2</v>
      </c>
    </row>
    <row r="4" spans="1:20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3" t="s">
        <v>988</v>
      </c>
      <c r="O4" s="95" t="s">
        <v>989</v>
      </c>
      <c r="P4" s="145"/>
      <c r="Q4" s="147"/>
      <c r="R4" s="147"/>
      <c r="S4" s="147"/>
      <c r="T4" s="162"/>
    </row>
    <row r="5" spans="2:19" ht="15">
      <c r="B5" s="163" t="s">
        <v>170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20" ht="12.75">
      <c r="A6" s="25">
        <v>1</v>
      </c>
      <c r="B6" s="13" t="s">
        <v>1235</v>
      </c>
      <c r="C6" s="100" t="s">
        <v>1236</v>
      </c>
      <c r="D6" s="100" t="s">
        <v>1286</v>
      </c>
      <c r="E6" s="100" t="str">
        <f>"1,1310"</f>
        <v>1,1310</v>
      </c>
      <c r="F6" s="100" t="s">
        <v>64</v>
      </c>
      <c r="G6" s="100" t="s">
        <v>808</v>
      </c>
      <c r="H6" s="115" t="s">
        <v>152</v>
      </c>
      <c r="I6" s="120" t="s">
        <v>160</v>
      </c>
      <c r="J6" s="120" t="s">
        <v>160</v>
      </c>
      <c r="K6" s="104"/>
      <c r="L6" s="110">
        <v>52.5</v>
      </c>
      <c r="M6" s="103" t="s">
        <v>1237</v>
      </c>
      <c r="N6" s="103" t="s">
        <v>504</v>
      </c>
      <c r="O6" s="103" t="s">
        <v>1238</v>
      </c>
      <c r="P6" s="110">
        <v>1500</v>
      </c>
      <c r="Q6" s="103" t="s">
        <v>1239</v>
      </c>
      <c r="R6" s="103" t="s">
        <v>1240</v>
      </c>
      <c r="S6" s="103" t="s">
        <v>1241</v>
      </c>
      <c r="T6" s="100" t="s">
        <v>994</v>
      </c>
    </row>
    <row r="7" spans="1:20" ht="12.75">
      <c r="A7" s="25">
        <v>2</v>
      </c>
      <c r="B7" s="14" t="s">
        <v>1242</v>
      </c>
      <c r="C7" s="101" t="s">
        <v>1243</v>
      </c>
      <c r="D7" s="101" t="s">
        <v>1287</v>
      </c>
      <c r="E7" s="101" t="str">
        <f>"1,1281"</f>
        <v>1,1281</v>
      </c>
      <c r="F7" s="101" t="s">
        <v>10</v>
      </c>
      <c r="G7" s="101" t="s">
        <v>696</v>
      </c>
      <c r="H7" s="116" t="s">
        <v>152</v>
      </c>
      <c r="I7" s="116" t="s">
        <v>160</v>
      </c>
      <c r="J7" s="119" t="s">
        <v>163</v>
      </c>
      <c r="K7" s="106"/>
      <c r="L7" s="111">
        <v>57.5</v>
      </c>
      <c r="M7" s="105" t="s">
        <v>1239</v>
      </c>
      <c r="N7" s="105" t="s">
        <v>504</v>
      </c>
      <c r="O7" s="105" t="s">
        <v>1240</v>
      </c>
      <c r="P7" s="111">
        <v>1140</v>
      </c>
      <c r="Q7" s="105" t="s">
        <v>1237</v>
      </c>
      <c r="R7" s="105" t="s">
        <v>1240</v>
      </c>
      <c r="S7" s="105" t="s">
        <v>1244</v>
      </c>
      <c r="T7" s="101" t="s">
        <v>13</v>
      </c>
    </row>
    <row r="9" spans="2:19" ht="15">
      <c r="B9" s="142" t="s">
        <v>1141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20" ht="12.75">
      <c r="A10" s="25">
        <v>1</v>
      </c>
      <c r="B10" s="13" t="s">
        <v>1245</v>
      </c>
      <c r="C10" s="100" t="s">
        <v>1246</v>
      </c>
      <c r="D10" s="100" t="s">
        <v>1288</v>
      </c>
      <c r="E10" s="100" t="str">
        <f>"1,0527"</f>
        <v>1,0527</v>
      </c>
      <c r="F10" s="100" t="s">
        <v>1199</v>
      </c>
      <c r="G10" s="100" t="s">
        <v>482</v>
      </c>
      <c r="H10" s="115" t="s">
        <v>19</v>
      </c>
      <c r="I10" s="115" t="s">
        <v>20</v>
      </c>
      <c r="J10" s="115" t="s">
        <v>169</v>
      </c>
      <c r="K10" s="104"/>
      <c r="L10" s="110">
        <v>67.5</v>
      </c>
      <c r="M10" s="103" t="s">
        <v>1237</v>
      </c>
      <c r="N10" s="103" t="s">
        <v>505</v>
      </c>
      <c r="O10" s="103" t="s">
        <v>1247</v>
      </c>
      <c r="P10" s="110">
        <v>1260</v>
      </c>
      <c r="Q10" s="103" t="s">
        <v>1239</v>
      </c>
      <c r="R10" s="103" t="s">
        <v>1240</v>
      </c>
      <c r="S10" s="103" t="s">
        <v>1248</v>
      </c>
      <c r="T10" s="100" t="s">
        <v>1298</v>
      </c>
    </row>
    <row r="11" spans="1:20" ht="12.75">
      <c r="A11" s="25">
        <v>2</v>
      </c>
      <c r="B11" s="14" t="s">
        <v>1249</v>
      </c>
      <c r="C11" s="101" t="s">
        <v>1250</v>
      </c>
      <c r="D11" s="101" t="s">
        <v>1289</v>
      </c>
      <c r="E11" s="101" t="str">
        <f>"1,0142"</f>
        <v>1,0142</v>
      </c>
      <c r="F11" s="101" t="s">
        <v>10</v>
      </c>
      <c r="G11" s="101" t="s">
        <v>17</v>
      </c>
      <c r="H11" s="116" t="s">
        <v>326</v>
      </c>
      <c r="I11" s="119" t="s">
        <v>441</v>
      </c>
      <c r="J11" s="119" t="s">
        <v>441</v>
      </c>
      <c r="K11" s="106"/>
      <c r="L11" s="111">
        <v>75</v>
      </c>
      <c r="M11" s="105" t="s">
        <v>1239</v>
      </c>
      <c r="N11" s="105" t="s">
        <v>505</v>
      </c>
      <c r="O11" s="105" t="s">
        <v>1251</v>
      </c>
      <c r="P11" s="111">
        <v>1155</v>
      </c>
      <c r="Q11" s="105" t="s">
        <v>1237</v>
      </c>
      <c r="R11" s="105" t="s">
        <v>1240</v>
      </c>
      <c r="S11" s="105" t="s">
        <v>1252</v>
      </c>
      <c r="T11" s="101" t="s">
        <v>13</v>
      </c>
    </row>
    <row r="12" spans="2:20" ht="12.75">
      <c r="B12" s="92"/>
      <c r="C12" s="92"/>
      <c r="D12" s="92"/>
      <c r="E12" s="92"/>
      <c r="F12" s="92"/>
      <c r="G12" s="92"/>
      <c r="H12" s="92"/>
      <c r="I12" s="97"/>
      <c r="J12" s="97"/>
      <c r="K12" s="97"/>
      <c r="L12" s="112"/>
      <c r="M12" s="92"/>
      <c r="N12" s="92"/>
      <c r="O12" s="98"/>
      <c r="P12" s="112"/>
      <c r="Q12" s="92"/>
      <c r="R12" s="92"/>
      <c r="S12" s="92"/>
      <c r="T12" s="92"/>
    </row>
    <row r="13" spans="2:19" ht="15">
      <c r="B13" s="142" t="s">
        <v>170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1:20" ht="12.75">
      <c r="A14" s="25">
        <v>1</v>
      </c>
      <c r="B14" s="15" t="s">
        <v>1253</v>
      </c>
      <c r="C14" s="102" t="s">
        <v>1254</v>
      </c>
      <c r="D14" s="102" t="s">
        <v>1290</v>
      </c>
      <c r="E14" s="102" t="str">
        <f>"0,8816"</f>
        <v>0,8816</v>
      </c>
      <c r="F14" s="102" t="s">
        <v>1199</v>
      </c>
      <c r="G14" s="102" t="s">
        <v>482</v>
      </c>
      <c r="H14" s="118" t="s">
        <v>186</v>
      </c>
      <c r="I14" s="117" t="s">
        <v>186</v>
      </c>
      <c r="J14" s="117" t="s">
        <v>556</v>
      </c>
      <c r="K14" s="107"/>
      <c r="L14" s="113">
        <v>92.5</v>
      </c>
      <c r="M14" s="108" t="s">
        <v>1239</v>
      </c>
      <c r="N14" s="108" t="s">
        <v>19</v>
      </c>
      <c r="O14" s="108" t="s">
        <v>1002</v>
      </c>
      <c r="P14" s="113">
        <v>1440</v>
      </c>
      <c r="Q14" s="108" t="s">
        <v>1239</v>
      </c>
      <c r="R14" s="108" t="s">
        <v>1255</v>
      </c>
      <c r="S14" s="108" t="s">
        <v>1256</v>
      </c>
      <c r="T14" s="102" t="s">
        <v>1298</v>
      </c>
    </row>
    <row r="15" spans="2:20" ht="12.75"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112"/>
      <c r="M15" s="92"/>
      <c r="N15" s="92"/>
      <c r="O15" s="98"/>
      <c r="P15" s="112"/>
      <c r="Q15" s="92"/>
      <c r="R15" s="92"/>
      <c r="S15" s="92"/>
      <c r="T15" s="92"/>
    </row>
    <row r="16" spans="2:19" ht="15">
      <c r="B16" s="142" t="s">
        <v>50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</row>
    <row r="17" spans="1:20" ht="12.75">
      <c r="A17" s="25">
        <v>1</v>
      </c>
      <c r="B17" s="13" t="s">
        <v>1257</v>
      </c>
      <c r="C17" s="13" t="s">
        <v>1258</v>
      </c>
      <c r="D17" s="13" t="s">
        <v>1291</v>
      </c>
      <c r="E17" s="13" t="str">
        <f>"0,6432"</f>
        <v>0,6432</v>
      </c>
      <c r="F17" s="13" t="s">
        <v>1199</v>
      </c>
      <c r="G17" s="13" t="s">
        <v>482</v>
      </c>
      <c r="H17" s="37" t="s">
        <v>49</v>
      </c>
      <c r="I17" s="44" t="s">
        <v>11</v>
      </c>
      <c r="J17" s="44" t="s">
        <v>11</v>
      </c>
      <c r="K17" s="29"/>
      <c r="L17" s="33">
        <v>135</v>
      </c>
      <c r="M17" s="28" t="s">
        <v>1239</v>
      </c>
      <c r="N17" s="28" t="s">
        <v>187</v>
      </c>
      <c r="O17" s="28" t="s">
        <v>1273</v>
      </c>
      <c r="P17" s="33">
        <v>1440</v>
      </c>
      <c r="Q17" s="28" t="s">
        <v>1239</v>
      </c>
      <c r="R17" s="28" t="s">
        <v>1255</v>
      </c>
      <c r="S17" s="28" t="s">
        <v>1259</v>
      </c>
      <c r="T17" s="100" t="s">
        <v>1298</v>
      </c>
    </row>
    <row r="18" spans="1:20" ht="12.75">
      <c r="A18" s="25">
        <v>1</v>
      </c>
      <c r="B18" s="14" t="s">
        <v>1260</v>
      </c>
      <c r="C18" s="14" t="s">
        <v>1261</v>
      </c>
      <c r="D18" s="14" t="s">
        <v>1292</v>
      </c>
      <c r="E18" s="14" t="str">
        <f>"0,6417"</f>
        <v>0,6417</v>
      </c>
      <c r="F18" s="14" t="s">
        <v>1199</v>
      </c>
      <c r="G18" s="14" t="s">
        <v>482</v>
      </c>
      <c r="H18" s="38" t="s">
        <v>49</v>
      </c>
      <c r="I18" s="46" t="s">
        <v>25</v>
      </c>
      <c r="J18" s="46" t="s">
        <v>25</v>
      </c>
      <c r="K18" s="31"/>
      <c r="L18" s="34">
        <v>135</v>
      </c>
      <c r="M18" s="30" t="s">
        <v>1239</v>
      </c>
      <c r="N18" s="30" t="s">
        <v>187</v>
      </c>
      <c r="O18" s="30" t="s">
        <v>1237</v>
      </c>
      <c r="P18" s="34">
        <v>1620</v>
      </c>
      <c r="Q18" s="30" t="s">
        <v>1239</v>
      </c>
      <c r="R18" s="30" t="s">
        <v>1255</v>
      </c>
      <c r="S18" s="30" t="s">
        <v>1262</v>
      </c>
      <c r="T18" s="101" t="s">
        <v>13</v>
      </c>
    </row>
    <row r="19" ht="12.75">
      <c r="C19" s="100"/>
    </row>
    <row r="20" spans="2:19" ht="15">
      <c r="B20" s="142" t="s">
        <v>56</v>
      </c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</row>
    <row r="21" spans="1:20" ht="12.75">
      <c r="A21" s="25">
        <v>1</v>
      </c>
      <c r="B21" s="13" t="s">
        <v>1263</v>
      </c>
      <c r="C21" s="13" t="s">
        <v>1264</v>
      </c>
      <c r="D21" s="13" t="s">
        <v>1293</v>
      </c>
      <c r="E21" s="13" t="str">
        <f>"0,6126"</f>
        <v>0,6126</v>
      </c>
      <c r="F21" s="13" t="s">
        <v>1265</v>
      </c>
      <c r="G21" s="13" t="s">
        <v>308</v>
      </c>
      <c r="H21" s="37" t="s">
        <v>268</v>
      </c>
      <c r="I21" s="37" t="s">
        <v>226</v>
      </c>
      <c r="J21" s="37" t="s">
        <v>55</v>
      </c>
      <c r="K21" s="29"/>
      <c r="L21" s="33">
        <v>175</v>
      </c>
      <c r="M21" s="28" t="s">
        <v>1239</v>
      </c>
      <c r="N21" s="28" t="s">
        <v>205</v>
      </c>
      <c r="O21" s="28" t="s">
        <v>1028</v>
      </c>
      <c r="P21" s="33">
        <v>2300</v>
      </c>
      <c r="Q21" s="28" t="s">
        <v>1239</v>
      </c>
      <c r="R21" s="28" t="s">
        <v>1255</v>
      </c>
      <c r="S21" s="28" t="s">
        <v>1267</v>
      </c>
      <c r="T21" s="13" t="s">
        <v>13</v>
      </c>
    </row>
    <row r="22" spans="1:20" ht="12.75">
      <c r="A22" s="25">
        <v>2</v>
      </c>
      <c r="B22" s="17" t="s">
        <v>1268</v>
      </c>
      <c r="C22" s="17" t="s">
        <v>1269</v>
      </c>
      <c r="D22" s="17" t="s">
        <v>1294</v>
      </c>
      <c r="E22" s="17" t="str">
        <f>"0,6232"</f>
        <v>0,6232</v>
      </c>
      <c r="F22" s="17" t="s">
        <v>1199</v>
      </c>
      <c r="G22" s="17" t="s">
        <v>482</v>
      </c>
      <c r="H22" s="43" t="s">
        <v>11</v>
      </c>
      <c r="I22" s="43" t="s">
        <v>285</v>
      </c>
      <c r="J22" s="43" t="s">
        <v>200</v>
      </c>
      <c r="K22" s="41"/>
      <c r="L22" s="42">
        <v>155</v>
      </c>
      <c r="M22" s="40" t="s">
        <v>1237</v>
      </c>
      <c r="N22" s="40" t="s">
        <v>205</v>
      </c>
      <c r="O22" s="40" t="s">
        <v>1297</v>
      </c>
      <c r="P22" s="42">
        <v>2100</v>
      </c>
      <c r="Q22" s="40" t="s">
        <v>1237</v>
      </c>
      <c r="R22" s="40" t="s">
        <v>1247</v>
      </c>
      <c r="S22" s="40" t="s">
        <v>1270</v>
      </c>
      <c r="T22" s="17" t="s">
        <v>1299</v>
      </c>
    </row>
    <row r="23" spans="1:20" ht="12.75">
      <c r="A23" s="25">
        <v>3</v>
      </c>
      <c r="B23" s="14" t="s">
        <v>1271</v>
      </c>
      <c r="C23" s="14" t="s">
        <v>1272</v>
      </c>
      <c r="D23" s="14" t="s">
        <v>682</v>
      </c>
      <c r="E23" s="14" t="str">
        <f>"0,6096"</f>
        <v>0,6096</v>
      </c>
      <c r="F23" s="14" t="s">
        <v>1265</v>
      </c>
      <c r="G23" s="14" t="s">
        <v>409</v>
      </c>
      <c r="H23" s="38" t="s">
        <v>11</v>
      </c>
      <c r="I23" s="38" t="s">
        <v>12</v>
      </c>
      <c r="J23" s="46" t="s">
        <v>253</v>
      </c>
      <c r="K23" s="31"/>
      <c r="L23" s="34">
        <v>150</v>
      </c>
      <c r="M23" s="30" t="s">
        <v>1273</v>
      </c>
      <c r="N23" s="30" t="s">
        <v>205</v>
      </c>
      <c r="O23" s="30" t="s">
        <v>1239</v>
      </c>
      <c r="P23" s="34">
        <v>2000</v>
      </c>
      <c r="Q23" s="30" t="s">
        <v>1273</v>
      </c>
      <c r="R23" s="30" t="s">
        <v>1274</v>
      </c>
      <c r="S23" s="30" t="s">
        <v>1275</v>
      </c>
      <c r="T23" s="14" t="s">
        <v>13</v>
      </c>
    </row>
    <row r="24" spans="14:16" ht="12.75">
      <c r="N24" s="92"/>
      <c r="O24" s="98"/>
      <c r="P24" s="112"/>
    </row>
    <row r="25" spans="2:19" ht="15">
      <c r="B25" s="142" t="s">
        <v>91</v>
      </c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</row>
    <row r="26" spans="1:20" ht="12.75">
      <c r="A26" s="25">
        <v>1</v>
      </c>
      <c r="B26" s="15" t="s">
        <v>1276</v>
      </c>
      <c r="C26" s="15" t="s">
        <v>1277</v>
      </c>
      <c r="D26" s="15" t="s">
        <v>1295</v>
      </c>
      <c r="E26" s="15" t="str">
        <f>"0,5914"</f>
        <v>0,5914</v>
      </c>
      <c r="F26" s="15" t="s">
        <v>1265</v>
      </c>
      <c r="G26" s="15" t="s">
        <v>308</v>
      </c>
      <c r="H26" s="36" t="s">
        <v>12</v>
      </c>
      <c r="I26" s="39" t="s">
        <v>200</v>
      </c>
      <c r="J26" s="39" t="s">
        <v>200</v>
      </c>
      <c r="K26" s="26"/>
      <c r="L26" s="32">
        <v>150</v>
      </c>
      <c r="M26" s="27" t="s">
        <v>1239</v>
      </c>
      <c r="N26" s="27" t="s">
        <v>1278</v>
      </c>
      <c r="O26" s="27" t="s">
        <v>1279</v>
      </c>
      <c r="P26" s="32">
        <v>1100</v>
      </c>
      <c r="Q26" s="27" t="s">
        <v>1239</v>
      </c>
      <c r="R26" s="27" t="s">
        <v>1255</v>
      </c>
      <c r="S26" s="27" t="s">
        <v>1280</v>
      </c>
      <c r="T26" s="15" t="s">
        <v>877</v>
      </c>
    </row>
    <row r="28" spans="2:20" ht="15">
      <c r="B28" s="142" t="s">
        <v>1281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/>
    </row>
    <row r="29" spans="1:20" ht="12.75">
      <c r="A29" s="25">
        <v>1</v>
      </c>
      <c r="B29" s="15" t="s">
        <v>1282</v>
      </c>
      <c r="C29" s="15" t="s">
        <v>1283</v>
      </c>
      <c r="D29" s="15" t="s">
        <v>1296</v>
      </c>
      <c r="E29" s="15" t="str">
        <f>"0,5731"</f>
        <v>0,5731</v>
      </c>
      <c r="F29" s="15" t="s">
        <v>10</v>
      </c>
      <c r="G29" s="15" t="s">
        <v>185</v>
      </c>
      <c r="H29" s="36" t="s">
        <v>108</v>
      </c>
      <c r="I29" s="36" t="s">
        <v>102</v>
      </c>
      <c r="J29" s="36" t="s">
        <v>280</v>
      </c>
      <c r="K29" s="26"/>
      <c r="L29" s="32">
        <v>195</v>
      </c>
      <c r="M29" s="27" t="s">
        <v>1239</v>
      </c>
      <c r="N29" s="27" t="s">
        <v>1284</v>
      </c>
      <c r="O29" s="27" t="s">
        <v>1285</v>
      </c>
      <c r="P29" s="114">
        <v>1950</v>
      </c>
      <c r="Q29" s="27" t="s">
        <v>1239</v>
      </c>
      <c r="R29" s="27" t="s">
        <v>1255</v>
      </c>
      <c r="S29" s="109">
        <v>7096.4108</v>
      </c>
      <c r="T29" s="15" t="s">
        <v>877</v>
      </c>
    </row>
  </sheetData>
  <sheetProtection/>
  <mergeCells count="24">
    <mergeCell ref="B28:S28"/>
    <mergeCell ref="Q3:Q4"/>
    <mergeCell ref="R3:R4"/>
    <mergeCell ref="S3:S4"/>
    <mergeCell ref="B25:S25"/>
    <mergeCell ref="T3:T4"/>
    <mergeCell ref="B1:T2"/>
    <mergeCell ref="B3:B4"/>
    <mergeCell ref="C3:C4"/>
    <mergeCell ref="D3:D4"/>
    <mergeCell ref="E3:E4"/>
    <mergeCell ref="F3:F4"/>
    <mergeCell ref="G3:G4"/>
    <mergeCell ref="H3:K3"/>
    <mergeCell ref="L3:L4"/>
    <mergeCell ref="A3:A4"/>
    <mergeCell ref="B5:S5"/>
    <mergeCell ref="B9:S9"/>
    <mergeCell ref="B13:S13"/>
    <mergeCell ref="B16:S16"/>
    <mergeCell ref="B20:S20"/>
    <mergeCell ref="N3:O3"/>
    <mergeCell ref="P3:P4"/>
    <mergeCell ref="M3:M4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G31" sqref="G31"/>
    </sheetView>
  </sheetViews>
  <sheetFormatPr defaultColWidth="8.75390625" defaultRowHeight="12.75"/>
  <cols>
    <col min="1" max="1" width="9.125" style="25" customWidth="1"/>
    <col min="2" max="2" width="24.75390625" style="11" bestFit="1" customWidth="1"/>
    <col min="3" max="3" width="27.125" style="1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33.00390625" style="11" customWidth="1"/>
    <col min="8" max="10" width="5.625" style="11" bestFit="1" customWidth="1"/>
    <col min="11" max="11" width="4.25390625" style="11" bestFit="1" customWidth="1"/>
    <col min="12" max="12" width="10.75390625" style="35" customWidth="1"/>
    <col min="13" max="13" width="8.625" style="11" bestFit="1" customWidth="1"/>
    <col min="14" max="14" width="17.625" style="11" bestFit="1" customWidth="1"/>
  </cols>
  <sheetData>
    <row r="1" spans="1:14" s="1" customFormat="1" ht="15" customHeight="1">
      <c r="A1" s="24"/>
      <c r="B1" s="150" t="s">
        <v>1441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84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5" spans="2:13" ht="15">
      <c r="B5" s="142" t="s">
        <v>1141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4" ht="12.75">
      <c r="A6" s="25">
        <v>1</v>
      </c>
      <c r="B6" s="13" t="s">
        <v>1249</v>
      </c>
      <c r="C6" s="13" t="s">
        <v>1250</v>
      </c>
      <c r="D6" s="13" t="s">
        <v>1289</v>
      </c>
      <c r="E6" s="13" t="str">
        <f>"1,0142"</f>
        <v>1,0142</v>
      </c>
      <c r="F6" s="13" t="s">
        <v>10</v>
      </c>
      <c r="G6" s="13" t="s">
        <v>17</v>
      </c>
      <c r="H6" s="37" t="s">
        <v>326</v>
      </c>
      <c r="I6" s="44" t="s">
        <v>441</v>
      </c>
      <c r="J6" s="44" t="s">
        <v>441</v>
      </c>
      <c r="K6" s="29"/>
      <c r="L6" s="33">
        <v>75</v>
      </c>
      <c r="M6" s="28" t="str">
        <f>"76,0650"</f>
        <v>76,0650</v>
      </c>
      <c r="N6" s="13" t="s">
        <v>13</v>
      </c>
    </row>
    <row r="7" spans="1:14" ht="12.75">
      <c r="A7" s="25">
        <v>2</v>
      </c>
      <c r="B7" s="14" t="s">
        <v>1245</v>
      </c>
      <c r="C7" s="14" t="s">
        <v>1246</v>
      </c>
      <c r="D7" s="14" t="s">
        <v>1288</v>
      </c>
      <c r="E7" s="14" t="str">
        <f>"1,0527"</f>
        <v>1,0527</v>
      </c>
      <c r="F7" s="14" t="s">
        <v>1199</v>
      </c>
      <c r="G7" s="14" t="s">
        <v>482</v>
      </c>
      <c r="H7" s="38" t="s">
        <v>19</v>
      </c>
      <c r="I7" s="38" t="s">
        <v>20</v>
      </c>
      <c r="J7" s="38" t="s">
        <v>169</v>
      </c>
      <c r="K7" s="31"/>
      <c r="L7" s="34">
        <v>67.5</v>
      </c>
      <c r="M7" s="30" t="str">
        <f>"71,0573"</f>
        <v>71,0573</v>
      </c>
      <c r="N7" s="14" t="s">
        <v>1299</v>
      </c>
    </row>
    <row r="9" spans="2:13" ht="15">
      <c r="B9" s="142" t="s">
        <v>170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4" ht="12.75">
      <c r="A10" s="25">
        <v>1</v>
      </c>
      <c r="B10" s="15" t="s">
        <v>1253</v>
      </c>
      <c r="C10" s="15" t="s">
        <v>1254</v>
      </c>
      <c r="D10" s="15" t="s">
        <v>1290</v>
      </c>
      <c r="E10" s="15" t="str">
        <f>"0,8816"</f>
        <v>0,8816</v>
      </c>
      <c r="F10" s="15" t="s">
        <v>1199</v>
      </c>
      <c r="G10" s="15" t="s">
        <v>482</v>
      </c>
      <c r="H10" s="39" t="s">
        <v>186</v>
      </c>
      <c r="I10" s="36" t="s">
        <v>186</v>
      </c>
      <c r="J10" s="36" t="s">
        <v>556</v>
      </c>
      <c r="K10" s="26"/>
      <c r="L10" s="32">
        <v>92.5</v>
      </c>
      <c r="M10" s="27" t="str">
        <f>"81,5480"</f>
        <v>81,5480</v>
      </c>
      <c r="N10" s="15" t="s">
        <v>1299</v>
      </c>
    </row>
    <row r="12" spans="2:13" ht="15">
      <c r="B12" s="142" t="s">
        <v>50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4" ht="12.75">
      <c r="A13" s="25">
        <v>1</v>
      </c>
      <c r="B13" s="13" t="s">
        <v>1300</v>
      </c>
      <c r="C13" s="13" t="s">
        <v>1301</v>
      </c>
      <c r="D13" s="13" t="s">
        <v>186</v>
      </c>
      <c r="E13" s="13" t="str">
        <f>"0,6583"</f>
        <v>0,6583</v>
      </c>
      <c r="F13" s="13" t="s">
        <v>1199</v>
      </c>
      <c r="G13" s="13" t="s">
        <v>482</v>
      </c>
      <c r="H13" s="44" t="s">
        <v>49</v>
      </c>
      <c r="I13" s="37" t="s">
        <v>49</v>
      </c>
      <c r="J13" s="44" t="s">
        <v>11</v>
      </c>
      <c r="K13" s="29"/>
      <c r="L13" s="33">
        <v>135</v>
      </c>
      <c r="M13" s="28" t="str">
        <f>"88,8705"</f>
        <v>88,8705</v>
      </c>
      <c r="N13" s="13" t="s">
        <v>13</v>
      </c>
    </row>
    <row r="14" spans="1:14" ht="12.75">
      <c r="A14" s="25">
        <v>2</v>
      </c>
      <c r="B14" s="14" t="s">
        <v>1257</v>
      </c>
      <c r="C14" s="14" t="s">
        <v>1258</v>
      </c>
      <c r="D14" s="14" t="s">
        <v>1291</v>
      </c>
      <c r="E14" s="14" t="str">
        <f>"0,6432"</f>
        <v>0,6432</v>
      </c>
      <c r="F14" s="14" t="s">
        <v>1199</v>
      </c>
      <c r="G14" s="14" t="s">
        <v>482</v>
      </c>
      <c r="H14" s="38" t="s">
        <v>49</v>
      </c>
      <c r="I14" s="46" t="s">
        <v>11</v>
      </c>
      <c r="J14" s="46" t="s">
        <v>11</v>
      </c>
      <c r="K14" s="31"/>
      <c r="L14" s="34">
        <v>135</v>
      </c>
      <c r="M14" s="30" t="str">
        <f>"86,8320"</f>
        <v>86,8320</v>
      </c>
      <c r="N14" s="14" t="s">
        <v>1299</v>
      </c>
    </row>
    <row r="16" spans="2:13" ht="15">
      <c r="B16" s="142" t="s">
        <v>56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4" ht="12.75">
      <c r="A17" s="25">
        <v>1</v>
      </c>
      <c r="B17" s="15" t="s">
        <v>1268</v>
      </c>
      <c r="C17" s="15" t="s">
        <v>1269</v>
      </c>
      <c r="D17" s="15" t="s">
        <v>1294</v>
      </c>
      <c r="E17" s="15" t="str">
        <f>"0,6232"</f>
        <v>0,6232</v>
      </c>
      <c r="F17" s="15" t="s">
        <v>1199</v>
      </c>
      <c r="G17" s="15" t="s">
        <v>482</v>
      </c>
      <c r="H17" s="36" t="s">
        <v>11</v>
      </c>
      <c r="I17" s="36" t="s">
        <v>285</v>
      </c>
      <c r="J17" s="36" t="s">
        <v>200</v>
      </c>
      <c r="K17" s="26"/>
      <c r="L17" s="32">
        <v>155</v>
      </c>
      <c r="M17" s="27" t="str">
        <f>"96,5960"</f>
        <v>96,5960</v>
      </c>
      <c r="N17" s="15" t="s">
        <v>1299</v>
      </c>
    </row>
    <row r="19" spans="2:13" ht="15">
      <c r="B19" s="142" t="s">
        <v>91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spans="1:14" ht="12.75">
      <c r="A20" s="25">
        <v>1</v>
      </c>
      <c r="B20" s="15" t="s">
        <v>1302</v>
      </c>
      <c r="C20" s="15" t="s">
        <v>1303</v>
      </c>
      <c r="D20" s="15" t="s">
        <v>206</v>
      </c>
      <c r="E20" s="15" t="str">
        <f>"0,5885"</f>
        <v>0,5885</v>
      </c>
      <c r="F20" s="15" t="s">
        <v>10</v>
      </c>
      <c r="G20" s="15" t="s">
        <v>696</v>
      </c>
      <c r="H20" s="36" t="s">
        <v>321</v>
      </c>
      <c r="I20" s="39" t="s">
        <v>61</v>
      </c>
      <c r="J20" s="39" t="s">
        <v>61</v>
      </c>
      <c r="K20" s="26"/>
      <c r="L20" s="32">
        <v>177.5</v>
      </c>
      <c r="M20" s="27" t="str">
        <f>"104,4588"</f>
        <v>104,4588</v>
      </c>
      <c r="N20" s="15" t="s">
        <v>707</v>
      </c>
    </row>
  </sheetData>
  <sheetProtection/>
  <mergeCells count="17">
    <mergeCell ref="B19:M19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A3:A4"/>
    <mergeCell ref="N3:N4"/>
    <mergeCell ref="B5:M5"/>
    <mergeCell ref="B9:M9"/>
    <mergeCell ref="B12:M12"/>
    <mergeCell ref="B16:M16"/>
    <mergeCell ref="M3:M4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1">
      <selection activeCell="G38" sqref="G37:G38"/>
    </sheetView>
  </sheetViews>
  <sheetFormatPr defaultColWidth="8.75390625" defaultRowHeight="12.75"/>
  <cols>
    <col min="1" max="1" width="9.125" style="25" customWidth="1"/>
    <col min="2" max="2" width="24.75390625" style="11" bestFit="1" customWidth="1"/>
    <col min="3" max="3" width="26.00390625" style="1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38.375" style="11" bestFit="1" customWidth="1"/>
    <col min="8" max="8" width="5.625" style="11" bestFit="1" customWidth="1"/>
    <col min="9" max="9" width="10.25390625" style="96" customWidth="1"/>
    <col min="10" max="10" width="9.75390625" style="35" customWidth="1"/>
    <col min="11" max="11" width="9.625" style="11" bestFit="1" customWidth="1"/>
    <col min="12" max="12" width="16.75390625" style="11" bestFit="1" customWidth="1"/>
  </cols>
  <sheetData>
    <row r="1" spans="1:12" s="1" customFormat="1" ht="15" customHeight="1">
      <c r="A1" s="24"/>
      <c r="B1" s="150" t="s">
        <v>1443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1" customFormat="1" ht="81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4" t="s">
        <v>990</v>
      </c>
      <c r="K3" s="146" t="s">
        <v>3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988</v>
      </c>
      <c r="I4" s="95" t="s">
        <v>989</v>
      </c>
      <c r="J4" s="145"/>
      <c r="K4" s="147"/>
      <c r="L4" s="162"/>
    </row>
    <row r="5" spans="2:11" ht="15">
      <c r="B5" s="142" t="s">
        <v>1141</v>
      </c>
      <c r="C5" s="142"/>
      <c r="D5" s="142"/>
      <c r="E5" s="142"/>
      <c r="F5" s="142"/>
      <c r="G5" s="142"/>
      <c r="H5" s="142"/>
      <c r="I5" s="142"/>
      <c r="J5" s="142"/>
      <c r="K5" s="142"/>
    </row>
    <row r="6" spans="1:12" ht="12.75">
      <c r="A6" s="25">
        <v>1</v>
      </c>
      <c r="B6" s="15" t="s">
        <v>1304</v>
      </c>
      <c r="C6" s="15" t="s">
        <v>1305</v>
      </c>
      <c r="D6" s="15" t="s">
        <v>716</v>
      </c>
      <c r="E6" s="15" t="str">
        <f>"1,0261"</f>
        <v>1,0261</v>
      </c>
      <c r="F6" s="15" t="s">
        <v>10</v>
      </c>
      <c r="G6" s="15" t="s">
        <v>303</v>
      </c>
      <c r="H6" s="27" t="s">
        <v>438</v>
      </c>
      <c r="I6" s="27" t="s">
        <v>1318</v>
      </c>
      <c r="J6" s="32">
        <v>910</v>
      </c>
      <c r="K6" s="27" t="s">
        <v>1307</v>
      </c>
      <c r="L6" s="15" t="s">
        <v>13</v>
      </c>
    </row>
    <row r="8" spans="2:11" ht="15">
      <c r="B8" s="142" t="s">
        <v>50</v>
      </c>
      <c r="C8" s="142"/>
      <c r="D8" s="142"/>
      <c r="E8" s="142"/>
      <c r="F8" s="142"/>
      <c r="G8" s="142"/>
      <c r="H8" s="142"/>
      <c r="I8" s="142"/>
      <c r="J8" s="142"/>
      <c r="K8" s="142"/>
    </row>
    <row r="9" spans="1:12" ht="12.75">
      <c r="A9" s="25">
        <v>1</v>
      </c>
      <c r="B9" s="15" t="s">
        <v>1308</v>
      </c>
      <c r="C9" s="15" t="s">
        <v>1309</v>
      </c>
      <c r="D9" s="15" t="s">
        <v>1207</v>
      </c>
      <c r="E9" s="15" t="str">
        <f>"0,6519"</f>
        <v>0,6519</v>
      </c>
      <c r="F9" s="15" t="s">
        <v>1265</v>
      </c>
      <c r="G9" s="15" t="s">
        <v>308</v>
      </c>
      <c r="H9" s="27" t="s">
        <v>187</v>
      </c>
      <c r="I9" s="27" t="s">
        <v>1002</v>
      </c>
      <c r="J9" s="32">
        <v>2160</v>
      </c>
      <c r="K9" s="27" t="s">
        <v>1310</v>
      </c>
      <c r="L9" s="15" t="s">
        <v>13</v>
      </c>
    </row>
    <row r="11" spans="2:11" ht="15">
      <c r="B11" s="142" t="s">
        <v>56</v>
      </c>
      <c r="C11" s="142"/>
      <c r="D11" s="142"/>
      <c r="E11" s="142"/>
      <c r="F11" s="142"/>
      <c r="G11" s="142"/>
      <c r="H11" s="142"/>
      <c r="I11" s="142"/>
      <c r="J11" s="142"/>
      <c r="K11" s="142"/>
    </row>
    <row r="12" spans="1:12" ht="12.75">
      <c r="A12" s="25">
        <v>1</v>
      </c>
      <c r="B12" s="15" t="s">
        <v>1263</v>
      </c>
      <c r="C12" s="15" t="s">
        <v>1264</v>
      </c>
      <c r="D12" s="15" t="s">
        <v>1293</v>
      </c>
      <c r="E12" s="15" t="str">
        <f>"0,6126"</f>
        <v>0,6126</v>
      </c>
      <c r="F12" s="15" t="s">
        <v>1265</v>
      </c>
      <c r="G12" s="15" t="s">
        <v>308</v>
      </c>
      <c r="H12" s="27" t="s">
        <v>205</v>
      </c>
      <c r="I12" s="27" t="s">
        <v>1028</v>
      </c>
      <c r="J12" s="32">
        <v>2300</v>
      </c>
      <c r="K12" s="27" t="s">
        <v>1311</v>
      </c>
      <c r="L12" s="15" t="s">
        <v>13</v>
      </c>
    </row>
    <row r="14" spans="2:11" ht="15">
      <c r="B14" s="142" t="s">
        <v>91</v>
      </c>
      <c r="C14" s="142"/>
      <c r="D14" s="142"/>
      <c r="E14" s="142"/>
      <c r="F14" s="142"/>
      <c r="G14" s="142"/>
      <c r="H14" s="142"/>
      <c r="I14" s="142"/>
      <c r="J14" s="142"/>
      <c r="K14" s="142"/>
    </row>
    <row r="15" spans="1:12" ht="12.75">
      <c r="A15" s="25">
        <v>1</v>
      </c>
      <c r="B15" s="15" t="s">
        <v>1276</v>
      </c>
      <c r="C15" s="15" t="s">
        <v>1277</v>
      </c>
      <c r="D15" s="15" t="s">
        <v>1295</v>
      </c>
      <c r="E15" s="15" t="str">
        <f>"0,5914"</f>
        <v>0,5914</v>
      </c>
      <c r="F15" s="15" t="s">
        <v>1265</v>
      </c>
      <c r="G15" s="15" t="s">
        <v>308</v>
      </c>
      <c r="H15" s="27" t="s">
        <v>206</v>
      </c>
      <c r="I15" s="27" t="s">
        <v>1279</v>
      </c>
      <c r="J15" s="32">
        <v>1100</v>
      </c>
      <c r="K15" s="27" t="s">
        <v>1312</v>
      </c>
      <c r="L15" s="15" t="s">
        <v>13</v>
      </c>
    </row>
    <row r="17" spans="2:11" ht="15">
      <c r="B17" s="142" t="s">
        <v>1313</v>
      </c>
      <c r="C17" s="142"/>
      <c r="D17" s="142"/>
      <c r="E17" s="142"/>
      <c r="F17" s="142"/>
      <c r="G17" s="142"/>
      <c r="H17" s="142"/>
      <c r="I17" s="142"/>
      <c r="J17" s="142"/>
      <c r="K17" s="142"/>
    </row>
    <row r="18" spans="1:12" ht="12.75">
      <c r="A18" s="25">
        <v>1</v>
      </c>
      <c r="B18" s="15" t="s">
        <v>1314</v>
      </c>
      <c r="C18" s="15" t="s">
        <v>1315</v>
      </c>
      <c r="D18" s="15" t="s">
        <v>1317</v>
      </c>
      <c r="E18" s="15" t="str">
        <f>"0,5849"</f>
        <v>0,5849</v>
      </c>
      <c r="F18" s="15" t="s">
        <v>1265</v>
      </c>
      <c r="G18" s="15" t="s">
        <v>409</v>
      </c>
      <c r="H18" s="27" t="s">
        <v>213</v>
      </c>
      <c r="I18" s="27" t="s">
        <v>1319</v>
      </c>
      <c r="J18" s="32">
        <v>3120</v>
      </c>
      <c r="K18" s="27" t="s">
        <v>1316</v>
      </c>
      <c r="L18" s="15" t="s">
        <v>13</v>
      </c>
    </row>
  </sheetData>
  <sheetProtection/>
  <mergeCells count="17">
    <mergeCell ref="B17:K17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A3:A4"/>
    <mergeCell ref="L3:L4"/>
    <mergeCell ref="B5:K5"/>
    <mergeCell ref="B8:K8"/>
    <mergeCell ref="B11:K11"/>
    <mergeCell ref="B14:K14"/>
    <mergeCell ref="K3:K4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F1">
      <selection activeCell="A3" sqref="A3:T4"/>
    </sheetView>
  </sheetViews>
  <sheetFormatPr defaultColWidth="8.75390625" defaultRowHeight="12.75"/>
  <cols>
    <col min="1" max="1" width="8.625" style="25" customWidth="1"/>
    <col min="2" max="2" width="18.25390625" style="11" customWidth="1"/>
    <col min="3" max="3" width="26.875" style="11" customWidth="1"/>
    <col min="4" max="4" width="8.75390625" style="11" customWidth="1"/>
    <col min="5" max="5" width="8.25390625" style="11" bestFit="1" customWidth="1"/>
    <col min="6" max="6" width="18.625" style="11" customWidth="1"/>
    <col min="7" max="7" width="31.375" style="11" customWidth="1"/>
    <col min="8" max="10" width="5.625" style="11" bestFit="1" customWidth="1"/>
    <col min="11" max="11" width="4.25390625" style="11" bestFit="1" customWidth="1"/>
    <col min="12" max="12" width="11.625" style="35" customWidth="1"/>
    <col min="13" max="13" width="7.75390625" style="11" bestFit="1" customWidth="1"/>
    <col min="14" max="14" width="5.625" style="11" bestFit="1" customWidth="1"/>
    <col min="15" max="15" width="9.125" style="96" customWidth="1"/>
    <col min="16" max="16" width="8.00390625" style="35" customWidth="1"/>
    <col min="17" max="17" width="7.75390625" style="11" bestFit="1" customWidth="1"/>
    <col min="18" max="18" width="13.875" style="11" customWidth="1"/>
    <col min="19" max="19" width="10.875" style="11" customWidth="1"/>
    <col min="20" max="20" width="15.625" style="11" customWidth="1"/>
  </cols>
  <sheetData>
    <row r="1" spans="1:20" s="1" customFormat="1" ht="15" customHeight="1">
      <c r="A1" s="24"/>
      <c r="B1" s="150" t="s">
        <v>1364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</row>
    <row r="2" spans="1:20" s="1" customFormat="1" ht="111.7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</row>
    <row r="3" spans="1:20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4" t="s">
        <v>676</v>
      </c>
      <c r="M3" s="146" t="s">
        <v>1233</v>
      </c>
      <c r="N3" s="146" t="s">
        <v>709</v>
      </c>
      <c r="O3" s="146"/>
      <c r="P3" s="144" t="s">
        <v>990</v>
      </c>
      <c r="Q3" s="146" t="s">
        <v>1233</v>
      </c>
      <c r="R3" s="146" t="s">
        <v>1234</v>
      </c>
      <c r="S3" s="146" t="s">
        <v>3</v>
      </c>
      <c r="T3" s="161" t="s">
        <v>2</v>
      </c>
    </row>
    <row r="4" spans="1:20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3" t="s">
        <v>988</v>
      </c>
      <c r="O4" s="95" t="s">
        <v>989</v>
      </c>
      <c r="P4" s="145"/>
      <c r="Q4" s="147"/>
      <c r="R4" s="147"/>
      <c r="S4" s="147"/>
      <c r="T4" s="162"/>
    </row>
    <row r="5" spans="2:19" ht="15">
      <c r="B5" s="163" t="s">
        <v>170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20" ht="12.75">
      <c r="A6" s="25">
        <v>1</v>
      </c>
      <c r="B6" s="15" t="s">
        <v>1197</v>
      </c>
      <c r="C6" s="15" t="s">
        <v>1198</v>
      </c>
      <c r="D6" s="15" t="s">
        <v>1208</v>
      </c>
      <c r="E6" s="15" t="str">
        <f>"1,2141"</f>
        <v>1,2141</v>
      </c>
      <c r="F6" s="15" t="s">
        <v>1199</v>
      </c>
      <c r="G6" s="15" t="s">
        <v>482</v>
      </c>
      <c r="H6" s="36" t="s">
        <v>326</v>
      </c>
      <c r="I6" s="36" t="s">
        <v>441</v>
      </c>
      <c r="J6" s="39" t="s">
        <v>194</v>
      </c>
      <c r="K6" s="26"/>
      <c r="L6" s="32">
        <v>80</v>
      </c>
      <c r="M6" s="27" t="s">
        <v>1239</v>
      </c>
      <c r="N6" s="27" t="s">
        <v>19</v>
      </c>
      <c r="O6" s="27" t="s">
        <v>1306</v>
      </c>
      <c r="P6" s="32">
        <v>780</v>
      </c>
      <c r="Q6" s="27" t="s">
        <v>1239</v>
      </c>
      <c r="R6" s="27" t="s">
        <v>1255</v>
      </c>
      <c r="S6" s="27" t="s">
        <v>1320</v>
      </c>
      <c r="T6" s="15" t="s">
        <v>1210</v>
      </c>
    </row>
    <row r="8" spans="2:19" ht="15">
      <c r="B8" s="142" t="s">
        <v>1141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</row>
    <row r="9" spans="1:20" ht="12.75">
      <c r="A9" s="25">
        <v>1</v>
      </c>
      <c r="B9" s="15" t="s">
        <v>1171</v>
      </c>
      <c r="C9" s="15" t="s">
        <v>1172</v>
      </c>
      <c r="D9" s="15" t="s">
        <v>1177</v>
      </c>
      <c r="E9" s="15" t="str">
        <f>"1,0420"</f>
        <v>1,0420</v>
      </c>
      <c r="F9" s="15" t="s">
        <v>1321</v>
      </c>
      <c r="G9" s="15" t="s">
        <v>1056</v>
      </c>
      <c r="H9" s="36" t="s">
        <v>19</v>
      </c>
      <c r="I9" s="39" t="s">
        <v>163</v>
      </c>
      <c r="J9" s="39" t="s">
        <v>163</v>
      </c>
      <c r="K9" s="26"/>
      <c r="L9" s="32">
        <v>60</v>
      </c>
      <c r="M9" s="27" t="s">
        <v>1239</v>
      </c>
      <c r="N9" s="27" t="s">
        <v>505</v>
      </c>
      <c r="O9" s="27" t="s">
        <v>1322</v>
      </c>
      <c r="P9" s="32">
        <v>665</v>
      </c>
      <c r="Q9" s="27" t="s">
        <v>1239</v>
      </c>
      <c r="R9" s="27" t="s">
        <v>1255</v>
      </c>
      <c r="S9" s="27" t="s">
        <v>1323</v>
      </c>
      <c r="T9" s="15" t="s">
        <v>13</v>
      </c>
    </row>
    <row r="11" spans="2:19" ht="15">
      <c r="B11" s="142" t="s">
        <v>1183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2:20" ht="12.75">
      <c r="B12" s="15" t="s">
        <v>1324</v>
      </c>
      <c r="C12" s="15" t="s">
        <v>1325</v>
      </c>
      <c r="D12" s="15" t="s">
        <v>1367</v>
      </c>
      <c r="E12" s="15" t="str">
        <f>"0,9311"</f>
        <v>0,9311</v>
      </c>
      <c r="F12" s="15" t="s">
        <v>1321</v>
      </c>
      <c r="G12" s="15" t="s">
        <v>1056</v>
      </c>
      <c r="H12" s="39" t="s">
        <v>505</v>
      </c>
      <c r="I12" s="36" t="s">
        <v>506</v>
      </c>
      <c r="J12" s="36" t="s">
        <v>500</v>
      </c>
      <c r="K12" s="26"/>
      <c r="L12" s="32">
        <v>40</v>
      </c>
      <c r="M12" s="27" t="s">
        <v>1239</v>
      </c>
      <c r="N12" s="27" t="s">
        <v>500</v>
      </c>
      <c r="O12" s="27" t="s">
        <v>1326</v>
      </c>
      <c r="P12" s="63">
        <v>0</v>
      </c>
      <c r="Q12" s="27" t="s">
        <v>713</v>
      </c>
      <c r="R12" s="27" t="s">
        <v>713</v>
      </c>
      <c r="S12" s="27" t="s">
        <v>713</v>
      </c>
      <c r="T12" s="15" t="s">
        <v>13</v>
      </c>
    </row>
    <row r="15" spans="2:19" ht="15">
      <c r="B15" s="142" t="s">
        <v>50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</row>
    <row r="16" spans="1:20" ht="12.75">
      <c r="A16" s="25">
        <v>1</v>
      </c>
      <c r="B16" s="15" t="s">
        <v>1327</v>
      </c>
      <c r="C16" s="15" t="s">
        <v>1328</v>
      </c>
      <c r="D16" s="15" t="s">
        <v>893</v>
      </c>
      <c r="E16" s="15" t="str">
        <f>"0,6483"</f>
        <v>0,6483</v>
      </c>
      <c r="F16" s="15" t="s">
        <v>1265</v>
      </c>
      <c r="G16" s="15" t="s">
        <v>409</v>
      </c>
      <c r="H16" s="36" t="s">
        <v>11</v>
      </c>
      <c r="I16" s="36" t="s">
        <v>12</v>
      </c>
      <c r="J16" s="39" t="s">
        <v>200</v>
      </c>
      <c r="K16" s="26"/>
      <c r="L16" s="32">
        <v>150</v>
      </c>
      <c r="M16" s="121" t="s">
        <v>1239</v>
      </c>
      <c r="N16" s="27" t="s">
        <v>1329</v>
      </c>
      <c r="O16" s="27" t="s">
        <v>1297</v>
      </c>
      <c r="P16" s="32" t="s">
        <v>1330</v>
      </c>
      <c r="Q16" s="108" t="s">
        <v>1239</v>
      </c>
      <c r="R16" s="27" t="s">
        <v>1239</v>
      </c>
      <c r="S16" s="27" t="s">
        <v>1331</v>
      </c>
      <c r="T16" s="15" t="s">
        <v>13</v>
      </c>
    </row>
    <row r="17" spans="1:16" ht="12.75">
      <c r="A17"/>
      <c r="N17" s="92"/>
      <c r="O17" s="98"/>
      <c r="P17" s="112"/>
    </row>
    <row r="18" spans="1:19" ht="15">
      <c r="A18"/>
      <c r="B18" s="173" t="s">
        <v>56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</row>
    <row r="19" spans="1:20" ht="12.75">
      <c r="A19" s="25">
        <v>1</v>
      </c>
      <c r="B19" s="17" t="s">
        <v>1332</v>
      </c>
      <c r="C19" s="17" t="s">
        <v>1333</v>
      </c>
      <c r="D19" s="17" t="s">
        <v>1368</v>
      </c>
      <c r="E19" s="17" t="str">
        <f>"0,6111"</f>
        <v>0,6111</v>
      </c>
      <c r="F19" s="17" t="s">
        <v>10</v>
      </c>
      <c r="G19" s="17" t="s">
        <v>482</v>
      </c>
      <c r="H19" s="43" t="s">
        <v>12</v>
      </c>
      <c r="I19" s="43" t="s">
        <v>200</v>
      </c>
      <c r="J19" s="45" t="s">
        <v>54</v>
      </c>
      <c r="K19" s="41"/>
      <c r="L19" s="42">
        <v>155</v>
      </c>
      <c r="M19" s="122" t="s">
        <v>1239</v>
      </c>
      <c r="N19" s="122" t="s">
        <v>1334</v>
      </c>
      <c r="O19" s="122" t="s">
        <v>1273</v>
      </c>
      <c r="P19" s="126" t="s">
        <v>1335</v>
      </c>
      <c r="Q19" s="122" t="s">
        <v>1239</v>
      </c>
      <c r="R19" s="40" t="s">
        <v>1255</v>
      </c>
      <c r="S19" s="40" t="s">
        <v>1336</v>
      </c>
      <c r="T19" s="13" t="s">
        <v>13</v>
      </c>
    </row>
    <row r="20" spans="1:20" ht="12.75">
      <c r="A20" s="25">
        <v>1</v>
      </c>
      <c r="B20" s="17" t="s">
        <v>1337</v>
      </c>
      <c r="C20" s="17" t="s">
        <v>1338</v>
      </c>
      <c r="D20" s="17" t="s">
        <v>1369</v>
      </c>
      <c r="E20" s="17" t="str">
        <f>"0,6116"</f>
        <v>0,6116</v>
      </c>
      <c r="F20" s="17" t="s">
        <v>1265</v>
      </c>
      <c r="G20" s="17" t="s">
        <v>308</v>
      </c>
      <c r="H20" s="43" t="s">
        <v>280</v>
      </c>
      <c r="I20" s="43" t="s">
        <v>103</v>
      </c>
      <c r="J20" s="43" t="s">
        <v>94</v>
      </c>
      <c r="K20" s="41"/>
      <c r="L20" s="42">
        <v>212.5</v>
      </c>
      <c r="M20" s="40" t="s">
        <v>1239</v>
      </c>
      <c r="N20" s="40" t="s">
        <v>1334</v>
      </c>
      <c r="O20" s="40" t="s">
        <v>1266</v>
      </c>
      <c r="P20" s="42" t="s">
        <v>1339</v>
      </c>
      <c r="Q20" s="40" t="s">
        <v>1237</v>
      </c>
      <c r="R20" s="40" t="s">
        <v>1240</v>
      </c>
      <c r="S20" s="40" t="s">
        <v>1340</v>
      </c>
      <c r="T20" s="17" t="s">
        <v>13</v>
      </c>
    </row>
    <row r="21" spans="1:20" ht="12.75">
      <c r="A21" s="25">
        <v>2</v>
      </c>
      <c r="B21" s="17" t="s">
        <v>1341</v>
      </c>
      <c r="C21" s="17" t="s">
        <v>1342</v>
      </c>
      <c r="D21" s="17" t="s">
        <v>1370</v>
      </c>
      <c r="E21" s="17" t="str">
        <f>"0,6093"</f>
        <v>0,6093</v>
      </c>
      <c r="F21" s="17" t="s">
        <v>10</v>
      </c>
      <c r="G21" s="17" t="s">
        <v>409</v>
      </c>
      <c r="H21" s="45" t="s">
        <v>108</v>
      </c>
      <c r="I21" s="43" t="s">
        <v>108</v>
      </c>
      <c r="J21" s="43" t="s">
        <v>61</v>
      </c>
      <c r="K21" s="41"/>
      <c r="L21" s="42">
        <v>185</v>
      </c>
      <c r="M21" s="40" t="s">
        <v>1237</v>
      </c>
      <c r="N21" s="40" t="s">
        <v>1334</v>
      </c>
      <c r="O21" s="40" t="s">
        <v>1343</v>
      </c>
      <c r="P21" s="42" t="s">
        <v>1344</v>
      </c>
      <c r="Q21" s="40" t="s">
        <v>1239</v>
      </c>
      <c r="R21" s="40" t="s">
        <v>1240</v>
      </c>
      <c r="S21" s="40" t="s">
        <v>1345</v>
      </c>
      <c r="T21" s="17" t="s">
        <v>13</v>
      </c>
    </row>
    <row r="22" spans="1:20" ht="12.75">
      <c r="A22" s="25">
        <v>1</v>
      </c>
      <c r="B22" s="14" t="s">
        <v>1346</v>
      </c>
      <c r="C22" s="14" t="s">
        <v>1347</v>
      </c>
      <c r="D22" s="14" t="s">
        <v>1371</v>
      </c>
      <c r="E22" s="14" t="str">
        <f>"0,6235"</f>
        <v>0,6235</v>
      </c>
      <c r="F22" s="14" t="s">
        <v>10</v>
      </c>
      <c r="G22" s="14" t="s">
        <v>1056</v>
      </c>
      <c r="H22" s="38" t="s">
        <v>206</v>
      </c>
      <c r="I22" s="38" t="s">
        <v>213</v>
      </c>
      <c r="J22" s="31"/>
      <c r="K22" s="31"/>
      <c r="L22" s="34">
        <v>120</v>
      </c>
      <c r="M22" s="30" t="s">
        <v>1239</v>
      </c>
      <c r="N22" s="30" t="s">
        <v>1334</v>
      </c>
      <c r="O22" s="30" t="s">
        <v>1348</v>
      </c>
      <c r="P22" s="34" t="s">
        <v>1349</v>
      </c>
      <c r="Q22" s="30" t="s">
        <v>1239</v>
      </c>
      <c r="R22" s="30" t="s">
        <v>1255</v>
      </c>
      <c r="S22" s="30" t="s">
        <v>1350</v>
      </c>
      <c r="T22" s="14" t="s">
        <v>13</v>
      </c>
    </row>
    <row r="24" spans="1:19" ht="15">
      <c r="A24"/>
      <c r="B24" s="142" t="s">
        <v>91</v>
      </c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</row>
    <row r="25" spans="1:20" ht="12.75">
      <c r="A25" s="25">
        <v>1</v>
      </c>
      <c r="B25" s="13" t="s">
        <v>1351</v>
      </c>
      <c r="C25" s="13" t="s">
        <v>1352</v>
      </c>
      <c r="D25" s="13" t="s">
        <v>181</v>
      </c>
      <c r="E25" s="13" t="str">
        <f>"0,5910"</f>
        <v>0,5910</v>
      </c>
      <c r="F25" s="13" t="s">
        <v>1265</v>
      </c>
      <c r="G25" s="13" t="s">
        <v>409</v>
      </c>
      <c r="H25" s="37" t="s">
        <v>108</v>
      </c>
      <c r="I25" s="37" t="s">
        <v>125</v>
      </c>
      <c r="J25" s="37" t="s">
        <v>109</v>
      </c>
      <c r="K25" s="29"/>
      <c r="L25" s="33">
        <v>192.5</v>
      </c>
      <c r="M25" s="123" t="s">
        <v>1239</v>
      </c>
      <c r="N25" s="28" t="s">
        <v>1278</v>
      </c>
      <c r="O25" s="28" t="s">
        <v>1028</v>
      </c>
      <c r="P25" s="33" t="s">
        <v>1353</v>
      </c>
      <c r="Q25" s="103" t="s">
        <v>1239</v>
      </c>
      <c r="R25" s="28" t="s">
        <v>1255</v>
      </c>
      <c r="S25" s="28" t="s">
        <v>1354</v>
      </c>
      <c r="T25" s="13" t="s">
        <v>13</v>
      </c>
    </row>
    <row r="26" spans="1:20" ht="12.75">
      <c r="A26" s="25">
        <v>2</v>
      </c>
      <c r="B26" s="17" t="s">
        <v>1355</v>
      </c>
      <c r="C26" s="17" t="s">
        <v>1356</v>
      </c>
      <c r="D26" s="17" t="s">
        <v>1372</v>
      </c>
      <c r="E26" s="17" t="str">
        <f>"0,6030"</f>
        <v>0,6030</v>
      </c>
      <c r="F26" s="17" t="s">
        <v>10</v>
      </c>
      <c r="G26" s="17" t="s">
        <v>1064</v>
      </c>
      <c r="H26" s="43" t="s">
        <v>54</v>
      </c>
      <c r="I26" s="43" t="s">
        <v>60</v>
      </c>
      <c r="J26" s="41"/>
      <c r="K26" s="41"/>
      <c r="L26" s="42">
        <v>170</v>
      </c>
      <c r="M26" s="124" t="s">
        <v>1237</v>
      </c>
      <c r="N26" s="40" t="s">
        <v>1278</v>
      </c>
      <c r="O26" s="40" t="s">
        <v>1357</v>
      </c>
      <c r="P26" s="42" t="s">
        <v>1358</v>
      </c>
      <c r="Q26" s="122" t="s">
        <v>1237</v>
      </c>
      <c r="R26" s="40" t="s">
        <v>1247</v>
      </c>
      <c r="S26" s="40" t="s">
        <v>1359</v>
      </c>
      <c r="T26" s="17" t="s">
        <v>13</v>
      </c>
    </row>
    <row r="27" spans="1:20" ht="12.75">
      <c r="A27" s="25">
        <v>1</v>
      </c>
      <c r="B27" s="14" t="s">
        <v>1360</v>
      </c>
      <c r="C27" s="14" t="s">
        <v>1361</v>
      </c>
      <c r="D27" s="14" t="s">
        <v>1373</v>
      </c>
      <c r="E27" s="14" t="str">
        <f>"0,6081"</f>
        <v>0,6081</v>
      </c>
      <c r="F27" s="14" t="s">
        <v>1199</v>
      </c>
      <c r="G27" s="14" t="s">
        <v>482</v>
      </c>
      <c r="H27" s="38" t="s">
        <v>55</v>
      </c>
      <c r="I27" s="38" t="s">
        <v>61</v>
      </c>
      <c r="J27" s="38" t="s">
        <v>125</v>
      </c>
      <c r="K27" s="31"/>
      <c r="L27" s="34">
        <v>187.5</v>
      </c>
      <c r="M27" s="125" t="s">
        <v>1239</v>
      </c>
      <c r="N27" s="30" t="s">
        <v>1278</v>
      </c>
      <c r="O27" s="30" t="s">
        <v>1297</v>
      </c>
      <c r="P27" s="34" t="s">
        <v>1362</v>
      </c>
      <c r="Q27" s="105" t="s">
        <v>1239</v>
      </c>
      <c r="R27" s="30" t="s">
        <v>1255</v>
      </c>
      <c r="S27" s="30" t="s">
        <v>1363</v>
      </c>
      <c r="T27" s="14" t="s">
        <v>13</v>
      </c>
    </row>
  </sheetData>
  <sheetProtection/>
  <mergeCells count="23">
    <mergeCell ref="T3:T4"/>
    <mergeCell ref="B1:T2"/>
    <mergeCell ref="B3:B4"/>
    <mergeCell ref="C3:C4"/>
    <mergeCell ref="D3:D4"/>
    <mergeCell ref="E3:E4"/>
    <mergeCell ref="F3:F4"/>
    <mergeCell ref="G3:G4"/>
    <mergeCell ref="H3:K3"/>
    <mergeCell ref="L3:L4"/>
    <mergeCell ref="B24:S24"/>
    <mergeCell ref="N3:O3"/>
    <mergeCell ref="P3:P4"/>
    <mergeCell ref="Q3:Q4"/>
    <mergeCell ref="R3:R4"/>
    <mergeCell ref="S3:S4"/>
    <mergeCell ref="M3:M4"/>
    <mergeCell ref="A3:A4"/>
    <mergeCell ref="B5:S5"/>
    <mergeCell ref="B8:S8"/>
    <mergeCell ref="B11:S11"/>
    <mergeCell ref="B15:S15"/>
    <mergeCell ref="B18:S1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G24" sqref="G24"/>
    </sheetView>
  </sheetViews>
  <sheetFormatPr defaultColWidth="8.75390625" defaultRowHeight="12.75"/>
  <cols>
    <col min="1" max="1" width="9.125" style="25" customWidth="1"/>
    <col min="2" max="2" width="24.75390625" style="11" bestFit="1" customWidth="1"/>
    <col min="3" max="3" width="26.625" style="11" bestFit="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29.25390625" style="11" bestFit="1" customWidth="1"/>
    <col min="8" max="10" width="5.625" style="11" bestFit="1" customWidth="1"/>
    <col min="11" max="11" width="4.25390625" style="11" bestFit="1" customWidth="1"/>
    <col min="12" max="12" width="13.375" style="35" customWidth="1"/>
    <col min="13" max="13" width="8.625" style="11" bestFit="1" customWidth="1"/>
    <col min="14" max="14" width="18.125" style="11" bestFit="1" customWidth="1"/>
  </cols>
  <sheetData>
    <row r="1" spans="1:14" s="1" customFormat="1" ht="15" customHeight="1">
      <c r="A1" s="24"/>
      <c r="B1" s="150" t="s">
        <v>1444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1:14" s="1" customFormat="1" ht="7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4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162"/>
    </row>
    <row r="6" spans="2:13" ht="15">
      <c r="B6" s="142" t="s">
        <v>1183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</row>
    <row r="7" spans="1:14" ht="12.75">
      <c r="A7" s="25">
        <v>1</v>
      </c>
      <c r="B7" s="15" t="s">
        <v>1324</v>
      </c>
      <c r="C7" s="15" t="s">
        <v>1325</v>
      </c>
      <c r="D7" s="15" t="s">
        <v>1367</v>
      </c>
      <c r="E7" s="15" t="str">
        <f>"0,9311"</f>
        <v>0,9311</v>
      </c>
      <c r="F7" s="15" t="s">
        <v>1321</v>
      </c>
      <c r="G7" s="15" t="s">
        <v>1056</v>
      </c>
      <c r="H7" s="39" t="s">
        <v>505</v>
      </c>
      <c r="I7" s="36" t="s">
        <v>506</v>
      </c>
      <c r="J7" s="36" t="s">
        <v>500</v>
      </c>
      <c r="K7" s="26"/>
      <c r="L7" s="32">
        <v>40</v>
      </c>
      <c r="M7" s="27" t="str">
        <f>"37,2440"</f>
        <v>37,2440</v>
      </c>
      <c r="N7" s="15" t="s">
        <v>13</v>
      </c>
    </row>
    <row r="9" spans="2:13" ht="15">
      <c r="B9" s="142" t="s">
        <v>1183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</row>
    <row r="10" spans="1:14" ht="12.75">
      <c r="A10" s="25">
        <v>1</v>
      </c>
      <c r="B10" s="13" t="s">
        <v>31</v>
      </c>
      <c r="C10" s="13" t="s">
        <v>32</v>
      </c>
      <c r="D10" s="13" t="s">
        <v>706</v>
      </c>
      <c r="E10" s="13" t="str">
        <f>"0,6838"</f>
        <v>0,6838</v>
      </c>
      <c r="F10" s="13" t="s">
        <v>10</v>
      </c>
      <c r="G10" s="13" t="s">
        <v>33</v>
      </c>
      <c r="H10" s="37" t="s">
        <v>54</v>
      </c>
      <c r="I10" s="29"/>
      <c r="J10" s="29"/>
      <c r="K10" s="29"/>
      <c r="L10" s="33">
        <v>160</v>
      </c>
      <c r="M10" s="28" t="str">
        <f>"109,4080"</f>
        <v>109,4080</v>
      </c>
      <c r="N10" s="13" t="s">
        <v>447</v>
      </c>
    </row>
    <row r="11" spans="1:14" ht="12.75">
      <c r="A11" s="25">
        <v>2</v>
      </c>
      <c r="B11" s="14" t="s">
        <v>1365</v>
      </c>
      <c r="C11" s="14" t="s">
        <v>1366</v>
      </c>
      <c r="D11" s="14" t="s">
        <v>441</v>
      </c>
      <c r="E11" s="14" t="str">
        <f>"0,6827"</f>
        <v>0,6827</v>
      </c>
      <c r="F11" s="14" t="s">
        <v>1265</v>
      </c>
      <c r="G11" s="14" t="s">
        <v>409</v>
      </c>
      <c r="H11" s="38" t="s">
        <v>42</v>
      </c>
      <c r="I11" s="38" t="s">
        <v>11</v>
      </c>
      <c r="J11" s="38" t="s">
        <v>25</v>
      </c>
      <c r="K11" s="31"/>
      <c r="L11" s="34">
        <v>145</v>
      </c>
      <c r="M11" s="30" t="str">
        <f>"98,9915"</f>
        <v>98,9915</v>
      </c>
      <c r="N11" s="14" t="s">
        <v>13</v>
      </c>
    </row>
    <row r="13" spans="2:13" ht="15">
      <c r="B13" s="142" t="s">
        <v>56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</row>
    <row r="14" spans="1:14" ht="12.75">
      <c r="A14" s="25">
        <v>1</v>
      </c>
      <c r="B14" s="15" t="s">
        <v>1337</v>
      </c>
      <c r="C14" s="15" t="s">
        <v>1338</v>
      </c>
      <c r="D14" s="15" t="s">
        <v>1369</v>
      </c>
      <c r="E14" s="15" t="str">
        <f>"0,6116"</f>
        <v>0,6116</v>
      </c>
      <c r="F14" s="15" t="s">
        <v>1265</v>
      </c>
      <c r="G14" s="15" t="s">
        <v>308</v>
      </c>
      <c r="H14" s="36" t="s">
        <v>280</v>
      </c>
      <c r="I14" s="36" t="s">
        <v>103</v>
      </c>
      <c r="J14" s="36" t="s">
        <v>94</v>
      </c>
      <c r="K14" s="26"/>
      <c r="L14" s="32">
        <v>212.5</v>
      </c>
      <c r="M14" s="27" t="str">
        <f>"129,9650"</f>
        <v>129,9650</v>
      </c>
      <c r="N14" s="15" t="s">
        <v>13</v>
      </c>
    </row>
    <row r="16" spans="2:13" ht="15">
      <c r="B16" s="142" t="s">
        <v>91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</row>
    <row r="17" spans="1:14" ht="12.75">
      <c r="A17" s="25">
        <v>1</v>
      </c>
      <c r="B17" s="15" t="s">
        <v>1355</v>
      </c>
      <c r="C17" s="15" t="s">
        <v>1356</v>
      </c>
      <c r="D17" s="15" t="s">
        <v>1372</v>
      </c>
      <c r="E17" s="15" t="str">
        <f>"0,6030"</f>
        <v>0,6030</v>
      </c>
      <c r="F17" s="15" t="s">
        <v>10</v>
      </c>
      <c r="G17" s="15" t="s">
        <v>1064</v>
      </c>
      <c r="H17" s="36" t="s">
        <v>54</v>
      </c>
      <c r="I17" s="36" t="s">
        <v>60</v>
      </c>
      <c r="J17" s="26"/>
      <c r="K17" s="26"/>
      <c r="L17" s="32">
        <v>170</v>
      </c>
      <c r="M17" s="27" t="str">
        <f>"102,5100"</f>
        <v>102,5100</v>
      </c>
      <c r="N17" s="15" t="s">
        <v>13</v>
      </c>
    </row>
  </sheetData>
  <sheetProtection/>
  <mergeCells count="16"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  <mergeCell ref="N3:N4"/>
    <mergeCell ref="B6:M6"/>
    <mergeCell ref="B9:M9"/>
    <mergeCell ref="B13:M13"/>
    <mergeCell ref="B16:M16"/>
    <mergeCell ref="A3:A4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G18" sqref="G18"/>
    </sheetView>
  </sheetViews>
  <sheetFormatPr defaultColWidth="8.75390625" defaultRowHeight="12.75"/>
  <cols>
    <col min="1" max="1" width="8.75390625" style="0" customWidth="1"/>
    <col min="2" max="2" width="24.75390625" style="11" bestFit="1" customWidth="1"/>
    <col min="3" max="3" width="26.625" style="11" bestFit="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29.25390625" style="11" bestFit="1" customWidth="1"/>
    <col min="8" max="8" width="5.625" style="11" bestFit="1" customWidth="1"/>
    <col min="9" max="9" width="9.75390625" style="96" customWidth="1"/>
    <col min="10" max="10" width="9.00390625" style="11" customWidth="1"/>
    <col min="11" max="11" width="9.625" style="11" bestFit="1" customWidth="1"/>
    <col min="12" max="12" width="15.75390625" style="11" bestFit="1" customWidth="1"/>
  </cols>
  <sheetData>
    <row r="1" spans="1:12" s="1" customFormat="1" ht="15" customHeight="1">
      <c r="A1" s="24"/>
      <c r="B1" s="150" t="s">
        <v>1445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1" customFormat="1" ht="75.7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4" t="s">
        <v>990</v>
      </c>
      <c r="K3" s="146" t="s">
        <v>3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988</v>
      </c>
      <c r="I4" s="95" t="s">
        <v>989</v>
      </c>
      <c r="J4" s="145"/>
      <c r="K4" s="147"/>
      <c r="L4" s="162"/>
    </row>
    <row r="6" spans="2:11" ht="15">
      <c r="B6" s="142" t="s">
        <v>1141</v>
      </c>
      <c r="C6" s="142"/>
      <c r="D6" s="142"/>
      <c r="E6" s="142"/>
      <c r="F6" s="142"/>
      <c r="G6" s="142"/>
      <c r="H6" s="142"/>
      <c r="I6" s="142"/>
      <c r="J6" s="142"/>
      <c r="K6" s="142"/>
    </row>
    <row r="7" spans="1:12" ht="12.75">
      <c r="A7" s="25">
        <v>1</v>
      </c>
      <c r="B7" s="15" t="s">
        <v>1171</v>
      </c>
      <c r="C7" s="15" t="s">
        <v>1172</v>
      </c>
      <c r="D7" s="15" t="s">
        <v>1177</v>
      </c>
      <c r="E7" s="15" t="str">
        <f>"1,0420"</f>
        <v>1,0420</v>
      </c>
      <c r="F7" s="15" t="s">
        <v>1321</v>
      </c>
      <c r="G7" s="15" t="s">
        <v>1056</v>
      </c>
      <c r="H7" s="27" t="s">
        <v>505</v>
      </c>
      <c r="I7" s="27" t="s">
        <v>1357</v>
      </c>
      <c r="J7" s="27" t="s">
        <v>1375</v>
      </c>
      <c r="K7" s="27" t="s">
        <v>1374</v>
      </c>
      <c r="L7" s="15" t="s">
        <v>13</v>
      </c>
    </row>
  </sheetData>
  <sheetProtection/>
  <mergeCells count="13">
    <mergeCell ref="K3:K4"/>
    <mergeCell ref="L3:L4"/>
    <mergeCell ref="B6:K6"/>
    <mergeCell ref="B1:L2"/>
    <mergeCell ref="A3:A4"/>
    <mergeCell ref="B3:B4"/>
    <mergeCell ref="C3:C4"/>
    <mergeCell ref="D3:D4"/>
    <mergeCell ref="E3:E4"/>
    <mergeCell ref="F3:F4"/>
    <mergeCell ref="G3:G4"/>
    <mergeCell ref="H3:I3"/>
    <mergeCell ref="J3:J4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D1">
      <selection activeCell="G31" sqref="G31"/>
    </sheetView>
  </sheetViews>
  <sheetFormatPr defaultColWidth="8.75390625" defaultRowHeight="12.75"/>
  <cols>
    <col min="1" max="1" width="9.125" style="25" customWidth="1"/>
    <col min="2" max="2" width="24.75390625" style="11" bestFit="1" customWidth="1"/>
    <col min="3" max="3" width="26.625" style="11" bestFit="1" customWidth="1"/>
    <col min="4" max="4" width="10.125" style="11" bestFit="1" customWidth="1"/>
    <col min="5" max="5" width="8.25390625" style="11" bestFit="1" customWidth="1"/>
    <col min="6" max="6" width="19.625" style="11" customWidth="1"/>
    <col min="7" max="7" width="37.375" style="11" bestFit="1" customWidth="1"/>
    <col min="8" max="10" width="5.625" style="11" bestFit="1" customWidth="1"/>
    <col min="11" max="11" width="4.25390625" style="11" bestFit="1" customWidth="1"/>
    <col min="12" max="12" width="12.00390625" style="35" customWidth="1"/>
    <col min="13" max="13" width="7.75390625" style="11" bestFit="1" customWidth="1"/>
    <col min="14" max="14" width="5.625" style="11" customWidth="1"/>
    <col min="15" max="15" width="11.00390625" style="96" customWidth="1"/>
    <col min="16" max="16" width="8.375" style="35" customWidth="1"/>
    <col min="17" max="17" width="7.75390625" style="11" bestFit="1" customWidth="1"/>
    <col min="18" max="18" width="14.00390625" style="11" customWidth="1"/>
    <col min="19" max="19" width="11.75390625" style="11" customWidth="1"/>
    <col min="20" max="20" width="19.25390625" style="11" bestFit="1" customWidth="1"/>
  </cols>
  <sheetData>
    <row r="1" spans="1:20" s="1" customFormat="1" ht="15" customHeight="1">
      <c r="A1" s="24"/>
      <c r="B1" s="150" t="s">
        <v>1446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</row>
    <row r="2" spans="1:20" s="1" customFormat="1" ht="81.7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</row>
    <row r="3" spans="1:20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4" t="s">
        <v>676</v>
      </c>
      <c r="M3" s="146" t="s">
        <v>1233</v>
      </c>
      <c r="N3" s="146" t="s">
        <v>709</v>
      </c>
      <c r="O3" s="146"/>
      <c r="P3" s="144" t="s">
        <v>990</v>
      </c>
      <c r="Q3" s="146" t="s">
        <v>1233</v>
      </c>
      <c r="R3" s="146" t="s">
        <v>1234</v>
      </c>
      <c r="S3" s="146" t="s">
        <v>3</v>
      </c>
      <c r="T3" s="161" t="s">
        <v>2</v>
      </c>
    </row>
    <row r="4" spans="1:20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3" t="s">
        <v>988</v>
      </c>
      <c r="O4" s="95" t="s">
        <v>989</v>
      </c>
      <c r="P4" s="145"/>
      <c r="Q4" s="147"/>
      <c r="R4" s="147"/>
      <c r="S4" s="147"/>
      <c r="T4" s="162"/>
    </row>
    <row r="5" spans="2:19" ht="15">
      <c r="B5" s="163" t="s">
        <v>170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</row>
    <row r="6" spans="1:20" ht="12.75">
      <c r="A6" s="25">
        <v>1</v>
      </c>
      <c r="B6" s="13" t="s">
        <v>617</v>
      </c>
      <c r="C6" s="13" t="s">
        <v>1376</v>
      </c>
      <c r="D6" s="13" t="s">
        <v>1386</v>
      </c>
      <c r="E6" s="13" t="str">
        <f>"0,8889"</f>
        <v>0,8889</v>
      </c>
      <c r="F6" s="13" t="s">
        <v>45</v>
      </c>
      <c r="G6" s="13" t="s">
        <v>466</v>
      </c>
      <c r="H6" s="37" t="s">
        <v>433</v>
      </c>
      <c r="I6" s="44" t="s">
        <v>434</v>
      </c>
      <c r="J6" s="44" t="s">
        <v>434</v>
      </c>
      <c r="K6" s="29"/>
      <c r="L6" s="33">
        <v>42.5</v>
      </c>
      <c r="M6" s="28" t="s">
        <v>1239</v>
      </c>
      <c r="N6" s="28" t="s">
        <v>504</v>
      </c>
      <c r="O6" s="28" t="s">
        <v>1343</v>
      </c>
      <c r="P6" s="33">
        <v>750</v>
      </c>
      <c r="Q6" s="28" t="s">
        <v>1239</v>
      </c>
      <c r="R6" s="28" t="s">
        <v>1255</v>
      </c>
      <c r="S6" s="28" t="s">
        <v>1377</v>
      </c>
      <c r="T6" s="13" t="s">
        <v>748</v>
      </c>
    </row>
    <row r="7" spans="1:20" ht="12.75">
      <c r="A7" s="25">
        <v>1</v>
      </c>
      <c r="B7" s="14" t="s">
        <v>617</v>
      </c>
      <c r="C7" s="14" t="s">
        <v>619</v>
      </c>
      <c r="D7" s="14" t="s">
        <v>1386</v>
      </c>
      <c r="E7" s="14" t="str">
        <f>"0,8889"</f>
        <v>0,8889</v>
      </c>
      <c r="F7" s="14" t="s">
        <v>45</v>
      </c>
      <c r="G7" s="14" t="s">
        <v>466</v>
      </c>
      <c r="H7" s="38" t="s">
        <v>433</v>
      </c>
      <c r="I7" s="46" t="s">
        <v>434</v>
      </c>
      <c r="J7" s="46" t="s">
        <v>434</v>
      </c>
      <c r="K7" s="31"/>
      <c r="L7" s="34">
        <v>42.5</v>
      </c>
      <c r="M7" s="30" t="s">
        <v>1239</v>
      </c>
      <c r="N7" s="30" t="s">
        <v>504</v>
      </c>
      <c r="O7" s="30" t="s">
        <v>1343</v>
      </c>
      <c r="P7" s="34">
        <v>750</v>
      </c>
      <c r="Q7" s="30" t="s">
        <v>1239</v>
      </c>
      <c r="R7" s="30" t="s">
        <v>1255</v>
      </c>
      <c r="S7" s="27" t="s">
        <v>1377</v>
      </c>
      <c r="T7" s="14" t="s">
        <v>748</v>
      </c>
    </row>
    <row r="9" spans="2:19" ht="15">
      <c r="B9" s="142" t="s">
        <v>56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</row>
    <row r="10" spans="1:20" ht="12.75">
      <c r="A10" s="25">
        <v>1</v>
      </c>
      <c r="B10" s="13" t="s">
        <v>1048</v>
      </c>
      <c r="C10" s="13" t="s">
        <v>1049</v>
      </c>
      <c r="D10" s="13" t="s">
        <v>769</v>
      </c>
      <c r="E10" s="13" t="str">
        <f>"0,6301"</f>
        <v>0,6301</v>
      </c>
      <c r="F10" s="13" t="s">
        <v>325</v>
      </c>
      <c r="G10" s="13" t="s">
        <v>740</v>
      </c>
      <c r="H10" s="37" t="s">
        <v>187</v>
      </c>
      <c r="I10" s="37" t="s">
        <v>205</v>
      </c>
      <c r="J10" s="44" t="s">
        <v>206</v>
      </c>
      <c r="K10" s="29"/>
      <c r="L10" s="33">
        <v>100</v>
      </c>
      <c r="M10" s="28" t="s">
        <v>1239</v>
      </c>
      <c r="N10" s="28" t="s">
        <v>18</v>
      </c>
      <c r="O10" s="28" t="s">
        <v>1033</v>
      </c>
      <c r="P10" s="33">
        <v>1350</v>
      </c>
      <c r="Q10" s="28" t="s">
        <v>1239</v>
      </c>
      <c r="R10" s="28" t="s">
        <v>1255</v>
      </c>
      <c r="S10" s="28" t="s">
        <v>1379</v>
      </c>
      <c r="T10" s="13" t="s">
        <v>707</v>
      </c>
    </row>
    <row r="11" spans="1:20" ht="12.75">
      <c r="A11" s="25">
        <v>2</v>
      </c>
      <c r="B11" s="17" t="s">
        <v>668</v>
      </c>
      <c r="C11" s="17" t="s">
        <v>669</v>
      </c>
      <c r="D11" s="17" t="s">
        <v>1293</v>
      </c>
      <c r="E11" s="17" t="str">
        <f>"0,6126"</f>
        <v>0,6126</v>
      </c>
      <c r="F11" s="17" t="s">
        <v>45</v>
      </c>
      <c r="G11" s="17" t="s">
        <v>466</v>
      </c>
      <c r="H11" s="43" t="s">
        <v>192</v>
      </c>
      <c r="I11" s="43" t="s">
        <v>193</v>
      </c>
      <c r="J11" s="43" t="s">
        <v>441</v>
      </c>
      <c r="K11" s="41"/>
      <c r="L11" s="42">
        <v>80</v>
      </c>
      <c r="M11" s="40" t="s">
        <v>1237</v>
      </c>
      <c r="N11" s="40" t="s">
        <v>18</v>
      </c>
      <c r="O11" s="40" t="s">
        <v>1239</v>
      </c>
      <c r="P11" s="42" t="s">
        <v>1380</v>
      </c>
      <c r="Q11" s="40" t="s">
        <v>1237</v>
      </c>
      <c r="R11" s="40" t="s">
        <v>1247</v>
      </c>
      <c r="S11" s="40" t="s">
        <v>1381</v>
      </c>
      <c r="T11" s="17" t="s">
        <v>1123</v>
      </c>
    </row>
    <row r="12" spans="1:20" ht="12.75">
      <c r="A12" s="25">
        <v>3</v>
      </c>
      <c r="B12" s="17" t="s">
        <v>1346</v>
      </c>
      <c r="C12" s="17" t="s">
        <v>1382</v>
      </c>
      <c r="D12" s="17" t="s">
        <v>1371</v>
      </c>
      <c r="E12" s="17" t="str">
        <f>"0,6235"</f>
        <v>0,6235</v>
      </c>
      <c r="F12" s="17" t="s">
        <v>10</v>
      </c>
      <c r="G12" s="17" t="s">
        <v>1056</v>
      </c>
      <c r="H12" s="43" t="s">
        <v>19</v>
      </c>
      <c r="I12" s="43" t="s">
        <v>438</v>
      </c>
      <c r="J12" s="43" t="s">
        <v>326</v>
      </c>
      <c r="K12" s="41"/>
      <c r="L12" s="42">
        <v>75</v>
      </c>
      <c r="M12" s="40" t="s">
        <v>1273</v>
      </c>
      <c r="N12" s="40" t="s">
        <v>18</v>
      </c>
      <c r="O12" s="40" t="s">
        <v>1285</v>
      </c>
      <c r="P12" s="42" t="s">
        <v>1383</v>
      </c>
      <c r="Q12" s="40" t="s">
        <v>1273</v>
      </c>
      <c r="R12" s="40" t="s">
        <v>1274</v>
      </c>
      <c r="S12" s="40" t="s">
        <v>1384</v>
      </c>
      <c r="T12" s="17" t="s">
        <v>13</v>
      </c>
    </row>
    <row r="13" spans="1:20" ht="12.75">
      <c r="A13" s="25">
        <v>1</v>
      </c>
      <c r="B13" s="17" t="s">
        <v>668</v>
      </c>
      <c r="C13" s="17" t="s">
        <v>670</v>
      </c>
      <c r="D13" s="17" t="s">
        <v>1293</v>
      </c>
      <c r="E13" s="17" t="str">
        <f>"0,6126"</f>
        <v>0,6126</v>
      </c>
      <c r="F13" s="17" t="s">
        <v>45</v>
      </c>
      <c r="G13" s="17" t="s">
        <v>466</v>
      </c>
      <c r="H13" s="43" t="s">
        <v>192</v>
      </c>
      <c r="I13" s="43" t="s">
        <v>193</v>
      </c>
      <c r="J13" s="43" t="s">
        <v>441</v>
      </c>
      <c r="K13" s="41"/>
      <c r="L13" s="42">
        <v>80</v>
      </c>
      <c r="M13" s="40" t="s">
        <v>1239</v>
      </c>
      <c r="N13" s="40" t="s">
        <v>18</v>
      </c>
      <c r="O13" s="40" t="s">
        <v>1285</v>
      </c>
      <c r="P13" s="42" t="s">
        <v>1380</v>
      </c>
      <c r="Q13" s="40" t="s">
        <v>1239</v>
      </c>
      <c r="R13" s="40" t="s">
        <v>1255</v>
      </c>
      <c r="S13" s="40" t="s">
        <v>1381</v>
      </c>
      <c r="T13" s="17" t="s">
        <v>1123</v>
      </c>
    </row>
    <row r="14" spans="1:20" ht="12.75">
      <c r="A14" s="25">
        <v>1</v>
      </c>
      <c r="B14" s="14" t="s">
        <v>1346</v>
      </c>
      <c r="C14" s="14" t="s">
        <v>1347</v>
      </c>
      <c r="D14" s="14" t="s">
        <v>1371</v>
      </c>
      <c r="E14" s="14" t="str">
        <f>"0,6235"</f>
        <v>0,6235</v>
      </c>
      <c r="F14" s="14" t="s">
        <v>10</v>
      </c>
      <c r="G14" s="14" t="s">
        <v>1056</v>
      </c>
      <c r="H14" s="38" t="s">
        <v>19</v>
      </c>
      <c r="I14" s="38" t="s">
        <v>438</v>
      </c>
      <c r="J14" s="38" t="s">
        <v>326</v>
      </c>
      <c r="K14" s="31"/>
      <c r="L14" s="34">
        <v>75</v>
      </c>
      <c r="M14" s="30" t="s">
        <v>1239</v>
      </c>
      <c r="N14" s="30" t="s">
        <v>18</v>
      </c>
      <c r="O14" s="30" t="s">
        <v>1285</v>
      </c>
      <c r="P14" s="34">
        <v>750</v>
      </c>
      <c r="Q14" s="30" t="s">
        <v>1239</v>
      </c>
      <c r="R14" s="30" t="s">
        <v>1255</v>
      </c>
      <c r="S14" s="30" t="s">
        <v>1384</v>
      </c>
      <c r="T14" s="14" t="s">
        <v>13</v>
      </c>
    </row>
    <row r="15" spans="14:16" ht="15">
      <c r="N15" s="91"/>
      <c r="O15" s="91"/>
      <c r="P15" s="128"/>
    </row>
    <row r="16" spans="3:19" ht="15">
      <c r="C16" s="91"/>
      <c r="D16" s="91"/>
      <c r="E16" s="91"/>
      <c r="F16" s="91"/>
      <c r="G16" s="127" t="s">
        <v>91</v>
      </c>
      <c r="H16" s="91"/>
      <c r="I16" s="91"/>
      <c r="J16" s="91"/>
      <c r="K16" s="91"/>
      <c r="L16" s="128"/>
      <c r="M16" s="91"/>
      <c r="N16" s="15"/>
      <c r="O16" s="99"/>
      <c r="P16" s="129"/>
      <c r="Q16" s="91"/>
      <c r="R16" s="91"/>
      <c r="S16" s="91"/>
    </row>
    <row r="17" spans="1:20" ht="12.75">
      <c r="A17" s="25">
        <v>1</v>
      </c>
      <c r="B17" s="15" t="s">
        <v>1054</v>
      </c>
      <c r="C17" s="15" t="s">
        <v>1055</v>
      </c>
      <c r="D17" s="15" t="s">
        <v>178</v>
      </c>
      <c r="E17" s="15" t="str">
        <f>"0,6028"</f>
        <v>0,6028</v>
      </c>
      <c r="F17" s="15" t="s">
        <v>10</v>
      </c>
      <c r="G17" s="15" t="s">
        <v>1056</v>
      </c>
      <c r="H17" s="36" t="s">
        <v>205</v>
      </c>
      <c r="I17" s="36" t="s">
        <v>206</v>
      </c>
      <c r="J17" s="36" t="s">
        <v>219</v>
      </c>
      <c r="K17" s="26"/>
      <c r="L17" s="32">
        <v>115</v>
      </c>
      <c r="M17" s="27" t="s">
        <v>1239</v>
      </c>
      <c r="N17" s="27" t="s">
        <v>154</v>
      </c>
      <c r="O17" s="27" t="s">
        <v>1274</v>
      </c>
      <c r="P17" s="32">
        <v>1760</v>
      </c>
      <c r="Q17" s="27" t="s">
        <v>1239</v>
      </c>
      <c r="R17" s="27" t="s">
        <v>1255</v>
      </c>
      <c r="S17" s="27" t="s">
        <v>1385</v>
      </c>
      <c r="T17" s="15" t="s">
        <v>13</v>
      </c>
    </row>
    <row r="41" ht="12.75">
      <c r="G41" s="11" t="s">
        <v>1430</v>
      </c>
    </row>
  </sheetData>
  <sheetProtection/>
  <mergeCells count="19">
    <mergeCell ref="T3:T4"/>
    <mergeCell ref="B1:T2"/>
    <mergeCell ref="B3:B4"/>
    <mergeCell ref="C3:C4"/>
    <mergeCell ref="D3:D4"/>
    <mergeCell ref="E3:E4"/>
    <mergeCell ref="F3:F4"/>
    <mergeCell ref="G3:G4"/>
    <mergeCell ref="H3:K3"/>
    <mergeCell ref="L3:L4"/>
    <mergeCell ref="B5:S5"/>
    <mergeCell ref="B9:S9"/>
    <mergeCell ref="A3:A4"/>
    <mergeCell ref="N3:O3"/>
    <mergeCell ref="P3:P4"/>
    <mergeCell ref="Q3:Q4"/>
    <mergeCell ref="R3:R4"/>
    <mergeCell ref="S3:S4"/>
    <mergeCell ref="M3:M4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16" sqref="B16:K16"/>
    </sheetView>
  </sheetViews>
  <sheetFormatPr defaultColWidth="8.75390625" defaultRowHeight="12.75"/>
  <cols>
    <col min="1" max="1" width="9.125" style="25" customWidth="1"/>
    <col min="2" max="2" width="24.75390625" style="11" bestFit="1" customWidth="1"/>
    <col min="3" max="3" width="26.625" style="11" bestFit="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27.875" style="11" bestFit="1" customWidth="1"/>
    <col min="8" max="8" width="5.375" style="11" customWidth="1"/>
    <col min="9" max="9" width="10.00390625" style="11" customWidth="1"/>
    <col min="10" max="10" width="8.25390625" style="35" customWidth="1"/>
    <col min="11" max="11" width="9.625" style="11" bestFit="1" customWidth="1"/>
    <col min="12" max="12" width="19.25390625" style="11" bestFit="1" customWidth="1"/>
  </cols>
  <sheetData>
    <row r="1" spans="1:12" s="1" customFormat="1" ht="15" customHeight="1">
      <c r="A1" s="24"/>
      <c r="B1" s="150" t="s">
        <v>1447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1" customFormat="1" ht="84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4" t="s">
        <v>990</v>
      </c>
      <c r="K3" s="146" t="s">
        <v>3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988</v>
      </c>
      <c r="I4" s="95" t="s">
        <v>989</v>
      </c>
      <c r="J4" s="145"/>
      <c r="K4" s="147"/>
      <c r="L4" s="162"/>
    </row>
    <row r="5" spans="2:11" ht="15">
      <c r="B5" s="163" t="s">
        <v>170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1:12" ht="12.75">
      <c r="A6" s="25">
        <v>1</v>
      </c>
      <c r="B6" s="13" t="s">
        <v>617</v>
      </c>
      <c r="C6" s="13" t="s">
        <v>1376</v>
      </c>
      <c r="D6" s="13" t="s">
        <v>1386</v>
      </c>
      <c r="E6" s="13" t="str">
        <f>"0,8889"</f>
        <v>0,8889</v>
      </c>
      <c r="F6" s="13" t="s">
        <v>45</v>
      </c>
      <c r="G6" s="13" t="s">
        <v>466</v>
      </c>
      <c r="H6" s="28" t="s">
        <v>504</v>
      </c>
      <c r="I6" s="50">
        <v>25</v>
      </c>
      <c r="J6" s="33">
        <v>750</v>
      </c>
      <c r="K6" s="28" t="str">
        <f>"666,6750"</f>
        <v>666,6750</v>
      </c>
      <c r="L6" s="13" t="s">
        <v>748</v>
      </c>
    </row>
    <row r="7" spans="1:12" ht="12.75">
      <c r="A7" s="25">
        <v>1</v>
      </c>
      <c r="B7" s="14" t="s">
        <v>617</v>
      </c>
      <c r="C7" s="14" t="s">
        <v>619</v>
      </c>
      <c r="D7" s="14" t="s">
        <v>1386</v>
      </c>
      <c r="E7" s="14" t="str">
        <f>"0,8889"</f>
        <v>0,8889</v>
      </c>
      <c r="F7" s="14" t="s">
        <v>45</v>
      </c>
      <c r="G7" s="14" t="s">
        <v>466</v>
      </c>
      <c r="H7" s="30" t="s">
        <v>504</v>
      </c>
      <c r="I7" s="51">
        <v>25</v>
      </c>
      <c r="J7" s="34">
        <v>750</v>
      </c>
      <c r="K7" s="30" t="str">
        <f>"666,6750"</f>
        <v>666,6750</v>
      </c>
      <c r="L7" s="14" t="s">
        <v>748</v>
      </c>
    </row>
    <row r="9" spans="2:11" ht="15">
      <c r="B9" s="142" t="s">
        <v>56</v>
      </c>
      <c r="C9" s="142"/>
      <c r="D9" s="142"/>
      <c r="E9" s="142"/>
      <c r="F9" s="142"/>
      <c r="G9" s="142"/>
      <c r="H9" s="142"/>
      <c r="I9" s="142"/>
      <c r="J9" s="142"/>
      <c r="K9" s="142"/>
    </row>
    <row r="10" spans="1:12" ht="12.75">
      <c r="A10" s="25">
        <v>1</v>
      </c>
      <c r="B10" s="13" t="s">
        <v>1048</v>
      </c>
      <c r="C10" s="13" t="s">
        <v>1049</v>
      </c>
      <c r="D10" s="13" t="s">
        <v>769</v>
      </c>
      <c r="E10" s="13" t="str">
        <f>"0,6301"</f>
        <v>0,6301</v>
      </c>
      <c r="F10" s="13" t="s">
        <v>325</v>
      </c>
      <c r="G10" s="13" t="s">
        <v>1378</v>
      </c>
      <c r="H10" s="28" t="s">
        <v>18</v>
      </c>
      <c r="I10" s="50">
        <v>27</v>
      </c>
      <c r="J10" s="33">
        <v>1350</v>
      </c>
      <c r="K10" s="28" t="str">
        <f>"850,6350"</f>
        <v>850,6350</v>
      </c>
      <c r="L10" s="13" t="s">
        <v>812</v>
      </c>
    </row>
    <row r="11" spans="1:12" ht="12.75">
      <c r="A11" s="25">
        <v>2</v>
      </c>
      <c r="B11" s="17" t="s">
        <v>668</v>
      </c>
      <c r="C11" s="17" t="s">
        <v>669</v>
      </c>
      <c r="D11" s="17" t="s">
        <v>1293</v>
      </c>
      <c r="E11" s="17" t="str">
        <f>"0,6126"</f>
        <v>0,6126</v>
      </c>
      <c r="F11" s="17" t="s">
        <v>45</v>
      </c>
      <c r="G11" s="17" t="s">
        <v>466</v>
      </c>
      <c r="H11" s="40" t="s">
        <v>18</v>
      </c>
      <c r="I11" s="54">
        <v>20</v>
      </c>
      <c r="J11" s="42">
        <v>1000</v>
      </c>
      <c r="K11" s="40" t="str">
        <f>"612,6000"</f>
        <v>612,6000</v>
      </c>
      <c r="L11" s="17" t="s">
        <v>1123</v>
      </c>
    </row>
    <row r="12" spans="1:12" ht="12.75">
      <c r="A12" s="25">
        <v>3</v>
      </c>
      <c r="B12" s="17" t="s">
        <v>1346</v>
      </c>
      <c r="C12" s="17" t="s">
        <v>1382</v>
      </c>
      <c r="D12" s="17" t="s">
        <v>1371</v>
      </c>
      <c r="E12" s="17" t="str">
        <f>"0,6235"</f>
        <v>0,6235</v>
      </c>
      <c r="F12" s="17" t="s">
        <v>10</v>
      </c>
      <c r="G12" s="17" t="s">
        <v>1056</v>
      </c>
      <c r="H12" s="40" t="s">
        <v>18</v>
      </c>
      <c r="I12" s="54">
        <v>15</v>
      </c>
      <c r="J12" s="42">
        <v>750</v>
      </c>
      <c r="K12" s="40" t="str">
        <f>"467,6250"</f>
        <v>467,6250</v>
      </c>
      <c r="L12" s="17" t="s">
        <v>13</v>
      </c>
    </row>
    <row r="13" spans="1:12" ht="12.75">
      <c r="A13" s="25">
        <v>1</v>
      </c>
      <c r="B13" s="17" t="s">
        <v>668</v>
      </c>
      <c r="C13" s="17" t="s">
        <v>670</v>
      </c>
      <c r="D13" s="17" t="s">
        <v>1293</v>
      </c>
      <c r="E13" s="17" t="str">
        <f>"0,6126"</f>
        <v>0,6126</v>
      </c>
      <c r="F13" s="17" t="s">
        <v>45</v>
      </c>
      <c r="G13" s="17" t="s">
        <v>466</v>
      </c>
      <c r="H13" s="40" t="s">
        <v>18</v>
      </c>
      <c r="I13" s="54">
        <v>20</v>
      </c>
      <c r="J13" s="42">
        <v>1000</v>
      </c>
      <c r="K13" s="40" t="str">
        <f>"612,6000"</f>
        <v>612,6000</v>
      </c>
      <c r="L13" s="17" t="s">
        <v>1123</v>
      </c>
    </row>
    <row r="14" spans="1:12" ht="12.75">
      <c r="A14" s="25">
        <v>1</v>
      </c>
      <c r="B14" s="14" t="s">
        <v>1346</v>
      </c>
      <c r="C14" s="14" t="s">
        <v>1347</v>
      </c>
      <c r="D14" s="14" t="s">
        <v>1371</v>
      </c>
      <c r="E14" s="14" t="str">
        <f>"0,6235"</f>
        <v>0,6235</v>
      </c>
      <c r="F14" s="14" t="s">
        <v>10</v>
      </c>
      <c r="G14" s="14" t="s">
        <v>1056</v>
      </c>
      <c r="H14" s="30" t="s">
        <v>18</v>
      </c>
      <c r="I14" s="51">
        <v>15</v>
      </c>
      <c r="J14" s="34">
        <v>750</v>
      </c>
      <c r="K14" s="30" t="str">
        <f>"467,6250"</f>
        <v>467,6250</v>
      </c>
      <c r="L14" s="14" t="s">
        <v>13</v>
      </c>
    </row>
    <row r="16" spans="2:11" ht="15">
      <c r="B16" s="142" t="s">
        <v>91</v>
      </c>
      <c r="C16" s="142"/>
      <c r="D16" s="142"/>
      <c r="E16" s="142"/>
      <c r="F16" s="142"/>
      <c r="G16" s="142"/>
      <c r="H16" s="142"/>
      <c r="I16" s="142"/>
      <c r="J16" s="142"/>
      <c r="K16" s="142"/>
    </row>
    <row r="17" spans="1:12" ht="12.75">
      <c r="A17" s="25">
        <v>1</v>
      </c>
      <c r="B17" s="15" t="s">
        <v>1054</v>
      </c>
      <c r="C17" s="15" t="s">
        <v>1055</v>
      </c>
      <c r="D17" s="15" t="s">
        <v>178</v>
      </c>
      <c r="E17" s="15" t="str">
        <f>"0,6028"</f>
        <v>0,6028</v>
      </c>
      <c r="F17" s="15" t="s">
        <v>10</v>
      </c>
      <c r="G17" s="15" t="s">
        <v>1056</v>
      </c>
      <c r="H17" s="27" t="s">
        <v>154</v>
      </c>
      <c r="I17" s="63">
        <v>32</v>
      </c>
      <c r="J17" s="32">
        <v>1760</v>
      </c>
      <c r="K17" s="27" t="str">
        <f>"1060,9280"</f>
        <v>1060,9280</v>
      </c>
      <c r="L17" s="15" t="s">
        <v>13</v>
      </c>
    </row>
  </sheetData>
  <sheetProtection/>
  <mergeCells count="15">
    <mergeCell ref="G3:G4"/>
    <mergeCell ref="H3:I3"/>
    <mergeCell ref="J3:J4"/>
    <mergeCell ref="K3:K4"/>
    <mergeCell ref="L3:L4"/>
    <mergeCell ref="B5:K5"/>
    <mergeCell ref="B9:K9"/>
    <mergeCell ref="B16:K16"/>
    <mergeCell ref="A3:A4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5"/>
  <sheetViews>
    <sheetView zoomScalePageLayoutView="0" workbookViewId="0" topLeftCell="D1">
      <selection activeCell="K31" sqref="K31"/>
    </sheetView>
  </sheetViews>
  <sheetFormatPr defaultColWidth="8.75390625" defaultRowHeight="12.75"/>
  <cols>
    <col min="1" max="1" width="7.125" style="25" customWidth="1"/>
    <col min="2" max="2" width="24.75390625" style="11" bestFit="1" customWidth="1"/>
    <col min="3" max="3" width="26.25390625" style="11" bestFit="1" customWidth="1"/>
    <col min="4" max="4" width="10.125" style="11" bestFit="1" customWidth="1"/>
    <col min="5" max="5" width="8.25390625" style="11" bestFit="1" customWidth="1"/>
    <col min="6" max="6" width="18.875" style="11" customWidth="1"/>
    <col min="7" max="7" width="36.00390625" style="11" customWidth="1"/>
    <col min="8" max="10" width="5.625" style="11" bestFit="1" customWidth="1"/>
    <col min="11" max="11" width="8.875" style="11" customWidth="1"/>
    <col min="12" max="19" width="5.625" style="11" bestFit="1" customWidth="1"/>
    <col min="20" max="20" width="7.75390625" style="35" bestFit="1" customWidth="1"/>
    <col min="21" max="21" width="8.625" style="11" bestFit="1" customWidth="1"/>
    <col min="22" max="22" width="23.75390625" style="11" customWidth="1"/>
  </cols>
  <sheetData>
    <row r="1" spans="1:22" s="1" customFormat="1" ht="15" customHeight="1">
      <c r="A1" s="24"/>
      <c r="B1" s="150" t="s">
        <v>1431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2"/>
    </row>
    <row r="2" spans="1:22" s="1" customFormat="1" ht="87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1:2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6" t="s">
        <v>709</v>
      </c>
      <c r="M3" s="146"/>
      <c r="N3" s="146"/>
      <c r="O3" s="146"/>
      <c r="P3" s="146" t="s">
        <v>710</v>
      </c>
      <c r="Q3" s="146"/>
      <c r="R3" s="146"/>
      <c r="S3" s="146"/>
      <c r="T3" s="144" t="s">
        <v>1</v>
      </c>
      <c r="U3" s="146" t="s">
        <v>3</v>
      </c>
      <c r="V3" s="161" t="s">
        <v>2</v>
      </c>
    </row>
    <row r="4" spans="1:2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778</v>
      </c>
      <c r="I4" s="3" t="s">
        <v>779</v>
      </c>
      <c r="J4" s="3" t="s">
        <v>780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145"/>
      <c r="U4" s="147"/>
      <c r="V4" s="162"/>
    </row>
    <row r="5" spans="2:21" ht="15">
      <c r="B5" s="163" t="s">
        <v>156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1:22" ht="12.75">
      <c r="A6" s="25">
        <v>1</v>
      </c>
      <c r="B6" s="13" t="s">
        <v>293</v>
      </c>
      <c r="C6" s="13" t="s">
        <v>294</v>
      </c>
      <c r="D6" s="13" t="s">
        <v>735</v>
      </c>
      <c r="E6" s="13" t="str">
        <f>"1,2466"</f>
        <v>1,2466</v>
      </c>
      <c r="F6" s="13" t="s">
        <v>10</v>
      </c>
      <c r="G6" s="13" t="s">
        <v>295</v>
      </c>
      <c r="H6" s="37" t="s">
        <v>226</v>
      </c>
      <c r="I6" s="37" t="s">
        <v>90</v>
      </c>
      <c r="J6" s="44" t="s">
        <v>321</v>
      </c>
      <c r="K6" s="29"/>
      <c r="L6" s="37" t="s">
        <v>188</v>
      </c>
      <c r="M6" s="37" t="s">
        <v>205</v>
      </c>
      <c r="N6" s="37" t="s">
        <v>178</v>
      </c>
      <c r="O6" s="37" t="s">
        <v>179</v>
      </c>
      <c r="P6" s="37" t="s">
        <v>60</v>
      </c>
      <c r="Q6" s="37" t="s">
        <v>321</v>
      </c>
      <c r="R6" s="44" t="s">
        <v>322</v>
      </c>
      <c r="S6" s="29"/>
      <c r="T6" s="33">
        <v>452.5</v>
      </c>
      <c r="U6" s="28" t="str">
        <f>"564,0865"</f>
        <v>564,0865</v>
      </c>
      <c r="V6" s="13" t="s">
        <v>1420</v>
      </c>
    </row>
    <row r="7" spans="1:22" ht="12.75">
      <c r="A7" s="25">
        <v>2</v>
      </c>
      <c r="B7" s="14" t="s">
        <v>323</v>
      </c>
      <c r="C7" s="14" t="s">
        <v>324</v>
      </c>
      <c r="D7" s="14" t="s">
        <v>735</v>
      </c>
      <c r="E7" s="14" t="str">
        <f>"1,2466"</f>
        <v>1,2466</v>
      </c>
      <c r="F7" s="14" t="s">
        <v>325</v>
      </c>
      <c r="G7" s="14" t="s">
        <v>740</v>
      </c>
      <c r="H7" s="38" t="s">
        <v>42</v>
      </c>
      <c r="I7" s="38" t="s">
        <v>242</v>
      </c>
      <c r="J7" s="38" t="s">
        <v>239</v>
      </c>
      <c r="K7" s="31"/>
      <c r="L7" s="46" t="s">
        <v>326</v>
      </c>
      <c r="M7" s="46" t="s">
        <v>326</v>
      </c>
      <c r="N7" s="38" t="s">
        <v>326</v>
      </c>
      <c r="O7" s="31"/>
      <c r="P7" s="38" t="s">
        <v>213</v>
      </c>
      <c r="Q7" s="38" t="s">
        <v>41</v>
      </c>
      <c r="R7" s="38" t="s">
        <v>11</v>
      </c>
      <c r="S7" s="46" t="s">
        <v>25</v>
      </c>
      <c r="T7" s="34">
        <v>367.5</v>
      </c>
      <c r="U7" s="30" t="str">
        <f>"458,1255"</f>
        <v>458,1255</v>
      </c>
      <c r="V7" s="14" t="s">
        <v>1432</v>
      </c>
    </row>
    <row r="9" spans="2:21" ht="15">
      <c r="B9" s="142" t="s">
        <v>50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</row>
    <row r="10" spans="1:22" ht="12.75">
      <c r="A10" s="25">
        <v>1</v>
      </c>
      <c r="B10" s="15" t="s">
        <v>327</v>
      </c>
      <c r="C10" s="15" t="s">
        <v>328</v>
      </c>
      <c r="D10" s="15" t="s">
        <v>719</v>
      </c>
      <c r="E10" s="15" t="str">
        <f>"0,8681"</f>
        <v>0,8681</v>
      </c>
      <c r="F10" s="15" t="s">
        <v>10</v>
      </c>
      <c r="G10" s="15" t="s">
        <v>740</v>
      </c>
      <c r="H10" s="36" t="s">
        <v>102</v>
      </c>
      <c r="I10" s="36" t="s">
        <v>86</v>
      </c>
      <c r="J10" s="36" t="s">
        <v>66</v>
      </c>
      <c r="K10" s="26"/>
      <c r="L10" s="36" t="s">
        <v>54</v>
      </c>
      <c r="M10" s="36" t="s">
        <v>60</v>
      </c>
      <c r="N10" s="39" t="s">
        <v>108</v>
      </c>
      <c r="O10" s="26"/>
      <c r="P10" s="36" t="s">
        <v>102</v>
      </c>
      <c r="Q10" s="36" t="s">
        <v>86</v>
      </c>
      <c r="R10" s="36" t="s">
        <v>66</v>
      </c>
      <c r="S10" s="26"/>
      <c r="T10" s="32">
        <v>590</v>
      </c>
      <c r="U10" s="27" t="str">
        <f>"512,1790"</f>
        <v>512,1790</v>
      </c>
      <c r="V10" s="15" t="s">
        <v>329</v>
      </c>
    </row>
    <row r="12" spans="2:21" ht="15">
      <c r="B12" s="142" t="s">
        <v>7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</row>
    <row r="13" spans="1:22" ht="12.75">
      <c r="A13" s="25">
        <v>1</v>
      </c>
      <c r="B13" s="13" t="s">
        <v>330</v>
      </c>
      <c r="C13" s="13" t="s">
        <v>331</v>
      </c>
      <c r="D13" s="13" t="s">
        <v>844</v>
      </c>
      <c r="E13" s="13" t="str">
        <f>"0,6749"</f>
        <v>0,6749</v>
      </c>
      <c r="F13" s="13" t="s">
        <v>159</v>
      </c>
      <c r="G13" s="13" t="s">
        <v>135</v>
      </c>
      <c r="H13" s="37" t="s">
        <v>332</v>
      </c>
      <c r="I13" s="37" t="s">
        <v>333</v>
      </c>
      <c r="J13" s="44" t="s">
        <v>334</v>
      </c>
      <c r="K13" s="29"/>
      <c r="L13" s="37" t="s">
        <v>103</v>
      </c>
      <c r="M13" s="37" t="s">
        <v>132</v>
      </c>
      <c r="N13" s="37" t="s">
        <v>335</v>
      </c>
      <c r="O13" s="29"/>
      <c r="P13" s="44" t="s">
        <v>315</v>
      </c>
      <c r="Q13" s="37" t="s">
        <v>315</v>
      </c>
      <c r="R13" s="37" t="s">
        <v>309</v>
      </c>
      <c r="S13" s="29"/>
      <c r="T13" s="33">
        <v>835</v>
      </c>
      <c r="U13" s="28" t="str">
        <f>"563,5415"</f>
        <v>563,5415</v>
      </c>
      <c r="V13" s="13" t="s">
        <v>13</v>
      </c>
    </row>
    <row r="14" spans="2:22" ht="12.75">
      <c r="B14" s="14" t="s">
        <v>336</v>
      </c>
      <c r="C14" s="14" t="s">
        <v>337</v>
      </c>
      <c r="D14" s="14" t="s">
        <v>706</v>
      </c>
      <c r="E14" s="14" t="str">
        <f>"0,6838"</f>
        <v>0,6838</v>
      </c>
      <c r="F14" s="14" t="s">
        <v>29</v>
      </c>
      <c r="G14" s="14" t="s">
        <v>30</v>
      </c>
      <c r="H14" s="38" t="s">
        <v>338</v>
      </c>
      <c r="I14" s="38" t="s">
        <v>339</v>
      </c>
      <c r="J14" s="38" t="s">
        <v>332</v>
      </c>
      <c r="K14" s="31"/>
      <c r="L14" s="38" t="s">
        <v>61</v>
      </c>
      <c r="M14" s="38" t="s">
        <v>102</v>
      </c>
      <c r="N14" s="46" t="s">
        <v>280</v>
      </c>
      <c r="O14" s="31"/>
      <c r="P14" s="46" t="s">
        <v>340</v>
      </c>
      <c r="Q14" s="46" t="s">
        <v>340</v>
      </c>
      <c r="R14" s="46" t="s">
        <v>340</v>
      </c>
      <c r="S14" s="31"/>
      <c r="T14" s="51">
        <v>0</v>
      </c>
      <c r="U14" s="30" t="s">
        <v>713</v>
      </c>
      <c r="V14" s="14" t="s">
        <v>707</v>
      </c>
    </row>
    <row r="16" spans="2:21" ht="15">
      <c r="B16" s="142" t="s">
        <v>50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</row>
    <row r="17" spans="1:22" ht="12.75">
      <c r="A17" s="25">
        <v>1</v>
      </c>
      <c r="B17" s="15" t="s">
        <v>341</v>
      </c>
      <c r="C17" s="15" t="s">
        <v>342</v>
      </c>
      <c r="D17" s="15" t="s">
        <v>862</v>
      </c>
      <c r="E17" s="15" t="str">
        <f>"0,6557"</f>
        <v>0,6557</v>
      </c>
      <c r="F17" s="15" t="s">
        <v>10</v>
      </c>
      <c r="G17" s="15" t="s">
        <v>343</v>
      </c>
      <c r="H17" s="39" t="s">
        <v>344</v>
      </c>
      <c r="I17" s="39" t="s">
        <v>344</v>
      </c>
      <c r="J17" s="36" t="s">
        <v>344</v>
      </c>
      <c r="K17" s="26"/>
      <c r="L17" s="39" t="s">
        <v>66</v>
      </c>
      <c r="M17" s="36" t="s">
        <v>66</v>
      </c>
      <c r="N17" s="39" t="s">
        <v>67</v>
      </c>
      <c r="O17" s="26"/>
      <c r="P17" s="36" t="s">
        <v>338</v>
      </c>
      <c r="Q17" s="36" t="s">
        <v>310</v>
      </c>
      <c r="R17" s="26"/>
      <c r="S17" s="26"/>
      <c r="T17" s="32">
        <v>800</v>
      </c>
      <c r="U17" s="27" t="str">
        <f>"524,5600"</f>
        <v>524,5600</v>
      </c>
      <c r="V17" s="15" t="s">
        <v>13</v>
      </c>
    </row>
    <row r="19" spans="2:21" ht="15">
      <c r="B19" s="142" t="s">
        <v>91</v>
      </c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</row>
    <row r="20" spans="1:22" ht="12.75">
      <c r="A20" s="25">
        <v>1</v>
      </c>
      <c r="B20" s="15" t="s">
        <v>345</v>
      </c>
      <c r="C20" s="15" t="s">
        <v>346</v>
      </c>
      <c r="D20" s="15" t="s">
        <v>863</v>
      </c>
      <c r="E20" s="15" t="str">
        <f>"0,5892"</f>
        <v>0,5892</v>
      </c>
      <c r="F20" s="15" t="s">
        <v>10</v>
      </c>
      <c r="G20" s="15" t="s">
        <v>740</v>
      </c>
      <c r="H20" s="36" t="s">
        <v>347</v>
      </c>
      <c r="I20" s="36" t="s">
        <v>348</v>
      </c>
      <c r="J20" s="39" t="s">
        <v>320</v>
      </c>
      <c r="K20" s="26"/>
      <c r="L20" s="36" t="s">
        <v>349</v>
      </c>
      <c r="M20" s="36" t="s">
        <v>350</v>
      </c>
      <c r="N20" s="36" t="s">
        <v>351</v>
      </c>
      <c r="O20" s="26"/>
      <c r="P20" s="36" t="s">
        <v>352</v>
      </c>
      <c r="Q20" s="39" t="s">
        <v>353</v>
      </c>
      <c r="R20" s="36" t="s">
        <v>353</v>
      </c>
      <c r="S20" s="26"/>
      <c r="T20" s="32">
        <v>997.5</v>
      </c>
      <c r="U20" s="27" t="str">
        <f>"587,7270"</f>
        <v>587,7270</v>
      </c>
      <c r="V20" s="15" t="s">
        <v>867</v>
      </c>
    </row>
    <row r="22" spans="2:21" ht="15">
      <c r="B22" s="142" t="s">
        <v>112</v>
      </c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</row>
    <row r="23" spans="1:22" ht="12.75">
      <c r="A23" s="25">
        <v>1</v>
      </c>
      <c r="B23" s="13" t="s">
        <v>354</v>
      </c>
      <c r="C23" s="13" t="s">
        <v>355</v>
      </c>
      <c r="D23" s="13" t="s">
        <v>213</v>
      </c>
      <c r="E23" s="13" t="str">
        <f>"0,5749"</f>
        <v>0,5749</v>
      </c>
      <c r="F23" s="13" t="s">
        <v>10</v>
      </c>
      <c r="G23" s="13" t="s">
        <v>101</v>
      </c>
      <c r="H23" s="37" t="s">
        <v>339</v>
      </c>
      <c r="I23" s="37" t="s">
        <v>352</v>
      </c>
      <c r="J23" s="44" t="s">
        <v>356</v>
      </c>
      <c r="K23" s="29"/>
      <c r="L23" s="37" t="s">
        <v>103</v>
      </c>
      <c r="M23" s="37" t="s">
        <v>66</v>
      </c>
      <c r="N23" s="44" t="s">
        <v>94</v>
      </c>
      <c r="O23" s="29"/>
      <c r="P23" s="37" t="s">
        <v>357</v>
      </c>
      <c r="Q23" s="44" t="s">
        <v>344</v>
      </c>
      <c r="R23" s="37" t="s">
        <v>344</v>
      </c>
      <c r="S23" s="29"/>
      <c r="T23" s="33">
        <v>820</v>
      </c>
      <c r="U23" s="28" t="str">
        <f>"471,4180"</f>
        <v>471,4180</v>
      </c>
      <c r="V23" s="13" t="s">
        <v>13</v>
      </c>
    </row>
    <row r="24" spans="1:22" ht="12.75">
      <c r="A24" s="25">
        <v>1</v>
      </c>
      <c r="B24" s="17" t="s">
        <v>358</v>
      </c>
      <c r="C24" s="17" t="s">
        <v>359</v>
      </c>
      <c r="D24" s="17" t="s">
        <v>864</v>
      </c>
      <c r="E24" s="17" t="str">
        <f>"0,5863"</f>
        <v>0,5863</v>
      </c>
      <c r="F24" s="17" t="s">
        <v>10</v>
      </c>
      <c r="G24" s="17" t="s">
        <v>360</v>
      </c>
      <c r="H24" s="43" t="s">
        <v>316</v>
      </c>
      <c r="I24" s="45" t="s">
        <v>310</v>
      </c>
      <c r="J24" s="45" t="s">
        <v>310</v>
      </c>
      <c r="K24" s="41"/>
      <c r="L24" s="43" t="s">
        <v>103</v>
      </c>
      <c r="M24" s="45" t="s">
        <v>66</v>
      </c>
      <c r="N24" s="43" t="s">
        <v>66</v>
      </c>
      <c r="O24" s="41"/>
      <c r="P24" s="43" t="s">
        <v>68</v>
      </c>
      <c r="Q24" s="43" t="s">
        <v>361</v>
      </c>
      <c r="R24" s="45" t="s">
        <v>116</v>
      </c>
      <c r="S24" s="41"/>
      <c r="T24" s="42">
        <v>715</v>
      </c>
      <c r="U24" s="40" t="str">
        <f>"419,2045"</f>
        <v>419,2045</v>
      </c>
      <c r="V24" s="17" t="s">
        <v>868</v>
      </c>
    </row>
    <row r="25" spans="1:22" ht="12.75">
      <c r="A25" s="25">
        <v>2</v>
      </c>
      <c r="B25" s="14" t="s">
        <v>362</v>
      </c>
      <c r="C25" s="14" t="s">
        <v>363</v>
      </c>
      <c r="D25" s="14" t="s">
        <v>865</v>
      </c>
      <c r="E25" s="14" t="str">
        <f>"0,5833"</f>
        <v>0,5833</v>
      </c>
      <c r="F25" s="14" t="s">
        <v>10</v>
      </c>
      <c r="G25" s="14" t="s">
        <v>360</v>
      </c>
      <c r="H25" s="38" t="s">
        <v>315</v>
      </c>
      <c r="I25" s="38" t="s">
        <v>309</v>
      </c>
      <c r="J25" s="46" t="s">
        <v>344</v>
      </c>
      <c r="K25" s="31"/>
      <c r="L25" s="38" t="s">
        <v>12</v>
      </c>
      <c r="M25" s="38" t="s">
        <v>54</v>
      </c>
      <c r="N25" s="46" t="s">
        <v>72</v>
      </c>
      <c r="O25" s="31"/>
      <c r="P25" s="38" t="s">
        <v>364</v>
      </c>
      <c r="Q25" s="38" t="s">
        <v>316</v>
      </c>
      <c r="R25" s="46" t="s">
        <v>351</v>
      </c>
      <c r="S25" s="31"/>
      <c r="T25" s="34">
        <v>710</v>
      </c>
      <c r="U25" s="30" t="str">
        <f>"414,1430"</f>
        <v>414,1430</v>
      </c>
      <c r="V25" s="14" t="s">
        <v>13</v>
      </c>
    </row>
  </sheetData>
  <sheetProtection/>
  <mergeCells count="20">
    <mergeCell ref="V3:V4"/>
    <mergeCell ref="B5:U5"/>
    <mergeCell ref="B9:U9"/>
    <mergeCell ref="B12:U12"/>
    <mergeCell ref="P3:S3"/>
    <mergeCell ref="B16:U16"/>
    <mergeCell ref="F3:F4"/>
    <mergeCell ref="G3:G4"/>
    <mergeCell ref="H3:K3"/>
    <mergeCell ref="L3:O3"/>
    <mergeCell ref="B19:U19"/>
    <mergeCell ref="B22:U22"/>
    <mergeCell ref="T3:T4"/>
    <mergeCell ref="U3:U4"/>
    <mergeCell ref="A3:A4"/>
    <mergeCell ref="B1:V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6"/>
  <sheetViews>
    <sheetView zoomScalePageLayoutView="0" workbookViewId="0" topLeftCell="A1">
      <selection activeCell="B5" sqref="B5:K5"/>
    </sheetView>
  </sheetViews>
  <sheetFormatPr defaultColWidth="8.75390625" defaultRowHeight="12.75"/>
  <cols>
    <col min="1" max="1" width="8.75390625" style="0" customWidth="1"/>
    <col min="2" max="2" width="24.75390625" style="11" bestFit="1" customWidth="1"/>
    <col min="3" max="3" width="31.00390625" style="1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25.00390625" style="11" bestFit="1" customWidth="1"/>
    <col min="8" max="8" width="5.625" style="11" bestFit="1" customWidth="1"/>
    <col min="9" max="9" width="10.75390625" style="96" customWidth="1"/>
    <col min="10" max="10" width="9.875" style="11" customWidth="1"/>
    <col min="11" max="11" width="9.625" style="11" bestFit="1" customWidth="1"/>
    <col min="12" max="12" width="15.75390625" style="11" bestFit="1" customWidth="1"/>
  </cols>
  <sheetData>
    <row r="1" spans="2:12" s="1" customFormat="1" ht="15" customHeight="1">
      <c r="B1" s="150" t="s">
        <v>1448</v>
      </c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2:12" s="1" customFormat="1" ht="112.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4" t="s">
        <v>990</v>
      </c>
      <c r="K3" s="146" t="s">
        <v>3</v>
      </c>
      <c r="L3" s="161" t="s">
        <v>2</v>
      </c>
    </row>
    <row r="4" spans="1:1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988</v>
      </c>
      <c r="I4" s="95" t="s">
        <v>989</v>
      </c>
      <c r="J4" s="145"/>
      <c r="K4" s="147"/>
      <c r="L4" s="162"/>
    </row>
    <row r="5" spans="2:11" ht="15">
      <c r="B5" s="163" t="s">
        <v>56</v>
      </c>
      <c r="C5" s="163"/>
      <c r="D5" s="163"/>
      <c r="E5" s="163"/>
      <c r="F5" s="163"/>
      <c r="G5" s="163"/>
      <c r="H5" s="163"/>
      <c r="I5" s="163"/>
      <c r="J5" s="163"/>
      <c r="K5" s="163"/>
    </row>
    <row r="6" spans="1:12" ht="12.75">
      <c r="A6" s="25">
        <v>1</v>
      </c>
      <c r="B6" s="15" t="s">
        <v>1387</v>
      </c>
      <c r="C6" s="15" t="s">
        <v>1388</v>
      </c>
      <c r="D6" s="15" t="s">
        <v>926</v>
      </c>
      <c r="E6" s="15" t="str">
        <f>"0,6177"</f>
        <v>0,6177</v>
      </c>
      <c r="F6" s="15" t="s">
        <v>10</v>
      </c>
      <c r="G6" s="15" t="s">
        <v>303</v>
      </c>
      <c r="H6" s="27" t="s">
        <v>205</v>
      </c>
      <c r="I6" s="27" t="s">
        <v>1390</v>
      </c>
      <c r="J6" s="27" t="s">
        <v>1391</v>
      </c>
      <c r="K6" s="27" t="s">
        <v>1389</v>
      </c>
      <c r="L6" s="15" t="s">
        <v>13</v>
      </c>
    </row>
  </sheetData>
  <sheetProtection/>
  <mergeCells count="13">
    <mergeCell ref="L3:L4"/>
    <mergeCell ref="B5:K5"/>
    <mergeCell ref="A3:A4"/>
    <mergeCell ref="B1:L2"/>
    <mergeCell ref="B3:B4"/>
    <mergeCell ref="C3:C4"/>
    <mergeCell ref="D3:D4"/>
    <mergeCell ref="E3:E4"/>
    <mergeCell ref="F3:F4"/>
    <mergeCell ref="G3:G4"/>
    <mergeCell ref="H3:I3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">
      <selection activeCell="F32" sqref="F32"/>
    </sheetView>
  </sheetViews>
  <sheetFormatPr defaultColWidth="8.75390625" defaultRowHeight="12.75"/>
  <cols>
    <col min="1" max="1" width="9.125" style="25" customWidth="1"/>
    <col min="2" max="2" width="19.875" style="11" customWidth="1"/>
    <col min="3" max="3" width="26.625" style="11" bestFit="1" customWidth="1"/>
    <col min="4" max="4" width="9.25390625" style="11" customWidth="1"/>
    <col min="5" max="5" width="8.25390625" style="11" bestFit="1" customWidth="1"/>
    <col min="6" max="6" width="15.00390625" style="11" customWidth="1"/>
    <col min="7" max="7" width="30.625" style="11" customWidth="1"/>
    <col min="8" max="10" width="5.625" style="11" bestFit="1" customWidth="1"/>
    <col min="11" max="11" width="4.25390625" style="11" bestFit="1" customWidth="1"/>
    <col min="12" max="12" width="12.125" style="35" customWidth="1"/>
    <col min="13" max="13" width="7.75390625" style="11" bestFit="1" customWidth="1"/>
    <col min="14" max="14" width="6.875" style="11" customWidth="1"/>
    <col min="15" max="15" width="10.75390625" style="11" customWidth="1"/>
    <col min="16" max="16" width="9.25390625" style="35" customWidth="1"/>
    <col min="17" max="17" width="9.00390625" style="11" customWidth="1"/>
    <col min="18" max="18" width="15.625" style="11" customWidth="1"/>
    <col min="19" max="19" width="13.25390625" style="11" customWidth="1"/>
    <col min="20" max="20" width="16.75390625" style="11" bestFit="1" customWidth="1"/>
  </cols>
  <sheetData>
    <row r="1" spans="1:20" s="1" customFormat="1" ht="15" customHeight="1">
      <c r="A1" s="24"/>
      <c r="B1" s="150" t="s">
        <v>1449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2"/>
    </row>
    <row r="2" spans="1:20" s="1" customFormat="1" ht="77.2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5"/>
    </row>
    <row r="3" spans="1:20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4" t="s">
        <v>676</v>
      </c>
      <c r="M3" s="146" t="s">
        <v>1233</v>
      </c>
      <c r="N3" s="146" t="s">
        <v>709</v>
      </c>
      <c r="O3" s="146"/>
      <c r="P3" s="144" t="s">
        <v>990</v>
      </c>
      <c r="Q3" s="146" t="s">
        <v>1233</v>
      </c>
      <c r="R3" s="146" t="s">
        <v>1234</v>
      </c>
      <c r="S3" s="146" t="s">
        <v>3</v>
      </c>
      <c r="T3" s="161" t="s">
        <v>2</v>
      </c>
    </row>
    <row r="4" spans="1:20" s="2" customFormat="1" ht="22.5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5"/>
      <c r="M4" s="147"/>
      <c r="N4" s="3" t="s">
        <v>988</v>
      </c>
      <c r="O4" s="95" t="s">
        <v>989</v>
      </c>
      <c r="P4" s="145"/>
      <c r="Q4" s="147"/>
      <c r="R4" s="147"/>
      <c r="S4" s="147"/>
      <c r="T4" s="162"/>
    </row>
    <row r="6" spans="2:19" ht="15">
      <c r="B6" s="142" t="s">
        <v>56</v>
      </c>
      <c r="C6" s="142"/>
      <c r="D6" s="142"/>
      <c r="E6" s="142"/>
      <c r="F6" s="142"/>
      <c r="G6" s="142"/>
      <c r="H6" s="142"/>
      <c r="I6" s="142"/>
      <c r="J6" s="142"/>
      <c r="K6" s="142"/>
      <c r="L6" s="128"/>
      <c r="M6" s="91"/>
      <c r="Q6" s="91"/>
      <c r="R6" s="91"/>
      <c r="S6" s="91"/>
    </row>
    <row r="7" spans="1:20" ht="12.75">
      <c r="A7" s="25">
        <v>1</v>
      </c>
      <c r="B7" s="15" t="s">
        <v>1263</v>
      </c>
      <c r="C7" s="15" t="s">
        <v>1264</v>
      </c>
      <c r="D7" s="15" t="s">
        <v>1293</v>
      </c>
      <c r="E7" s="15" t="str">
        <f>"0,6126"</f>
        <v>0,6126</v>
      </c>
      <c r="F7" s="15" t="s">
        <v>1265</v>
      </c>
      <c r="G7" s="15" t="s">
        <v>308</v>
      </c>
      <c r="H7" s="36" t="s">
        <v>12</v>
      </c>
      <c r="I7" s="36" t="s">
        <v>54</v>
      </c>
      <c r="J7" s="36" t="s">
        <v>226</v>
      </c>
      <c r="K7" s="26"/>
      <c r="L7" s="32">
        <v>167.5</v>
      </c>
      <c r="M7" s="27" t="s">
        <v>1239</v>
      </c>
      <c r="N7" s="130" t="s">
        <v>1334</v>
      </c>
      <c r="O7" s="130" t="s">
        <v>1239</v>
      </c>
      <c r="P7" s="114">
        <v>2000</v>
      </c>
      <c r="Q7" s="27" t="s">
        <v>1239</v>
      </c>
      <c r="R7" s="27" t="s">
        <v>1255</v>
      </c>
      <c r="S7" s="27" t="s">
        <v>1392</v>
      </c>
      <c r="T7" s="15" t="s">
        <v>13</v>
      </c>
    </row>
    <row r="9" spans="2:19" ht="15">
      <c r="B9" s="142" t="s">
        <v>91</v>
      </c>
      <c r="C9" s="142"/>
      <c r="D9" s="142"/>
      <c r="E9" s="142"/>
      <c r="F9" s="142"/>
      <c r="G9" s="142"/>
      <c r="H9" s="142"/>
      <c r="I9" s="142"/>
      <c r="J9" s="142"/>
      <c r="K9" s="142"/>
      <c r="L9" s="128"/>
      <c r="M9" s="91"/>
      <c r="Q9" s="91"/>
      <c r="R9" s="91"/>
      <c r="S9" s="91"/>
    </row>
    <row r="10" spans="1:20" ht="12.75">
      <c r="A10" s="25">
        <v>1</v>
      </c>
      <c r="B10" s="13" t="s">
        <v>1393</v>
      </c>
      <c r="C10" s="13" t="s">
        <v>1394</v>
      </c>
      <c r="D10" s="13" t="s">
        <v>863</v>
      </c>
      <c r="E10" s="13" t="str">
        <f>"0,5892"</f>
        <v>0,5892</v>
      </c>
      <c r="F10" s="13" t="s">
        <v>1265</v>
      </c>
      <c r="G10" s="13" t="s">
        <v>409</v>
      </c>
      <c r="H10" s="37" t="s">
        <v>66</v>
      </c>
      <c r="I10" s="37" t="s">
        <v>104</v>
      </c>
      <c r="J10" s="37" t="s">
        <v>132</v>
      </c>
      <c r="K10" s="29"/>
      <c r="L10" s="33">
        <v>220</v>
      </c>
      <c r="M10" s="28" t="s">
        <v>1239</v>
      </c>
      <c r="N10" s="131" t="s">
        <v>1334</v>
      </c>
      <c r="O10" s="131" t="s">
        <v>1395</v>
      </c>
      <c r="P10" s="133">
        <v>3700</v>
      </c>
      <c r="Q10" s="28" t="s">
        <v>1239</v>
      </c>
      <c r="R10" s="28" t="s">
        <v>1255</v>
      </c>
      <c r="S10" s="28" t="s">
        <v>1396</v>
      </c>
      <c r="T10" s="13" t="s">
        <v>1403</v>
      </c>
    </row>
    <row r="11" spans="1:20" ht="12.75">
      <c r="A11" s="25">
        <v>2</v>
      </c>
      <c r="B11" s="17" t="s">
        <v>1351</v>
      </c>
      <c r="C11" s="17" t="s">
        <v>1352</v>
      </c>
      <c r="D11" s="17" t="s">
        <v>181</v>
      </c>
      <c r="E11" s="17" t="str">
        <f>"0,5910"</f>
        <v>0,5910</v>
      </c>
      <c r="F11" s="17" t="s">
        <v>1265</v>
      </c>
      <c r="G11" s="17" t="s">
        <v>409</v>
      </c>
      <c r="H11" s="43" t="s">
        <v>72</v>
      </c>
      <c r="I11" s="43" t="s">
        <v>55</v>
      </c>
      <c r="J11" s="43" t="s">
        <v>61</v>
      </c>
      <c r="K11" s="41"/>
      <c r="L11" s="42">
        <v>185</v>
      </c>
      <c r="M11" s="40" t="s">
        <v>1237</v>
      </c>
      <c r="N11" s="93" t="s">
        <v>1334</v>
      </c>
      <c r="O11" s="93" t="s">
        <v>1279</v>
      </c>
      <c r="P11" s="134">
        <v>1000</v>
      </c>
      <c r="Q11" s="40" t="s">
        <v>1237</v>
      </c>
      <c r="R11" s="40" t="s">
        <v>1247</v>
      </c>
      <c r="S11" s="40" t="s">
        <v>1397</v>
      </c>
      <c r="T11" s="17" t="s">
        <v>13</v>
      </c>
    </row>
    <row r="12" spans="1:20" ht="12.75">
      <c r="A12" s="25">
        <v>1</v>
      </c>
      <c r="B12" s="14" t="s">
        <v>1393</v>
      </c>
      <c r="C12" s="14" t="s">
        <v>1398</v>
      </c>
      <c r="D12" s="14" t="s">
        <v>863</v>
      </c>
      <c r="E12" s="14" t="str">
        <f>"0,5892"</f>
        <v>0,5892</v>
      </c>
      <c r="F12" s="14" t="s">
        <v>1265</v>
      </c>
      <c r="G12" s="14" t="s">
        <v>409</v>
      </c>
      <c r="H12" s="38" t="s">
        <v>66</v>
      </c>
      <c r="I12" s="38" t="s">
        <v>104</v>
      </c>
      <c r="J12" s="38" t="s">
        <v>132</v>
      </c>
      <c r="K12" s="31"/>
      <c r="L12" s="34">
        <v>220</v>
      </c>
      <c r="M12" s="30" t="s">
        <v>1239</v>
      </c>
      <c r="N12" s="132" t="s">
        <v>1334</v>
      </c>
      <c r="O12" s="132" t="s">
        <v>1395</v>
      </c>
      <c r="P12" s="135">
        <v>3700</v>
      </c>
      <c r="Q12" s="30" t="s">
        <v>1239</v>
      </c>
      <c r="R12" s="30" t="s">
        <v>1255</v>
      </c>
      <c r="S12" s="27" t="s">
        <v>1396</v>
      </c>
      <c r="T12" s="14" t="s">
        <v>1403</v>
      </c>
    </row>
    <row r="14" spans="2:19" ht="15">
      <c r="B14" s="142" t="s">
        <v>1450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28"/>
      <c r="M14" s="91"/>
      <c r="Q14" s="91"/>
      <c r="R14" s="91"/>
      <c r="S14" s="91"/>
    </row>
    <row r="15" spans="1:20" ht="12.75">
      <c r="A15" s="25">
        <v>1</v>
      </c>
      <c r="B15" s="15" t="s">
        <v>1399</v>
      </c>
      <c r="C15" s="15" t="s">
        <v>1400</v>
      </c>
      <c r="D15" s="15" t="s">
        <v>1404</v>
      </c>
      <c r="E15" s="15" t="str">
        <f>"0,5732"</f>
        <v>0,5732</v>
      </c>
      <c r="F15" s="15" t="s">
        <v>1401</v>
      </c>
      <c r="G15" s="15" t="s">
        <v>683</v>
      </c>
      <c r="H15" s="36" t="s">
        <v>200</v>
      </c>
      <c r="I15" s="36" t="s">
        <v>54</v>
      </c>
      <c r="J15" s="26"/>
      <c r="K15" s="26"/>
      <c r="L15" s="32">
        <v>160</v>
      </c>
      <c r="M15" s="27" t="s">
        <v>1239</v>
      </c>
      <c r="N15" s="130" t="s">
        <v>1334</v>
      </c>
      <c r="O15" s="130" t="s">
        <v>1029</v>
      </c>
      <c r="P15" s="114">
        <v>1700</v>
      </c>
      <c r="Q15" s="27" t="s">
        <v>1239</v>
      </c>
      <c r="R15" s="27" t="s">
        <v>1255</v>
      </c>
      <c r="S15" s="27" t="s">
        <v>1402</v>
      </c>
      <c r="T15" s="15" t="s">
        <v>13</v>
      </c>
    </row>
    <row r="37" ht="12.75">
      <c r="G37" s="11" t="s">
        <v>1423</v>
      </c>
    </row>
  </sheetData>
  <sheetProtection/>
  <mergeCells count="20">
    <mergeCell ref="T3:T4"/>
    <mergeCell ref="B1:T2"/>
    <mergeCell ref="B3:B4"/>
    <mergeCell ref="C3:C4"/>
    <mergeCell ref="D3:D4"/>
    <mergeCell ref="E3:E4"/>
    <mergeCell ref="F3:F4"/>
    <mergeCell ref="A3:A4"/>
    <mergeCell ref="N3:O3"/>
    <mergeCell ref="P3:P4"/>
    <mergeCell ref="B6:K6"/>
    <mergeCell ref="B9:K9"/>
    <mergeCell ref="B14:K14"/>
    <mergeCell ref="Q3:Q4"/>
    <mergeCell ref="R3:R4"/>
    <mergeCell ref="S3:S4"/>
    <mergeCell ref="M3:M4"/>
    <mergeCell ref="G3:G4"/>
    <mergeCell ref="H3:K3"/>
    <mergeCell ref="L3:L4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G29" sqref="G29"/>
    </sheetView>
  </sheetViews>
  <sheetFormatPr defaultColWidth="8.75390625" defaultRowHeight="12.75"/>
  <cols>
    <col min="1" max="1" width="8.75390625" style="0" customWidth="1"/>
    <col min="2" max="2" width="24.75390625" style="11" bestFit="1" customWidth="1"/>
    <col min="3" max="3" width="26.625" style="11" bestFit="1" customWidth="1"/>
    <col min="4" max="4" width="10.125" style="11" bestFit="1" customWidth="1"/>
    <col min="5" max="5" width="8.25390625" style="11" bestFit="1" customWidth="1"/>
    <col min="6" max="6" width="21.75390625" style="11" bestFit="1" customWidth="1"/>
    <col min="7" max="7" width="29.25390625" style="11" bestFit="1" customWidth="1"/>
    <col min="8" max="10" width="5.625" style="11" bestFit="1" customWidth="1"/>
    <col min="11" max="11" width="4.25390625" style="11" bestFit="1" customWidth="1"/>
    <col min="12" max="12" width="11.625" style="11" customWidth="1"/>
    <col min="13" max="13" width="8.625" style="11" bestFit="1" customWidth="1"/>
    <col min="14" max="14" width="16.75390625" style="11" bestFit="1" customWidth="1"/>
  </cols>
  <sheetData>
    <row r="1" spans="2:14" s="1" customFormat="1" ht="15" customHeight="1">
      <c r="B1" s="150" t="s">
        <v>1451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2"/>
    </row>
    <row r="2" spans="2:14" s="1" customFormat="1" ht="108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5"/>
    </row>
    <row r="3" spans="1:14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6" t="s">
        <v>676</v>
      </c>
      <c r="M3" s="146" t="s">
        <v>3</v>
      </c>
      <c r="N3" s="161" t="s">
        <v>2</v>
      </c>
    </row>
    <row r="4" spans="1:14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147"/>
      <c r="M4" s="147"/>
      <c r="N4" s="162"/>
    </row>
    <row r="5" spans="2:13" ht="15">
      <c r="B5" s="163" t="s">
        <v>50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4" ht="12.75">
      <c r="A6" s="25">
        <v>1</v>
      </c>
      <c r="B6" s="15" t="s">
        <v>1405</v>
      </c>
      <c r="C6" s="15" t="s">
        <v>1328</v>
      </c>
      <c r="D6" s="15" t="s">
        <v>893</v>
      </c>
      <c r="E6" s="15" t="str">
        <f>"0,6483"</f>
        <v>0,6483</v>
      </c>
      <c r="F6" s="15" t="s">
        <v>1265</v>
      </c>
      <c r="G6" s="15" t="s">
        <v>409</v>
      </c>
      <c r="H6" s="36" t="s">
        <v>41</v>
      </c>
      <c r="I6" s="39" t="s">
        <v>11</v>
      </c>
      <c r="J6" s="39" t="s">
        <v>11</v>
      </c>
      <c r="K6" s="26"/>
      <c r="L6" s="27" t="s">
        <v>41</v>
      </c>
      <c r="M6" s="27" t="str">
        <f>"84,2790"</f>
        <v>84,2790</v>
      </c>
      <c r="N6" s="15" t="s">
        <v>13</v>
      </c>
    </row>
    <row r="8" spans="2:13" ht="15">
      <c r="B8" s="142" t="s">
        <v>91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</row>
    <row r="9" spans="1:14" ht="12.75">
      <c r="A9" s="25">
        <v>1</v>
      </c>
      <c r="B9" s="15" t="s">
        <v>1406</v>
      </c>
      <c r="C9" s="15" t="s">
        <v>1407</v>
      </c>
      <c r="D9" s="15" t="s">
        <v>1408</v>
      </c>
      <c r="E9" s="15" t="str">
        <f>"0,6057"</f>
        <v>0,6057</v>
      </c>
      <c r="F9" s="15" t="s">
        <v>10</v>
      </c>
      <c r="G9" s="15" t="s">
        <v>683</v>
      </c>
      <c r="H9" s="39" t="s">
        <v>119</v>
      </c>
      <c r="I9" s="36" t="s">
        <v>119</v>
      </c>
      <c r="J9" s="39" t="s">
        <v>66</v>
      </c>
      <c r="K9" s="26"/>
      <c r="L9" s="27">
        <v>202.5</v>
      </c>
      <c r="M9" s="27" t="str">
        <f>"122,6543"</f>
        <v>122,6543</v>
      </c>
      <c r="N9" s="15" t="s">
        <v>13</v>
      </c>
    </row>
  </sheetData>
  <sheetProtection/>
  <mergeCells count="14">
    <mergeCell ref="L3:L4"/>
    <mergeCell ref="M3:M4"/>
    <mergeCell ref="N3:N4"/>
    <mergeCell ref="B5:M5"/>
    <mergeCell ref="B8:M8"/>
    <mergeCell ref="A3:A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9" sqref="H39"/>
    </sheetView>
  </sheetViews>
  <sheetFormatPr defaultColWidth="9.00390625" defaultRowHeight="12.75"/>
  <cols>
    <col min="1" max="16384" width="11.3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"/>
  <sheetViews>
    <sheetView zoomScalePageLayoutView="0" workbookViewId="0" topLeftCell="A1">
      <selection activeCell="L34" sqref="L34"/>
    </sheetView>
  </sheetViews>
  <sheetFormatPr defaultColWidth="8.75390625" defaultRowHeight="12.75"/>
  <cols>
    <col min="1" max="1" width="7.375" style="0" customWidth="1"/>
    <col min="2" max="2" width="19.75390625" style="11" customWidth="1"/>
    <col min="3" max="3" width="27.25390625" style="11" bestFit="1" customWidth="1"/>
    <col min="4" max="4" width="8.875" style="11" customWidth="1"/>
    <col min="5" max="5" width="6.625" style="11" bestFit="1" customWidth="1"/>
    <col min="6" max="6" width="15.375" style="11" customWidth="1"/>
    <col min="7" max="7" width="26.25390625" style="11" customWidth="1"/>
    <col min="8" max="10" width="5.625" style="11" bestFit="1" customWidth="1"/>
    <col min="11" max="11" width="7.125" style="11" customWidth="1"/>
    <col min="12" max="14" width="5.625" style="11" bestFit="1" customWidth="1"/>
    <col min="15" max="15" width="4.25390625" style="11" bestFit="1" customWidth="1"/>
    <col min="16" max="16" width="3.625" style="11" customWidth="1"/>
    <col min="17" max="18" width="2.125" style="11" bestFit="1" customWidth="1"/>
    <col min="19" max="19" width="4.25390625" style="11" bestFit="1" customWidth="1"/>
    <col min="20" max="20" width="7.75390625" style="11" bestFit="1" customWidth="1"/>
    <col min="21" max="21" width="6.625" style="11" bestFit="1" customWidth="1"/>
    <col min="22" max="22" width="14.75390625" style="11" bestFit="1" customWidth="1"/>
  </cols>
  <sheetData>
    <row r="1" spans="2:22" s="1" customFormat="1" ht="15" customHeight="1">
      <c r="B1" s="150" t="s">
        <v>859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2"/>
    </row>
    <row r="2" spans="2:22" s="1" customFormat="1" ht="84.7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5"/>
    </row>
    <row r="3" spans="1:22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675</v>
      </c>
      <c r="I3" s="146"/>
      <c r="J3" s="146"/>
      <c r="K3" s="146"/>
      <c r="L3" s="146" t="s">
        <v>709</v>
      </c>
      <c r="M3" s="146"/>
      <c r="N3" s="146"/>
      <c r="O3" s="146"/>
      <c r="P3" s="146" t="s">
        <v>710</v>
      </c>
      <c r="Q3" s="146"/>
      <c r="R3" s="146"/>
      <c r="S3" s="146"/>
      <c r="T3" s="144" t="s">
        <v>1</v>
      </c>
      <c r="U3" s="146" t="s">
        <v>3</v>
      </c>
      <c r="V3" s="161" t="s">
        <v>2</v>
      </c>
    </row>
    <row r="4" spans="1:22" s="2" customFormat="1" ht="21" customHeight="1" thickBot="1">
      <c r="A4" s="149"/>
      <c r="B4" s="157"/>
      <c r="C4" s="147"/>
      <c r="D4" s="160"/>
      <c r="E4" s="147"/>
      <c r="F4" s="147"/>
      <c r="G4" s="165"/>
      <c r="H4" s="3" t="s">
        <v>778</v>
      </c>
      <c r="I4" s="3" t="s">
        <v>779</v>
      </c>
      <c r="J4" s="3" t="s">
        <v>780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3">
        <v>1</v>
      </c>
      <c r="Q4" s="3">
        <v>2</v>
      </c>
      <c r="R4" s="3">
        <v>3</v>
      </c>
      <c r="S4" s="3" t="s">
        <v>5</v>
      </c>
      <c r="T4" s="145"/>
      <c r="U4" s="147"/>
      <c r="V4" s="162"/>
    </row>
    <row r="5" spans="2:21" ht="15">
      <c r="B5" s="163" t="s">
        <v>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</row>
    <row r="6" spans="2:22" ht="12.75">
      <c r="B6" s="15" t="s">
        <v>367</v>
      </c>
      <c r="C6" s="15" t="s">
        <v>368</v>
      </c>
      <c r="D6" s="15" t="s">
        <v>704</v>
      </c>
      <c r="E6" s="15" t="str">
        <f>"0,6129"</f>
        <v>0,6129</v>
      </c>
      <c r="F6" s="15" t="s">
        <v>10</v>
      </c>
      <c r="G6" s="15" t="s">
        <v>683</v>
      </c>
      <c r="H6" s="39" t="s">
        <v>335</v>
      </c>
      <c r="I6" s="36" t="s">
        <v>369</v>
      </c>
      <c r="J6" s="36" t="s">
        <v>315</v>
      </c>
      <c r="K6" s="26"/>
      <c r="L6" s="39" t="s">
        <v>54</v>
      </c>
      <c r="M6" s="39" t="s">
        <v>54</v>
      </c>
      <c r="N6" s="39" t="s">
        <v>90</v>
      </c>
      <c r="O6" s="26"/>
      <c r="P6" s="26"/>
      <c r="Q6" s="26"/>
      <c r="R6" s="26"/>
      <c r="S6" s="26"/>
      <c r="T6" s="27">
        <v>0</v>
      </c>
      <c r="U6" s="27" t="s">
        <v>713</v>
      </c>
      <c r="V6" s="15" t="s">
        <v>705</v>
      </c>
    </row>
  </sheetData>
  <sheetProtection/>
  <mergeCells count="15">
    <mergeCell ref="B5:U5"/>
    <mergeCell ref="B1:V2"/>
    <mergeCell ref="B3:B4"/>
    <mergeCell ref="C3:C4"/>
    <mergeCell ref="D3:D4"/>
    <mergeCell ref="E3:E4"/>
    <mergeCell ref="F3:F4"/>
    <mergeCell ref="G3:G4"/>
    <mergeCell ref="H3:K3"/>
    <mergeCell ref="L3:O3"/>
    <mergeCell ref="P3:S3"/>
    <mergeCell ref="A3:A4"/>
    <mergeCell ref="T3:T4"/>
    <mergeCell ref="U3:U4"/>
    <mergeCell ref="V3:V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B1">
      <selection activeCell="G40" sqref="G40"/>
    </sheetView>
  </sheetViews>
  <sheetFormatPr defaultColWidth="8.75390625" defaultRowHeight="12.75"/>
  <cols>
    <col min="1" max="1" width="7.625" style="25" customWidth="1"/>
    <col min="2" max="2" width="20.75390625" style="11" customWidth="1"/>
    <col min="3" max="3" width="26.625" style="11" bestFit="1" customWidth="1"/>
    <col min="4" max="4" width="10.125" style="11" bestFit="1" customWidth="1"/>
    <col min="5" max="5" width="8.25390625" style="11" bestFit="1" customWidth="1"/>
    <col min="6" max="6" width="13.25390625" style="11" customWidth="1"/>
    <col min="7" max="7" width="30.625" style="11" bestFit="1" customWidth="1"/>
    <col min="8" max="10" width="5.625" style="11" bestFit="1" customWidth="1"/>
    <col min="11" max="11" width="4.25390625" style="11" bestFit="1" customWidth="1"/>
    <col min="12" max="14" width="5.625" style="11" bestFit="1" customWidth="1"/>
    <col min="15" max="15" width="4.25390625" style="11" bestFit="1" customWidth="1"/>
    <col min="16" max="16" width="7.75390625" style="35" bestFit="1" customWidth="1"/>
    <col min="17" max="17" width="8.625" style="11" bestFit="1" customWidth="1"/>
    <col min="18" max="18" width="16.375" style="11" customWidth="1"/>
  </cols>
  <sheetData>
    <row r="1" spans="1:18" s="1" customFormat="1" ht="15" customHeight="1">
      <c r="A1" s="24"/>
      <c r="B1" s="150" t="s">
        <v>1436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</row>
    <row r="2" spans="1:18" s="1" customFormat="1" ht="91.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</row>
    <row r="3" spans="1:18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6" t="s">
        <v>710</v>
      </c>
      <c r="M3" s="146"/>
      <c r="N3" s="146"/>
      <c r="O3" s="146"/>
      <c r="P3" s="144" t="s">
        <v>1</v>
      </c>
      <c r="Q3" s="146" t="s">
        <v>3</v>
      </c>
      <c r="R3" s="161" t="s">
        <v>2</v>
      </c>
    </row>
    <row r="4" spans="1:18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145"/>
      <c r="Q4" s="147"/>
      <c r="R4" s="162"/>
    </row>
    <row r="5" spans="2:17" ht="15">
      <c r="B5" s="163" t="s">
        <v>26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8" ht="12.75">
      <c r="A6" s="25">
        <v>1</v>
      </c>
      <c r="B6" s="15" t="s">
        <v>648</v>
      </c>
      <c r="C6" s="15" t="s">
        <v>649</v>
      </c>
      <c r="D6" s="15" t="s">
        <v>723</v>
      </c>
      <c r="E6" s="15" t="str">
        <f>"0,7166"</f>
        <v>0,7166</v>
      </c>
      <c r="F6" s="15" t="s">
        <v>10</v>
      </c>
      <c r="G6" s="15" t="s">
        <v>650</v>
      </c>
      <c r="H6" s="36" t="s">
        <v>213</v>
      </c>
      <c r="I6" s="36" t="s">
        <v>40</v>
      </c>
      <c r="J6" s="39" t="s">
        <v>41</v>
      </c>
      <c r="K6" s="26"/>
      <c r="L6" s="39" t="s">
        <v>60</v>
      </c>
      <c r="M6" s="36" t="s">
        <v>108</v>
      </c>
      <c r="N6" s="36" t="s">
        <v>109</v>
      </c>
      <c r="O6" s="26"/>
      <c r="P6" s="32">
        <v>317.5</v>
      </c>
      <c r="Q6" s="27" t="str">
        <f>"227,5205"</f>
        <v>227,5205</v>
      </c>
      <c r="R6" s="15" t="s">
        <v>727</v>
      </c>
    </row>
    <row r="8" spans="2:17" ht="15">
      <c r="B8" s="142" t="s">
        <v>56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8" ht="12.75">
      <c r="A9" s="25">
        <v>1</v>
      </c>
      <c r="B9" s="15" t="s">
        <v>651</v>
      </c>
      <c r="C9" s="15" t="s">
        <v>652</v>
      </c>
      <c r="D9" s="15" t="s">
        <v>724</v>
      </c>
      <c r="E9" s="15" t="str">
        <f>"0,6131"</f>
        <v>0,6131</v>
      </c>
      <c r="F9" s="15" t="s">
        <v>10</v>
      </c>
      <c r="G9" s="15" t="s">
        <v>380</v>
      </c>
      <c r="H9" s="36" t="s">
        <v>54</v>
      </c>
      <c r="I9" s="36" t="s">
        <v>226</v>
      </c>
      <c r="J9" s="36" t="s">
        <v>90</v>
      </c>
      <c r="K9" s="26"/>
      <c r="L9" s="36" t="s">
        <v>66</v>
      </c>
      <c r="M9" s="36" t="s">
        <v>132</v>
      </c>
      <c r="N9" s="39" t="s">
        <v>335</v>
      </c>
      <c r="O9" s="26"/>
      <c r="P9" s="32">
        <v>392.5</v>
      </c>
      <c r="Q9" s="27" t="str">
        <f>"244,0107"</f>
        <v>244,0107</v>
      </c>
      <c r="R9" s="15" t="s">
        <v>728</v>
      </c>
    </row>
    <row r="11" spans="2:17" ht="15">
      <c r="B11" s="142" t="s">
        <v>91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18" ht="12.75">
      <c r="A12" s="25">
        <v>1</v>
      </c>
      <c r="B12" s="13" t="s">
        <v>397</v>
      </c>
      <c r="C12" s="13" t="s">
        <v>398</v>
      </c>
      <c r="D12" s="13" t="s">
        <v>698</v>
      </c>
      <c r="E12" s="13" t="str">
        <f>"0,5933"</f>
        <v>0,5933</v>
      </c>
      <c r="F12" s="13" t="s">
        <v>10</v>
      </c>
      <c r="G12" s="13" t="s">
        <v>696</v>
      </c>
      <c r="H12" s="37" t="s">
        <v>125</v>
      </c>
      <c r="I12" s="29"/>
      <c r="J12" s="29"/>
      <c r="K12" s="29"/>
      <c r="L12" s="37" t="s">
        <v>399</v>
      </c>
      <c r="M12" s="29"/>
      <c r="N12" s="29"/>
      <c r="O12" s="29"/>
      <c r="P12" s="33">
        <v>510</v>
      </c>
      <c r="Q12" s="28" t="str">
        <f>"302,5830"</f>
        <v>302,5830</v>
      </c>
      <c r="R12" s="13" t="s">
        <v>702</v>
      </c>
    </row>
    <row r="13" spans="1:18" ht="12.75">
      <c r="A13" s="25">
        <v>1</v>
      </c>
      <c r="B13" s="14" t="s">
        <v>653</v>
      </c>
      <c r="C13" s="14" t="s">
        <v>654</v>
      </c>
      <c r="D13" s="14" t="s">
        <v>725</v>
      </c>
      <c r="E13" s="14" t="str">
        <f>"0,5916"</f>
        <v>0,5916</v>
      </c>
      <c r="F13" s="14" t="s">
        <v>64</v>
      </c>
      <c r="G13" s="14" t="s">
        <v>65</v>
      </c>
      <c r="H13" s="38" t="s">
        <v>108</v>
      </c>
      <c r="I13" s="38" t="s">
        <v>109</v>
      </c>
      <c r="J13" s="31"/>
      <c r="K13" s="31"/>
      <c r="L13" s="38" t="s">
        <v>315</v>
      </c>
      <c r="M13" s="46" t="s">
        <v>316</v>
      </c>
      <c r="N13" s="46" t="s">
        <v>316</v>
      </c>
      <c r="O13" s="31"/>
      <c r="P13" s="34">
        <v>452.5</v>
      </c>
      <c r="Q13" s="30" t="str">
        <f>"275,1946"</f>
        <v>275,1946</v>
      </c>
      <c r="R13" s="14" t="s">
        <v>729</v>
      </c>
    </row>
    <row r="15" spans="2:17" ht="15">
      <c r="B15" s="142" t="s">
        <v>112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</row>
    <row r="16" spans="1:18" ht="12.75">
      <c r="A16" s="25">
        <v>1</v>
      </c>
      <c r="B16" s="15" t="s">
        <v>603</v>
      </c>
      <c r="C16" s="15" t="s">
        <v>604</v>
      </c>
      <c r="D16" s="15" t="s">
        <v>213</v>
      </c>
      <c r="E16" s="15" t="str">
        <f>"0,5749"</f>
        <v>0,5749</v>
      </c>
      <c r="F16" s="15" t="s">
        <v>10</v>
      </c>
      <c r="G16" s="15" t="s">
        <v>17</v>
      </c>
      <c r="H16" s="36" t="s">
        <v>60</v>
      </c>
      <c r="I16" s="36" t="s">
        <v>108</v>
      </c>
      <c r="J16" s="39" t="s">
        <v>102</v>
      </c>
      <c r="K16" s="26"/>
      <c r="L16" s="36" t="s">
        <v>361</v>
      </c>
      <c r="M16" s="36" t="s">
        <v>391</v>
      </c>
      <c r="N16" s="39" t="s">
        <v>392</v>
      </c>
      <c r="O16" s="26"/>
      <c r="P16" s="32">
        <v>425</v>
      </c>
      <c r="Q16" s="27" t="str">
        <f>"251,1738"</f>
        <v>251,1738</v>
      </c>
      <c r="R16" s="15" t="s">
        <v>13</v>
      </c>
    </row>
    <row r="18" spans="2:17" ht="15">
      <c r="B18" s="142" t="s">
        <v>128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</row>
    <row r="19" spans="1:18" ht="12.75">
      <c r="A19" s="25">
        <v>1</v>
      </c>
      <c r="B19" s="15" t="s">
        <v>655</v>
      </c>
      <c r="C19" s="15" t="s">
        <v>656</v>
      </c>
      <c r="D19" s="15" t="s">
        <v>726</v>
      </c>
      <c r="E19" s="15" t="str">
        <f>"0,5691"</f>
        <v>0,5691</v>
      </c>
      <c r="F19" s="15" t="s">
        <v>10</v>
      </c>
      <c r="G19" s="15" t="s">
        <v>414</v>
      </c>
      <c r="H19" s="36" t="s">
        <v>40</v>
      </c>
      <c r="I19" s="39" t="s">
        <v>49</v>
      </c>
      <c r="J19" s="36" t="s">
        <v>49</v>
      </c>
      <c r="K19" s="26"/>
      <c r="L19" s="36" t="s">
        <v>108</v>
      </c>
      <c r="M19" s="36" t="s">
        <v>66</v>
      </c>
      <c r="N19" s="36" t="s">
        <v>335</v>
      </c>
      <c r="O19" s="26"/>
      <c r="P19" s="32">
        <v>365</v>
      </c>
      <c r="Q19" s="27" t="str">
        <f>"210,6296"</f>
        <v>210,6296</v>
      </c>
      <c r="R19" s="15" t="s">
        <v>13</v>
      </c>
    </row>
    <row r="20" ht="14.25" customHeight="1"/>
  </sheetData>
  <sheetProtection/>
  <mergeCells count="18">
    <mergeCell ref="B15:Q15"/>
    <mergeCell ref="B18:Q18"/>
    <mergeCell ref="P3:P4"/>
    <mergeCell ref="Q3:Q4"/>
    <mergeCell ref="R3:R4"/>
    <mergeCell ref="B5:Q5"/>
    <mergeCell ref="B8:Q8"/>
    <mergeCell ref="B11:Q11"/>
    <mergeCell ref="A3:A4"/>
    <mergeCell ref="B1:R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D1">
      <selection activeCell="S2" sqref="S2"/>
    </sheetView>
  </sheetViews>
  <sheetFormatPr defaultColWidth="8.75390625" defaultRowHeight="12.75"/>
  <cols>
    <col min="1" max="1" width="7.125" style="25" customWidth="1"/>
    <col min="2" max="2" width="20.25390625" style="11" customWidth="1"/>
    <col min="3" max="3" width="27.25390625" style="11" bestFit="1" customWidth="1"/>
    <col min="4" max="4" width="10.125" style="11" bestFit="1" customWidth="1"/>
    <col min="5" max="5" width="8.25390625" style="11" bestFit="1" customWidth="1"/>
    <col min="6" max="6" width="17.375" style="11" customWidth="1"/>
    <col min="7" max="7" width="37.25390625" style="11" customWidth="1"/>
    <col min="8" max="10" width="5.625" style="11" bestFit="1" customWidth="1"/>
    <col min="11" max="11" width="4.25390625" style="11" bestFit="1" customWidth="1"/>
    <col min="12" max="14" width="5.625" style="11" bestFit="1" customWidth="1"/>
    <col min="15" max="15" width="4.25390625" style="11" bestFit="1" customWidth="1"/>
    <col min="16" max="16" width="7.75390625" style="35" bestFit="1" customWidth="1"/>
    <col min="17" max="17" width="8.625" style="11" bestFit="1" customWidth="1"/>
    <col min="18" max="18" width="16.875" style="11" customWidth="1"/>
  </cols>
  <sheetData>
    <row r="1" spans="1:18" s="1" customFormat="1" ht="15" customHeight="1">
      <c r="A1" s="24"/>
      <c r="B1" s="150" t="s">
        <v>1434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</row>
    <row r="2" spans="1:18" s="1" customFormat="1" ht="80.25" customHeight="1" thickBot="1">
      <c r="A2" s="24"/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</row>
    <row r="3" spans="1:18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6" t="s">
        <v>710</v>
      </c>
      <c r="M3" s="146"/>
      <c r="N3" s="146"/>
      <c r="O3" s="146"/>
      <c r="P3" s="144" t="s">
        <v>1</v>
      </c>
      <c r="Q3" s="146" t="s">
        <v>3</v>
      </c>
      <c r="R3" s="161" t="s">
        <v>2</v>
      </c>
    </row>
    <row r="4" spans="1:18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145"/>
      <c r="Q4" s="147"/>
      <c r="R4" s="162"/>
    </row>
    <row r="5" spans="2:17" ht="15">
      <c r="B5" s="163" t="s">
        <v>21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8" ht="12.75">
      <c r="A6" s="25">
        <v>1</v>
      </c>
      <c r="B6" s="15" t="s">
        <v>658</v>
      </c>
      <c r="C6" s="15" t="s">
        <v>659</v>
      </c>
      <c r="D6" s="15" t="s">
        <v>716</v>
      </c>
      <c r="E6" s="15" t="str">
        <f>"1,0261"</f>
        <v>1,0261</v>
      </c>
      <c r="F6" s="15" t="s">
        <v>10</v>
      </c>
      <c r="G6" s="15" t="s">
        <v>660</v>
      </c>
      <c r="H6" s="36" t="s">
        <v>18</v>
      </c>
      <c r="I6" s="36" t="s">
        <v>154</v>
      </c>
      <c r="J6" s="39" t="s">
        <v>19</v>
      </c>
      <c r="K6" s="26"/>
      <c r="L6" s="36" t="s">
        <v>205</v>
      </c>
      <c r="M6" s="36" t="s">
        <v>206</v>
      </c>
      <c r="N6" s="36" t="s">
        <v>219</v>
      </c>
      <c r="O6" s="26"/>
      <c r="P6" s="32">
        <v>170</v>
      </c>
      <c r="Q6" s="27" t="str">
        <f>"174,4370"</f>
        <v>174,4370</v>
      </c>
      <c r="R6" s="15" t="s">
        <v>13</v>
      </c>
    </row>
    <row r="8" spans="2:17" ht="15">
      <c r="B8" s="142" t="s">
        <v>21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</row>
    <row r="9" spans="1:18" ht="12.75">
      <c r="A9" s="25">
        <v>1</v>
      </c>
      <c r="B9" s="13" t="s">
        <v>620</v>
      </c>
      <c r="C9" s="13" t="s">
        <v>621</v>
      </c>
      <c r="D9" s="13" t="s">
        <v>717</v>
      </c>
      <c r="E9" s="13" t="str">
        <f>"0,7942"</f>
        <v>0,7942</v>
      </c>
      <c r="F9" s="13" t="s">
        <v>203</v>
      </c>
      <c r="G9" s="13" t="s">
        <v>204</v>
      </c>
      <c r="H9" s="37" t="s">
        <v>219</v>
      </c>
      <c r="I9" s="37" t="s">
        <v>213</v>
      </c>
      <c r="J9" s="44" t="s">
        <v>40</v>
      </c>
      <c r="K9" s="29"/>
      <c r="L9" s="37" t="s">
        <v>66</v>
      </c>
      <c r="M9" s="37" t="s">
        <v>95</v>
      </c>
      <c r="N9" s="44" t="s">
        <v>115</v>
      </c>
      <c r="O9" s="29"/>
      <c r="P9" s="33">
        <v>342.5</v>
      </c>
      <c r="Q9" s="28" t="str">
        <f>"272,0135"</f>
        <v>272,0135</v>
      </c>
      <c r="R9" s="13" t="s">
        <v>13</v>
      </c>
    </row>
    <row r="10" spans="1:18" ht="12.75">
      <c r="A10" s="25">
        <v>2</v>
      </c>
      <c r="B10" s="17" t="s">
        <v>195</v>
      </c>
      <c r="C10" s="17" t="s">
        <v>196</v>
      </c>
      <c r="D10" s="17" t="s">
        <v>718</v>
      </c>
      <c r="E10" s="17" t="str">
        <f>"0,7823"</f>
        <v>0,7823</v>
      </c>
      <c r="F10" s="17" t="s">
        <v>10</v>
      </c>
      <c r="G10" s="17" t="s">
        <v>696</v>
      </c>
      <c r="H10" s="43" t="s">
        <v>197</v>
      </c>
      <c r="I10" s="45" t="s">
        <v>222</v>
      </c>
      <c r="J10" s="45" t="s">
        <v>222</v>
      </c>
      <c r="K10" s="41"/>
      <c r="L10" s="43" t="s">
        <v>54</v>
      </c>
      <c r="M10" s="43" t="s">
        <v>60</v>
      </c>
      <c r="N10" s="45" t="s">
        <v>55</v>
      </c>
      <c r="O10" s="41"/>
      <c r="P10" s="42">
        <v>282.5</v>
      </c>
      <c r="Q10" s="40" t="str">
        <f>"220,9997"</f>
        <v>220,9997</v>
      </c>
      <c r="R10" s="17" t="s">
        <v>702</v>
      </c>
    </row>
    <row r="11" spans="1:18" ht="12.75">
      <c r="A11" s="25">
        <v>1</v>
      </c>
      <c r="B11" s="14" t="s">
        <v>620</v>
      </c>
      <c r="C11" s="14" t="s">
        <v>622</v>
      </c>
      <c r="D11" s="14" t="s">
        <v>717</v>
      </c>
      <c r="E11" s="14" t="str">
        <f>"0,7942"</f>
        <v>0,7942</v>
      </c>
      <c r="F11" s="14" t="s">
        <v>203</v>
      </c>
      <c r="G11" s="14" t="s">
        <v>204</v>
      </c>
      <c r="H11" s="38" t="s">
        <v>219</v>
      </c>
      <c r="I11" s="38" t="s">
        <v>213</v>
      </c>
      <c r="J11" s="46" t="s">
        <v>40</v>
      </c>
      <c r="K11" s="31"/>
      <c r="L11" s="38" t="s">
        <v>66</v>
      </c>
      <c r="M11" s="38" t="s">
        <v>95</v>
      </c>
      <c r="N11" s="46" t="s">
        <v>115</v>
      </c>
      <c r="O11" s="31"/>
      <c r="P11" s="34">
        <v>342.5</v>
      </c>
      <c r="Q11" s="30" t="str">
        <f>"317,7118"</f>
        <v>317,7118</v>
      </c>
      <c r="R11" s="14" t="s">
        <v>13</v>
      </c>
    </row>
    <row r="12" ht="12.75">
      <c r="N12" s="47"/>
    </row>
    <row r="13" spans="2:17" ht="15">
      <c r="B13" s="142" t="s">
        <v>7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8" ht="12.75">
      <c r="A14" s="25">
        <v>1</v>
      </c>
      <c r="B14" s="13" t="s">
        <v>464</v>
      </c>
      <c r="C14" s="13" t="s">
        <v>465</v>
      </c>
      <c r="D14" s="13" t="s">
        <v>691</v>
      </c>
      <c r="E14" s="13" t="str">
        <f>"0,6754"</f>
        <v>0,6754</v>
      </c>
      <c r="F14" s="13" t="s">
        <v>45</v>
      </c>
      <c r="G14" s="13" t="s">
        <v>466</v>
      </c>
      <c r="H14" s="37" t="s">
        <v>40</v>
      </c>
      <c r="I14" s="29"/>
      <c r="J14" s="29"/>
      <c r="K14" s="29"/>
      <c r="L14" s="37" t="s">
        <v>361</v>
      </c>
      <c r="M14" s="29"/>
      <c r="N14" s="29"/>
      <c r="O14" s="29"/>
      <c r="P14" s="33">
        <v>360</v>
      </c>
      <c r="Q14" s="28" t="str">
        <f>"243,1440"</f>
        <v>243,1440</v>
      </c>
      <c r="R14" s="13" t="s">
        <v>13</v>
      </c>
    </row>
    <row r="15" spans="1:18" ht="12.75">
      <c r="A15" s="25">
        <v>1</v>
      </c>
      <c r="B15" s="14" t="s">
        <v>464</v>
      </c>
      <c r="C15" s="14" t="s">
        <v>470</v>
      </c>
      <c r="D15" s="14" t="s">
        <v>691</v>
      </c>
      <c r="E15" s="14" t="str">
        <f>"0,6754"</f>
        <v>0,6754</v>
      </c>
      <c r="F15" s="14" t="s">
        <v>45</v>
      </c>
      <c r="G15" s="14" t="s">
        <v>466</v>
      </c>
      <c r="H15" s="38" t="s">
        <v>40</v>
      </c>
      <c r="I15" s="31"/>
      <c r="J15" s="31"/>
      <c r="K15" s="31"/>
      <c r="L15" s="38" t="s">
        <v>361</v>
      </c>
      <c r="M15" s="31"/>
      <c r="N15" s="31"/>
      <c r="O15" s="31"/>
      <c r="P15" s="34">
        <v>360</v>
      </c>
      <c r="Q15" s="30" t="str">
        <f>"246,5480"</f>
        <v>246,5480</v>
      </c>
      <c r="R15" s="14" t="s">
        <v>13</v>
      </c>
    </row>
    <row r="17" spans="2:17" ht="15">
      <c r="B17" s="142" t="s">
        <v>50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8" ht="12.75">
      <c r="A18" s="25">
        <v>1</v>
      </c>
      <c r="B18" s="13" t="s">
        <v>231</v>
      </c>
      <c r="C18" s="13" t="s">
        <v>232</v>
      </c>
      <c r="D18" s="13" t="s">
        <v>719</v>
      </c>
      <c r="E18" s="13" t="str">
        <f>"0,6421"</f>
        <v>0,6421</v>
      </c>
      <c r="F18" s="13" t="s">
        <v>64</v>
      </c>
      <c r="G18" s="13" t="s">
        <v>185</v>
      </c>
      <c r="H18" s="37" t="s">
        <v>40</v>
      </c>
      <c r="I18" s="37" t="s">
        <v>41</v>
      </c>
      <c r="J18" s="37" t="s">
        <v>42</v>
      </c>
      <c r="K18" s="29"/>
      <c r="L18" s="37" t="s">
        <v>132</v>
      </c>
      <c r="M18" s="37" t="s">
        <v>115</v>
      </c>
      <c r="N18" s="29"/>
      <c r="O18" s="29"/>
      <c r="P18" s="33">
        <v>365</v>
      </c>
      <c r="Q18" s="28" t="str">
        <f>"234,3665"</f>
        <v>234,3665</v>
      </c>
      <c r="R18" s="13" t="s">
        <v>721</v>
      </c>
    </row>
    <row r="19" spans="1:18" ht="12.75">
      <c r="A19" s="25">
        <v>1</v>
      </c>
      <c r="B19" s="17" t="s">
        <v>240</v>
      </c>
      <c r="C19" s="17" t="s">
        <v>241</v>
      </c>
      <c r="D19" s="17" t="s">
        <v>681</v>
      </c>
      <c r="E19" s="17" t="str">
        <f>"0,6579"</f>
        <v>0,6579</v>
      </c>
      <c r="F19" s="17" t="s">
        <v>10</v>
      </c>
      <c r="G19" s="17" t="s">
        <v>696</v>
      </c>
      <c r="H19" s="43" t="s">
        <v>242</v>
      </c>
      <c r="I19" s="41"/>
      <c r="J19" s="41"/>
      <c r="K19" s="41"/>
      <c r="L19" s="43" t="s">
        <v>116</v>
      </c>
      <c r="M19" s="41"/>
      <c r="N19" s="41"/>
      <c r="O19" s="41"/>
      <c r="P19" s="42">
        <v>382.5</v>
      </c>
      <c r="Q19" s="40" t="str">
        <f>"251,6467"</f>
        <v>251,6467</v>
      </c>
      <c r="R19" s="17" t="s">
        <v>722</v>
      </c>
    </row>
    <row r="20" spans="1:18" ht="12.75">
      <c r="A20" s="25">
        <v>2</v>
      </c>
      <c r="B20" s="14" t="s">
        <v>661</v>
      </c>
      <c r="C20" s="14" t="s">
        <v>662</v>
      </c>
      <c r="D20" s="14" t="s">
        <v>720</v>
      </c>
      <c r="E20" s="14" t="str">
        <f>"0,6444"</f>
        <v>0,6444</v>
      </c>
      <c r="F20" s="14" t="s">
        <v>64</v>
      </c>
      <c r="G20" s="14" t="s">
        <v>185</v>
      </c>
      <c r="H20" s="38" t="s">
        <v>11</v>
      </c>
      <c r="I20" s="46" t="s">
        <v>285</v>
      </c>
      <c r="J20" s="46" t="s">
        <v>285</v>
      </c>
      <c r="K20" s="31"/>
      <c r="L20" s="38" t="s">
        <v>66</v>
      </c>
      <c r="M20" s="46" t="s">
        <v>68</v>
      </c>
      <c r="N20" s="46" t="s">
        <v>68</v>
      </c>
      <c r="O20" s="31"/>
      <c r="P20" s="34">
        <v>350</v>
      </c>
      <c r="Q20" s="30" t="str">
        <f>"225,5400"</f>
        <v>225,5400</v>
      </c>
      <c r="R20" s="14" t="s">
        <v>13</v>
      </c>
    </row>
    <row r="33" ht="12.75">
      <c r="G33" s="11" t="s">
        <v>1435</v>
      </c>
    </row>
  </sheetData>
  <sheetProtection/>
  <mergeCells count="17">
    <mergeCell ref="B17:Q17"/>
    <mergeCell ref="P3:P4"/>
    <mergeCell ref="Q3:Q4"/>
    <mergeCell ref="R3:R4"/>
    <mergeCell ref="B5:Q5"/>
    <mergeCell ref="B8:Q8"/>
    <mergeCell ref="B13:Q13"/>
    <mergeCell ref="A3:A4"/>
    <mergeCell ref="B1:R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"/>
  <sheetViews>
    <sheetView zoomScalePageLayoutView="0" workbookViewId="0" topLeftCell="A1">
      <selection activeCell="G26" sqref="G26"/>
    </sheetView>
  </sheetViews>
  <sheetFormatPr defaultColWidth="8.75390625" defaultRowHeight="12.75"/>
  <cols>
    <col min="1" max="1" width="7.00390625" style="0" customWidth="1"/>
    <col min="2" max="2" width="21.125" style="11" customWidth="1"/>
    <col min="3" max="3" width="26.25390625" style="11" bestFit="1" customWidth="1"/>
    <col min="4" max="4" width="10.125" style="11" bestFit="1" customWidth="1"/>
    <col min="5" max="5" width="8.25390625" style="11" bestFit="1" customWidth="1"/>
    <col min="6" max="6" width="15.00390625" style="11" customWidth="1"/>
    <col min="7" max="7" width="28.00390625" style="11" bestFit="1" customWidth="1"/>
    <col min="8" max="10" width="5.625" style="11" bestFit="1" customWidth="1"/>
    <col min="11" max="11" width="4.25390625" style="11" bestFit="1" customWidth="1"/>
    <col min="12" max="14" width="5.625" style="11" bestFit="1" customWidth="1"/>
    <col min="15" max="15" width="4.25390625" style="11" bestFit="1" customWidth="1"/>
    <col min="16" max="16" width="7.75390625" style="11" bestFit="1" customWidth="1"/>
    <col min="17" max="17" width="8.625" style="11" bestFit="1" customWidth="1"/>
    <col min="18" max="18" width="15.625" style="11" bestFit="1" customWidth="1"/>
  </cols>
  <sheetData>
    <row r="1" spans="2:18" s="1" customFormat="1" ht="15" customHeight="1">
      <c r="B1" s="150" t="s">
        <v>1433</v>
      </c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2"/>
    </row>
    <row r="2" spans="2:18" s="1" customFormat="1" ht="88.5" customHeight="1" thickBot="1">
      <c r="B2" s="153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5"/>
    </row>
    <row r="3" spans="1:18" s="2" customFormat="1" ht="12.75" customHeight="1">
      <c r="A3" s="148" t="s">
        <v>671</v>
      </c>
      <c r="B3" s="156" t="s">
        <v>0</v>
      </c>
      <c r="C3" s="158" t="s">
        <v>672</v>
      </c>
      <c r="D3" s="159" t="s">
        <v>673</v>
      </c>
      <c r="E3" s="146" t="s">
        <v>6</v>
      </c>
      <c r="F3" s="146" t="s">
        <v>4</v>
      </c>
      <c r="G3" s="164" t="s">
        <v>674</v>
      </c>
      <c r="H3" s="146" t="s">
        <v>709</v>
      </c>
      <c r="I3" s="146"/>
      <c r="J3" s="146"/>
      <c r="K3" s="146"/>
      <c r="L3" s="146" t="s">
        <v>710</v>
      </c>
      <c r="M3" s="146"/>
      <c r="N3" s="146"/>
      <c r="O3" s="146"/>
      <c r="P3" s="146" t="s">
        <v>1</v>
      </c>
      <c r="Q3" s="146" t="s">
        <v>3</v>
      </c>
      <c r="R3" s="161" t="s">
        <v>2</v>
      </c>
    </row>
    <row r="4" spans="1:18" s="2" customFormat="1" ht="21" customHeight="1" thickBot="1">
      <c r="A4" s="149"/>
      <c r="B4" s="157"/>
      <c r="C4" s="147"/>
      <c r="D4" s="160"/>
      <c r="E4" s="147"/>
      <c r="F4" s="147"/>
      <c r="G4" s="165"/>
      <c r="H4" s="3">
        <v>1</v>
      </c>
      <c r="I4" s="3">
        <v>2</v>
      </c>
      <c r="J4" s="3">
        <v>3</v>
      </c>
      <c r="K4" s="3" t="s">
        <v>5</v>
      </c>
      <c r="L4" s="3">
        <v>1</v>
      </c>
      <c r="M4" s="3">
        <v>2</v>
      </c>
      <c r="N4" s="3">
        <v>3</v>
      </c>
      <c r="O4" s="3" t="s">
        <v>5</v>
      </c>
      <c r="P4" s="147"/>
      <c r="Q4" s="147"/>
      <c r="R4" s="162"/>
    </row>
    <row r="5" spans="2:17" ht="15">
      <c r="B5" s="163" t="s">
        <v>156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</row>
    <row r="6" spans="1:18" ht="12.75">
      <c r="A6" s="25">
        <v>1</v>
      </c>
      <c r="B6" s="15" t="s">
        <v>663</v>
      </c>
      <c r="C6" s="15" t="s">
        <v>664</v>
      </c>
      <c r="D6" s="15" t="s">
        <v>711</v>
      </c>
      <c r="E6" s="15" t="str">
        <f>"1,2522"</f>
        <v>1,2522</v>
      </c>
      <c r="F6" s="15" t="s">
        <v>10</v>
      </c>
      <c r="G6" s="15" t="s">
        <v>627</v>
      </c>
      <c r="H6" s="36" t="s">
        <v>438</v>
      </c>
      <c r="I6" s="36" t="s">
        <v>326</v>
      </c>
      <c r="J6" s="36" t="s">
        <v>441</v>
      </c>
      <c r="K6" s="26"/>
      <c r="L6" s="39" t="s">
        <v>213</v>
      </c>
      <c r="M6" s="36" t="s">
        <v>41</v>
      </c>
      <c r="N6" s="36" t="s">
        <v>210</v>
      </c>
      <c r="O6" s="26"/>
      <c r="P6" s="27">
        <v>217.5</v>
      </c>
      <c r="Q6" s="27" t="str">
        <f>"272,3535"</f>
        <v>272,3535</v>
      </c>
      <c r="R6" s="15" t="s">
        <v>714</v>
      </c>
    </row>
  </sheetData>
  <sheetProtection/>
  <mergeCells count="14">
    <mergeCell ref="F3:F4"/>
    <mergeCell ref="G3:G4"/>
    <mergeCell ref="H3:K3"/>
    <mergeCell ref="L3:O3"/>
    <mergeCell ref="A3:A4"/>
    <mergeCell ref="P3:P4"/>
    <mergeCell ref="Q3:Q4"/>
    <mergeCell ref="R3:R4"/>
    <mergeCell ref="B5:Q5"/>
    <mergeCell ref="B1:R2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user</cp:lastModifiedBy>
  <cp:lastPrinted>2015-07-16T19:10:53Z</cp:lastPrinted>
  <dcterms:created xsi:type="dcterms:W3CDTF">2002-06-16T13:36:44Z</dcterms:created>
  <dcterms:modified xsi:type="dcterms:W3CDTF">2016-07-08T13:24:49Z</dcterms:modified>
  <cp:category/>
  <cp:version/>
  <cp:contentType/>
  <cp:contentStatus/>
</cp:coreProperties>
</file>