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00" yWindow="0" windowWidth="11340" windowHeight="9700" firstSheet="7" activeTab="7"/>
  </bookViews>
  <sheets>
    <sheet name="Армлифтинг" sheetId="1" r:id="rId1"/>
    <sheet name="Пауэрспорт ДК" sheetId="2" r:id="rId2"/>
    <sheet name="Пауэрспорт" sheetId="3" r:id="rId3"/>
    <sheet name="Становая тяга в экипировке" sheetId="4" r:id="rId4"/>
    <sheet name="Становая тяга без экипировки ДК" sheetId="5" r:id="rId5"/>
    <sheet name="Становая тяга без экипировки" sheetId="6" r:id="rId6"/>
    <sheet name="Народный жим 1_2 веса" sheetId="7" r:id="rId7"/>
    <sheet name="Народный жим 1 вес ДК" sheetId="8" r:id="rId8"/>
    <sheet name="Народный жим 1 вес" sheetId="9" r:id="rId9"/>
    <sheet name="Жим лежа в 1-ой экипировке ДК" sheetId="10" r:id="rId10"/>
    <sheet name="Жим лежа в 1-ой экипировке" sheetId="11" r:id="rId11"/>
    <sheet name="Жим лежа SOFT экипировка" sheetId="12" r:id="rId12"/>
    <sheet name="Жим лежа без экипировки ДК" sheetId="13" r:id="rId13"/>
    <sheet name="Жим лежа без экипировки" sheetId="14" r:id="rId14"/>
    <sheet name="Жимовое двоеборье ДК" sheetId="15" r:id="rId15"/>
    <sheet name="Присед в бинтах" sheetId="16" r:id="rId16"/>
    <sheet name="Присед без экипировки ДК" sheetId="17" r:id="rId17"/>
    <sheet name="Присед без экипировки" sheetId="18" r:id="rId18"/>
    <sheet name="Силовое двоеборье без экипы ДК" sheetId="19" r:id="rId19"/>
    <sheet name="Пауэрлифтинг в 1-ой экипировке" sheetId="20" r:id="rId20"/>
    <sheet name="Пауэрлифтинг в бинтах ДК" sheetId="21" r:id="rId21"/>
    <sheet name="Пауэрлифтинг в бинтах" sheetId="22" r:id="rId22"/>
    <sheet name="Пауэрлифтинг без экипировки ДК" sheetId="23" r:id="rId23"/>
    <sheet name="Пауэрлифтинг без экипировки" sheetId="24" r:id="rId24"/>
    <sheet name="Командный зачет" sheetId="25" r:id="rId25"/>
  </sheets>
  <definedNames/>
  <calcPr fullCalcOnLoad="1"/>
</workbook>
</file>

<file path=xl/sharedStrings.xml><?xml version="1.0" encoding="utf-8"?>
<sst xmlns="http://schemas.openxmlformats.org/spreadsheetml/2006/main" count="2761" uniqueCount="838">
  <si>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</si>
  <si>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</si>
  <si>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</si>
  <si>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</si>
  <si>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</si>
  <si>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</si>
  <si>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</si>
  <si>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</si>
  <si>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</si>
  <si>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</si>
  <si>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67.5</t>
  </si>
  <si>
    <t>Галич Инна</t>
  </si>
  <si>
    <t>Masters 45-49 (18.01.1970)/46</t>
  </si>
  <si>
    <t xml:space="preserve">РООСФиС </t>
  </si>
  <si>
    <t>80,0</t>
  </si>
  <si>
    <t>87,5</t>
  </si>
  <si>
    <t>ВЕСОВАЯ КАТЕГОРИЯ   90</t>
  </si>
  <si>
    <t>Кныш Виктория</t>
  </si>
  <si>
    <t>Open (21.03.1983)/32</t>
  </si>
  <si>
    <t xml:space="preserve">Лично </t>
  </si>
  <si>
    <t>150,0</t>
  </si>
  <si>
    <t>160,0</t>
  </si>
  <si>
    <t>162,5</t>
  </si>
  <si>
    <t xml:space="preserve">Лесуков </t>
  </si>
  <si>
    <t>Желудко Виктор</t>
  </si>
  <si>
    <t>Open (08.05.1990)/25</t>
  </si>
  <si>
    <t>110,0</t>
  </si>
  <si>
    <t>115,0</t>
  </si>
  <si>
    <t>122,5</t>
  </si>
  <si>
    <t xml:space="preserve">Новицкий Д. </t>
  </si>
  <si>
    <t>ВЕСОВАЯ КАТЕГОРИЯ   75</t>
  </si>
  <si>
    <t>Делеган Юрий</t>
  </si>
  <si>
    <t>Juniors 20-23 (23.09.1994)/21</t>
  </si>
  <si>
    <t>100,0</t>
  </si>
  <si>
    <t>105,0</t>
  </si>
  <si>
    <t>ВЕСОВАЯ КАТЕГОРИЯ   82.5</t>
  </si>
  <si>
    <t>Тихоновский Олег</t>
  </si>
  <si>
    <t>Open (04.08.1978)/37</t>
  </si>
  <si>
    <t>155,0</t>
  </si>
  <si>
    <t>Изотов Василий</t>
  </si>
  <si>
    <t>Open (25.05.1987)/28</t>
  </si>
  <si>
    <t>142,5</t>
  </si>
  <si>
    <t>147,5</t>
  </si>
  <si>
    <t>152,5</t>
  </si>
  <si>
    <t>Агафонов Илья</t>
  </si>
  <si>
    <t>Open (12.03.1988)/27</t>
  </si>
  <si>
    <t>137,5</t>
  </si>
  <si>
    <t>Белоусов Евгений</t>
  </si>
  <si>
    <t>Juniors 20-23 (02.09.1996)/19</t>
  </si>
  <si>
    <t xml:space="preserve">Салават/Башкортостан </t>
  </si>
  <si>
    <t>165,0</t>
  </si>
  <si>
    <t>175,0</t>
  </si>
  <si>
    <t>Ефимчук Алексей</t>
  </si>
  <si>
    <t>Open (08.07.1991)/24</t>
  </si>
  <si>
    <t>170,0</t>
  </si>
  <si>
    <t>Open (02.09.1996)/19</t>
  </si>
  <si>
    <t>Ермолович Кирилл</t>
  </si>
  <si>
    <t>Open (28.01.1987)/29</t>
  </si>
  <si>
    <t>145,0</t>
  </si>
  <si>
    <t>Шипицын Сергей</t>
  </si>
  <si>
    <t>Masters 40-44 (05.05.1974)/41</t>
  </si>
  <si>
    <t>140,0</t>
  </si>
  <si>
    <t>Карандашев Владимир</t>
  </si>
  <si>
    <t>Masters 40-44 (12.03.1972)/43</t>
  </si>
  <si>
    <t xml:space="preserve">Самостоятельно </t>
  </si>
  <si>
    <t>ВЕСОВАЯ КАТЕГОРИЯ   100</t>
  </si>
  <si>
    <t>Миронов Сергей</t>
  </si>
  <si>
    <t>Juniors 20-23 (01.10.1994)/21</t>
  </si>
  <si>
    <t>Васильев Алексей</t>
  </si>
  <si>
    <t>Open (27.10.1979)/36</t>
  </si>
  <si>
    <t xml:space="preserve">Динамит </t>
  </si>
  <si>
    <t>185,0</t>
  </si>
  <si>
    <t>195,0</t>
  </si>
  <si>
    <t>200,0</t>
  </si>
  <si>
    <t>Солнцев Иван</t>
  </si>
  <si>
    <t>Open (25.03.1974)/41</t>
  </si>
  <si>
    <t xml:space="preserve">Выборг/Ленинградская область </t>
  </si>
  <si>
    <t>Сидько Михаил</t>
  </si>
  <si>
    <t>Open (29.08.1984)/31</t>
  </si>
  <si>
    <t xml:space="preserve">Вегетарианская сила </t>
  </si>
  <si>
    <t>177,5</t>
  </si>
  <si>
    <t>Талдыкин Никита</t>
  </si>
  <si>
    <t>Open (04.11.1989)/26</t>
  </si>
  <si>
    <t>Деханов Александр</t>
  </si>
  <si>
    <t>Open (08.10.1985)/30</t>
  </si>
  <si>
    <t>120,0</t>
  </si>
  <si>
    <t>127,5</t>
  </si>
  <si>
    <t>130,0</t>
  </si>
  <si>
    <t>Masters 40-44 (25.03.1974)/41</t>
  </si>
  <si>
    <t>ВЕСОВАЯ КАТЕГОРИЯ   110</t>
  </si>
  <si>
    <t>Павлов Алексей</t>
  </si>
  <si>
    <t>Open (11.03.1982)/33</t>
  </si>
  <si>
    <t xml:space="preserve">Сертолово/Ленинградская область </t>
  </si>
  <si>
    <t>190,0</t>
  </si>
  <si>
    <t>Остапенко Кирилл</t>
  </si>
  <si>
    <t>Open (19.10.1977)/38</t>
  </si>
  <si>
    <t>192,5</t>
  </si>
  <si>
    <t>Тимофеев Ян</t>
  </si>
  <si>
    <t>Open (14.02.1992)/24</t>
  </si>
  <si>
    <t>180,0</t>
  </si>
  <si>
    <t>Усков Николай</t>
  </si>
  <si>
    <t>Open (20.12.1979)/36</t>
  </si>
  <si>
    <t>Теркулов Заур</t>
  </si>
  <si>
    <t>Open (30.08.1981)/34</t>
  </si>
  <si>
    <t xml:space="preserve">Нальчик/Кабардино-Балкария </t>
  </si>
  <si>
    <t>167,5</t>
  </si>
  <si>
    <t>Василисков Игорь</t>
  </si>
  <si>
    <t>Open (18.06.1985)/30</t>
  </si>
  <si>
    <t>Шевнин Владимир</t>
  </si>
  <si>
    <t>Masters 60-64 (06.08.1953)/62</t>
  </si>
  <si>
    <t xml:space="preserve">Сборная Кронштадта </t>
  </si>
  <si>
    <t>125,0</t>
  </si>
  <si>
    <t>ВЕСОВАЯ КАТЕГОРИЯ   125</t>
  </si>
  <si>
    <t>Педченко Александр</t>
  </si>
  <si>
    <t>Juniors 20-23 (04.08.1992)/23</t>
  </si>
  <si>
    <t xml:space="preserve">РООСФиС, Top Gym </t>
  </si>
  <si>
    <t>215,0</t>
  </si>
  <si>
    <t>222,5</t>
  </si>
  <si>
    <t>Овсяников Антон</t>
  </si>
  <si>
    <t>Open (08.05.1991)/24</t>
  </si>
  <si>
    <t>182,5</t>
  </si>
  <si>
    <t>Пронин Иван</t>
  </si>
  <si>
    <t>Open (21.06.1985)/30</t>
  </si>
  <si>
    <t xml:space="preserve">Котлас/Архангельская область 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</si>
  <si>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</si>
  <si>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</si>
  <si>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</si>
  <si>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</si>
  <si>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</si>
  <si>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</si>
  <si>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</si>
  <si>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Мастера 45 - 49 </t>
  </si>
  <si>
    <t>121,8600</t>
  </si>
  <si>
    <t>119,1645</t>
  </si>
  <si>
    <t>111,9250</t>
  </si>
  <si>
    <t xml:space="preserve">Мастера 40 - 44 </t>
  </si>
  <si>
    <t>ВЕСОВАЯ КАТЕГОРИЯ   52</t>
  </si>
  <si>
    <t>Сизова Анастасия</t>
  </si>
  <si>
    <t>Juniors 20-23 (07.05.1994)/21</t>
  </si>
  <si>
    <t>40,0</t>
  </si>
  <si>
    <t>42,5</t>
  </si>
  <si>
    <t>45,0</t>
  </si>
  <si>
    <t>Райляну Диана</t>
  </si>
  <si>
    <t>Open (26.06.1989)/26</t>
  </si>
  <si>
    <t>52,5</t>
  </si>
  <si>
    <t>Картушина Маргарита</t>
  </si>
  <si>
    <t>Open (27.07.1990)/25</t>
  </si>
  <si>
    <t>50,0</t>
  </si>
  <si>
    <t>Татаренко Олеся</t>
  </si>
  <si>
    <t>Open (30.10.1984)/31</t>
  </si>
  <si>
    <t xml:space="preserve">Обнинск/Калужская область </t>
  </si>
  <si>
    <t>35,0</t>
  </si>
  <si>
    <t>37,5</t>
  </si>
  <si>
    <t>Субботина Елена</t>
  </si>
  <si>
    <t>Open (03.07.1984)/31</t>
  </si>
  <si>
    <t>32,5</t>
  </si>
  <si>
    <t>ВЕСОВАЯ КАТЕГОРИЯ   56</t>
  </si>
  <si>
    <t>Шаршукова Татьяна</t>
  </si>
  <si>
    <t>Open (21.05.1979)/36</t>
  </si>
  <si>
    <t>ВЕСОВАЯ КАТЕГОРИЯ   60</t>
  </si>
  <si>
    <t>Ослоповских Лидия</t>
  </si>
  <si>
    <t>Open (13.10.1987)/28</t>
  </si>
  <si>
    <t>65,0</t>
  </si>
  <si>
    <t>67,5</t>
  </si>
  <si>
    <t>Никитинский Иван</t>
  </si>
  <si>
    <t>Teenage 15-19 (07.07.2005)/10</t>
  </si>
  <si>
    <t xml:space="preserve">Тихвин/Ленинградская область </t>
  </si>
  <si>
    <t>20,0</t>
  </si>
  <si>
    <t>22,5</t>
  </si>
  <si>
    <t>25,0</t>
  </si>
  <si>
    <t>Open (07.07.2005)/10</t>
  </si>
  <si>
    <t>Рассказов Антон</t>
  </si>
  <si>
    <t>Juniors 20-23 (27.10.1993)/22</t>
  </si>
  <si>
    <t xml:space="preserve">Всеволожск/Ленинградская область </t>
  </si>
  <si>
    <t>Марков Сергей</t>
  </si>
  <si>
    <t>Teenage 15-19 (19.05.1997)/18</t>
  </si>
  <si>
    <t xml:space="preserve">Петрозаводск/Карелия </t>
  </si>
  <si>
    <t>112,5</t>
  </si>
  <si>
    <t>117,5</t>
  </si>
  <si>
    <t xml:space="preserve">Великий Устюг/Вологодская область </t>
  </si>
  <si>
    <t>Абраменко Никита</t>
  </si>
  <si>
    <t>Juniors 20-23 (24.03.1995)/20</t>
  </si>
  <si>
    <t>135,0</t>
  </si>
  <si>
    <t>Колесников Сергей</t>
  </si>
  <si>
    <t>Open (30.07.1984)/31</t>
  </si>
  <si>
    <t>Гринёв Роман</t>
  </si>
  <si>
    <t>Open (15.11.1984)/31</t>
  </si>
  <si>
    <t>Кочеров Игорь</t>
  </si>
  <si>
    <t>Open (25.08.1980)/35</t>
  </si>
  <si>
    <t>Гогунов Антон</t>
  </si>
  <si>
    <t>Open (03.01.1986)/30</t>
  </si>
  <si>
    <t>Сидерман Владлен</t>
  </si>
  <si>
    <t>Open (01.08.1990)/25</t>
  </si>
  <si>
    <t>Лазоренко Олег</t>
  </si>
  <si>
    <t>Open (21.08.1991)/24</t>
  </si>
  <si>
    <t>Open (26.10.1977)/38</t>
  </si>
  <si>
    <t>Open (05.10.1988)/27</t>
  </si>
  <si>
    <t>102,5</t>
  </si>
  <si>
    <t>107,5</t>
  </si>
  <si>
    <t>Герасимов Александр</t>
  </si>
  <si>
    <t>Teenage 15-19 (12.09.1996)/19</t>
  </si>
  <si>
    <t xml:space="preserve">Торжок/Тверская область </t>
  </si>
  <si>
    <t>Букалов Алексей</t>
  </si>
  <si>
    <t>Open (10.12.1976)/39</t>
  </si>
  <si>
    <t>Афанасьев Вячеслав</t>
  </si>
  <si>
    <t>Open (11.11.1978)/37</t>
  </si>
  <si>
    <t xml:space="preserve">Великие Луки/Псковская область </t>
  </si>
  <si>
    <t>132,5</t>
  </si>
  <si>
    <t>Петров Александр</t>
  </si>
  <si>
    <t>Open (03.03.1984)/32</t>
  </si>
  <si>
    <t>Данилов Евгений</t>
  </si>
  <si>
    <t>Open (26.12.1980)/35</t>
  </si>
  <si>
    <t>Сыропятов Александр</t>
  </si>
  <si>
    <t>Masters 40-44 (29.04.1973)/42</t>
  </si>
  <si>
    <t>Хапов Виктор</t>
  </si>
  <si>
    <t>Masters 45-49 (20.07.1966)/49</t>
  </si>
  <si>
    <t>Рыбаков Анатолий</t>
  </si>
  <si>
    <t>Teenage 15-19 (17.03.1996)/19</t>
  </si>
  <si>
    <t>Горностаев Александр</t>
  </si>
  <si>
    <t>Open (25.04.1980)/35</t>
  </si>
  <si>
    <t>157,5</t>
  </si>
  <si>
    <t>Лилимберг Виталий</t>
  </si>
  <si>
    <t>Open (04.03.1991)/25</t>
  </si>
  <si>
    <t>Борисенко Александр</t>
  </si>
  <si>
    <t>Open (20.01.1981)/35</t>
  </si>
  <si>
    <t>95,0</t>
  </si>
  <si>
    <t>Баленков Алексей</t>
  </si>
  <si>
    <t>Masters 40-44 (30.04.1974)/41</t>
  </si>
  <si>
    <t>Скворцов Михаил</t>
  </si>
  <si>
    <t>Masters 45-49 (19.04.1970)/45</t>
  </si>
  <si>
    <t>Смирнов Геннадий</t>
  </si>
  <si>
    <t>Masters 45-49 (06.02.1969)/47</t>
  </si>
  <si>
    <t>Петров Андрей</t>
  </si>
  <si>
    <t>Open (29.01.1983)/33</t>
  </si>
  <si>
    <t>Саитов Алексей</t>
  </si>
  <si>
    <t>Open (05.09.1973)/42</t>
  </si>
  <si>
    <t>Лысенко Дмитрий</t>
  </si>
  <si>
    <t>Open (07.04.1986)/29</t>
  </si>
  <si>
    <t>Masters 40-44 (05.09.1973)/42</t>
  </si>
  <si>
    <t>Фёдоров Андрей</t>
  </si>
  <si>
    <t>Masters 50-54 (16.10.1965)/50</t>
  </si>
  <si>
    <t>Золотов Анатолий</t>
  </si>
  <si>
    <t>Open (13.04.1972)/43</t>
  </si>
  <si>
    <t>202,5</t>
  </si>
  <si>
    <t>207,5</t>
  </si>
  <si>
    <t>Masters 40-44 (13.04.1972)/43</t>
  </si>
  <si>
    <t>116,1337</t>
  </si>
  <si>
    <t>108,9280</t>
  </si>
  <si>
    <t>107,9670</t>
  </si>
  <si>
    <t>109,4785</t>
  </si>
  <si>
    <t xml:space="preserve">Мастера 50 - 54 </t>
  </si>
  <si>
    <t>104,5350</t>
  </si>
  <si>
    <t>93,5691</t>
  </si>
  <si>
    <t>Петров Всеволод</t>
  </si>
  <si>
    <t>Open (04.08.1979)/36</t>
  </si>
  <si>
    <t>230,0</t>
  </si>
  <si>
    <t>235,0</t>
  </si>
  <si>
    <t>237,5</t>
  </si>
  <si>
    <t xml:space="preserve">Морозов Ф. </t>
  </si>
  <si>
    <t>240,0</t>
  </si>
  <si>
    <t>Минибаев Руслан</t>
  </si>
  <si>
    <t>Open (21.02.1985)/31</t>
  </si>
  <si>
    <t>315,0</t>
  </si>
  <si>
    <t>325,0</t>
  </si>
  <si>
    <t>330,0</t>
  </si>
  <si>
    <t>225,0</t>
  </si>
  <si>
    <t>900,0</t>
  </si>
  <si>
    <t>Шишленин Александр</t>
  </si>
  <si>
    <t>Open (12.03.1977)/38</t>
  </si>
  <si>
    <t xml:space="preserve">Таурус </t>
  </si>
  <si>
    <t>Дельцов Александр</t>
  </si>
  <si>
    <t>Open (13.09.1958)/57</t>
  </si>
  <si>
    <t>Голубев Петр</t>
  </si>
  <si>
    <t>Open (03.07.1990)/25</t>
  </si>
  <si>
    <t>Строганов Сергей</t>
  </si>
  <si>
    <t>Open (26.12.1977)/38</t>
  </si>
  <si>
    <t>Masters 55-59 (13.09.1958)/57</t>
  </si>
  <si>
    <t>Штивельберг Андрей</t>
  </si>
  <si>
    <t>Open (06.12.1984)/31</t>
  </si>
  <si>
    <t>Козлов Максим</t>
  </si>
  <si>
    <t>Open (19.05.1980)/35</t>
  </si>
  <si>
    <t>Кобелев Павел</t>
  </si>
  <si>
    <t>Open (04.08.1989)/26</t>
  </si>
  <si>
    <t xml:space="preserve">Арена </t>
  </si>
  <si>
    <t>210,0</t>
  </si>
  <si>
    <t>220,0</t>
  </si>
  <si>
    <t>187,5</t>
  </si>
  <si>
    <t>270,0</t>
  </si>
  <si>
    <t>300,0</t>
  </si>
  <si>
    <t>Крылов Алексей</t>
  </si>
  <si>
    <t>Open (21.02.1988)/28</t>
  </si>
  <si>
    <t>245,0</t>
  </si>
  <si>
    <t>260,0</t>
  </si>
  <si>
    <t>272,5</t>
  </si>
  <si>
    <t>Холяпин Сергей</t>
  </si>
  <si>
    <t>Masters 40-44 (14.02.1975)/41</t>
  </si>
  <si>
    <t>ВЕСОВАЯ КАТЕГОРИЯ   140+</t>
  </si>
  <si>
    <t>Николаев Илья</t>
  </si>
  <si>
    <t>Masters 40-44 (24.07.1975)/40</t>
  </si>
  <si>
    <t>227,5</t>
  </si>
  <si>
    <t>690,0</t>
  </si>
  <si>
    <t>440,0</t>
  </si>
  <si>
    <t>585,0</t>
  </si>
  <si>
    <t>Наталия Оскерко</t>
  </si>
  <si>
    <t>Open (11.05.1990)/25</t>
  </si>
  <si>
    <t>75,0</t>
  </si>
  <si>
    <t>85,0</t>
  </si>
  <si>
    <t>Яшина Ксения</t>
  </si>
  <si>
    <t>Open (20.10.1988)/27</t>
  </si>
  <si>
    <t>82,5</t>
  </si>
  <si>
    <t>Руслякова Лидия</t>
  </si>
  <si>
    <t>Open (18.05.1991)/24</t>
  </si>
  <si>
    <t>55,0</t>
  </si>
  <si>
    <t>57,5</t>
  </si>
  <si>
    <t>Лутченко Екатерина</t>
  </si>
  <si>
    <t>Open (02.04.1984)/31</t>
  </si>
  <si>
    <t>90,0</t>
  </si>
  <si>
    <t>47,5</t>
  </si>
  <si>
    <t xml:space="preserve">Смирнов О.А. </t>
  </si>
  <si>
    <t>Ким Наталья</t>
  </si>
  <si>
    <t>Open (22.07.1991)/24</t>
  </si>
  <si>
    <t>Карлин Кирилл</t>
  </si>
  <si>
    <t>Teenage 15-19 (12.12.2001)/14</t>
  </si>
  <si>
    <t xml:space="preserve">VP power team </t>
  </si>
  <si>
    <t>60,0</t>
  </si>
  <si>
    <t>70,0</t>
  </si>
  <si>
    <t>77,5</t>
  </si>
  <si>
    <t>Хованов Иван</t>
  </si>
  <si>
    <t>Teenage 15-19 (25.04.2000)/15</t>
  </si>
  <si>
    <t>Ершов Олег</t>
  </si>
  <si>
    <t>Open (09.04.1991)/24</t>
  </si>
  <si>
    <t>197,5</t>
  </si>
  <si>
    <t>212,5</t>
  </si>
  <si>
    <t>Новиков Максим</t>
  </si>
  <si>
    <t>Teenage 15-19 (20.12.1998)/17</t>
  </si>
  <si>
    <t xml:space="preserve">Пикалёво </t>
  </si>
  <si>
    <t xml:space="preserve">Пикалёво/Ленинградская область </t>
  </si>
  <si>
    <t>205,0</t>
  </si>
  <si>
    <t xml:space="preserve">Новиков Ю. </t>
  </si>
  <si>
    <t>Арбузов Алексей</t>
  </si>
  <si>
    <t>Open (12.06.1989)/26</t>
  </si>
  <si>
    <t xml:space="preserve">Отрадное/Ленинградская область </t>
  </si>
  <si>
    <t xml:space="preserve">Симмонс Л. </t>
  </si>
  <si>
    <t>Грязев Антон</t>
  </si>
  <si>
    <t>Open (05.06.1987)/28</t>
  </si>
  <si>
    <t xml:space="preserve">Астахов Д.А. </t>
  </si>
  <si>
    <t>Сафин Алексей</t>
  </si>
  <si>
    <t>Open (19.03.1991)/24</t>
  </si>
  <si>
    <t>Белугин Иван</t>
  </si>
  <si>
    <t>Open (25.04.1988)/27</t>
  </si>
  <si>
    <t>Teenage 15-19 (01.04.2000)/15</t>
  </si>
  <si>
    <t>Медведев Сергей</t>
  </si>
  <si>
    <t>Open (08.06.1983)/32</t>
  </si>
  <si>
    <t>Анчуков Михаил</t>
  </si>
  <si>
    <t>Open (11.03.1987)/28</t>
  </si>
  <si>
    <t>Бухман Антон</t>
  </si>
  <si>
    <t>Open (22.08.1988)/27</t>
  </si>
  <si>
    <t>250,0</t>
  </si>
  <si>
    <t>255,0</t>
  </si>
  <si>
    <t>Калинин Максим</t>
  </si>
  <si>
    <t>Open (29.03.1987)/28</t>
  </si>
  <si>
    <t>Климач Игорь</t>
  </si>
  <si>
    <t>Teenage 15-19 (16.01.1998)/18</t>
  </si>
  <si>
    <t>Васильев Виктор</t>
  </si>
  <si>
    <t>Open (18.02.1989)/27</t>
  </si>
  <si>
    <t>Подволокин Алексей</t>
  </si>
  <si>
    <t>Open (26.12.1991)/24</t>
  </si>
  <si>
    <t>280,0</t>
  </si>
  <si>
    <t>Зиновский Роман</t>
  </si>
  <si>
    <t>Open (08.03.1984)/31</t>
  </si>
  <si>
    <t>320,0</t>
  </si>
  <si>
    <t>Павлюченко Андрей</t>
  </si>
  <si>
    <t>Open (20.04.1990)/25</t>
  </si>
  <si>
    <t xml:space="preserve">Team Bregan </t>
  </si>
  <si>
    <t>Лаптев Олег</t>
  </si>
  <si>
    <t>Open (23.01.1980)/36</t>
  </si>
  <si>
    <t>Михайлов Александр</t>
  </si>
  <si>
    <t>Masters 55-59 (11.02.1959)/57</t>
  </si>
  <si>
    <t>Чащин Александр</t>
  </si>
  <si>
    <t>Open (15.06.1987)/28</t>
  </si>
  <si>
    <t xml:space="preserve">Фитнес Хаус </t>
  </si>
  <si>
    <t>265,0</t>
  </si>
  <si>
    <t>Беляев Владимир</t>
  </si>
  <si>
    <t>Open (31.10.1981)/34</t>
  </si>
  <si>
    <t xml:space="preserve">Феррум фитнес </t>
  </si>
  <si>
    <t>Ковалев Анатолий</t>
  </si>
  <si>
    <t>Open (01.08.1991)/24</t>
  </si>
  <si>
    <t>247,5</t>
  </si>
  <si>
    <t>262,5</t>
  </si>
  <si>
    <t>Моисеев Сергей</t>
  </si>
  <si>
    <t>Open (24.08.1977)/38</t>
  </si>
  <si>
    <t>Гнатко ВИталий</t>
  </si>
  <si>
    <t>Masters 50-54 (30.07.1961)/54</t>
  </si>
  <si>
    <t>Ахметов Ренад</t>
  </si>
  <si>
    <t>Open (20.05.1961)/54</t>
  </si>
  <si>
    <t xml:space="preserve">Астрахань/Астраханская область </t>
  </si>
  <si>
    <t>Баруздин Максим</t>
  </si>
  <si>
    <t>Open (20.05.1982)/33</t>
  </si>
  <si>
    <t>350,0</t>
  </si>
  <si>
    <t>365,0</t>
  </si>
  <si>
    <t>199,4300</t>
  </si>
  <si>
    <t>177,6900</t>
  </si>
  <si>
    <t>161,6750</t>
  </si>
  <si>
    <t>ВЕСОВАЯ КАТЕГОРИЯ   48</t>
  </si>
  <si>
    <t>Угрюмова Мария</t>
  </si>
  <si>
    <t>Open (14.01.1988)/28</t>
  </si>
  <si>
    <t xml:space="preserve">Команда А </t>
  </si>
  <si>
    <t>97,5</t>
  </si>
  <si>
    <t>Суслопарова Светлана</t>
  </si>
  <si>
    <t>Open (07.12.1990)/25</t>
  </si>
  <si>
    <t>72,5</t>
  </si>
  <si>
    <t xml:space="preserve">Ермолаева Д. </t>
  </si>
  <si>
    <t>Исакова Ксения</t>
  </si>
  <si>
    <t>Juniors 20-23 (16.04.1993)/22</t>
  </si>
  <si>
    <t xml:space="preserve">Беляев В </t>
  </si>
  <si>
    <t>Пилипюк Наталья</t>
  </si>
  <si>
    <t>Open (21.12.1983)/32</t>
  </si>
  <si>
    <t>Михалевская Татьяна</t>
  </si>
  <si>
    <t>Open (05.08.1989)/26</t>
  </si>
  <si>
    <t>Сафронова Дарья</t>
  </si>
  <si>
    <t>Juniors 20-23 (13.08.1992)/23</t>
  </si>
  <si>
    <t>Степанова Анна</t>
  </si>
  <si>
    <t>Masters 55-59 (15.02.1957)/59</t>
  </si>
  <si>
    <t>Веселов Павел</t>
  </si>
  <si>
    <t>Open (13.09.1987)/28</t>
  </si>
  <si>
    <t>Леванов Михаил</t>
  </si>
  <si>
    <t>Open (08.12.1989)/26</t>
  </si>
  <si>
    <t>Мамедяров Артур</t>
  </si>
  <si>
    <t>Open (20.08.1991)/24</t>
  </si>
  <si>
    <t>290,0</t>
  </si>
  <si>
    <t>312,5</t>
  </si>
  <si>
    <t>335,0</t>
  </si>
  <si>
    <t>Шипилов Евгений</t>
  </si>
  <si>
    <t>Open (22.10.1991)/24</t>
  </si>
  <si>
    <t>Еремеев Сергей</t>
  </si>
  <si>
    <t>Open (30.03.1987)/28</t>
  </si>
  <si>
    <t>Белов Станислав</t>
  </si>
  <si>
    <t>Open (11.11.1990)/25</t>
  </si>
  <si>
    <t>Ройгас Александр</t>
  </si>
  <si>
    <t>Open (14.01.1986)/30</t>
  </si>
  <si>
    <t>Шмарыкин Алексей</t>
  </si>
  <si>
    <t>Open (14.06.1979)/36</t>
  </si>
  <si>
    <t>214,9695</t>
  </si>
  <si>
    <t>154,3800</t>
  </si>
  <si>
    <t>145,8660</t>
  </si>
  <si>
    <t>295,0</t>
  </si>
  <si>
    <t>Место</t>
  </si>
  <si>
    <t>Весовая категория               Дата рождения/возраст</t>
  </si>
  <si>
    <t>Собств. вес</t>
  </si>
  <si>
    <t>Город/ область</t>
  </si>
  <si>
    <t>Санкт-Петербург/Ленинградская область</t>
  </si>
  <si>
    <t>81,3</t>
  </si>
  <si>
    <t>Кузнецов А.</t>
  </si>
  <si>
    <t>Результат</t>
  </si>
  <si>
    <t>87,6</t>
  </si>
  <si>
    <t>93,2</t>
  </si>
  <si>
    <t>158,2</t>
  </si>
  <si>
    <t>67,4</t>
  </si>
  <si>
    <t>Курнашов К.</t>
  </si>
  <si>
    <t>Кронштадт/Ленинградская область</t>
  </si>
  <si>
    <t>105,9</t>
  </si>
  <si>
    <t>88,8</t>
  </si>
  <si>
    <t>92,4</t>
  </si>
  <si>
    <t>47,8</t>
  </si>
  <si>
    <t>48,0</t>
  </si>
  <si>
    <t>51,8</t>
  </si>
  <si>
    <t>53,2</t>
  </si>
  <si>
    <t>55,2</t>
  </si>
  <si>
    <t>64,3</t>
  </si>
  <si>
    <t>63,9</t>
  </si>
  <si>
    <t>74,0</t>
  </si>
  <si>
    <t>81,8</t>
  </si>
  <si>
    <t>79,2</t>
  </si>
  <si>
    <t>89,1</t>
  </si>
  <si>
    <t>87,0</t>
  </si>
  <si>
    <t>89,7</t>
  </si>
  <si>
    <t>91,2</t>
  </si>
  <si>
    <t>98,2</t>
  </si>
  <si>
    <t>99,0</t>
  </si>
  <si>
    <t>Волков А.</t>
  </si>
  <si>
    <t>Ермолаева Д.</t>
  </si>
  <si>
    <t>Чащин А.</t>
  </si>
  <si>
    <t>Смирнов О.</t>
  </si>
  <si>
    <t>Карандашев В.</t>
  </si>
  <si>
    <t>Стеценко Д.</t>
  </si>
  <si>
    <t>Никитинский А.</t>
  </si>
  <si>
    <t>Немнонов С.</t>
  </si>
  <si>
    <t xml:space="preserve">Санкт-Петербург/Ленинградская область </t>
  </si>
  <si>
    <t xml:space="preserve">67,5 </t>
  </si>
  <si>
    <t xml:space="preserve">125,0 </t>
  </si>
  <si>
    <t>Таранухин Г.</t>
  </si>
  <si>
    <t>Михайлова О.</t>
  </si>
  <si>
    <t>Рассохин А.</t>
  </si>
  <si>
    <t>Грахов Ю.</t>
  </si>
  <si>
    <t>81,0</t>
  </si>
  <si>
    <t>87,8</t>
  </si>
  <si>
    <t>89,6</t>
  </si>
  <si>
    <t>89,0</t>
  </si>
  <si>
    <t>99,7</t>
  </si>
  <si>
    <t>97,9</t>
  </si>
  <si>
    <t>107,8</t>
  </si>
  <si>
    <t>Мамедяров А.</t>
  </si>
  <si>
    <t>88,0</t>
  </si>
  <si>
    <t>83,6</t>
  </si>
  <si>
    <t>97,7</t>
  </si>
  <si>
    <t>123,2</t>
  </si>
  <si>
    <t>пос. Агалатово/Ленинградская область</t>
  </si>
  <si>
    <t xml:space="preserve">Кузнецов А. </t>
  </si>
  <si>
    <t>Петров В.</t>
  </si>
  <si>
    <t>55,3</t>
  </si>
  <si>
    <t>58,1</t>
  </si>
  <si>
    <t>74,1</t>
  </si>
  <si>
    <t>46,6</t>
  </si>
  <si>
    <t>68,3</t>
  </si>
  <si>
    <t>73,8</t>
  </si>
  <si>
    <t>79,8</t>
  </si>
  <si>
    <t>79,3</t>
  </si>
  <si>
    <t>121,8</t>
  </si>
  <si>
    <t>Щеглово/Ленинградская область</t>
  </si>
  <si>
    <t>Уваров Д.</t>
  </si>
  <si>
    <t>Веселов П.</t>
  </si>
  <si>
    <t>Рыбаков Д.</t>
  </si>
  <si>
    <t xml:space="preserve">Немнонов С. </t>
  </si>
  <si>
    <t>90,9</t>
  </si>
  <si>
    <t>97,2</t>
  </si>
  <si>
    <t>0</t>
  </si>
  <si>
    <t>87,4</t>
  </si>
  <si>
    <t>89,2</t>
  </si>
  <si>
    <t>89,3</t>
  </si>
  <si>
    <t>105,3</t>
  </si>
  <si>
    <t>Колбов А.</t>
  </si>
  <si>
    <t>Коблов А.</t>
  </si>
  <si>
    <t>99,1</t>
  </si>
  <si>
    <t xml:space="preserve">110,0 </t>
  </si>
  <si>
    <t xml:space="preserve">90,0 </t>
  </si>
  <si>
    <t>Сидерман В.</t>
  </si>
  <si>
    <t>Заломаев С.</t>
  </si>
  <si>
    <t>Живодеров А.</t>
  </si>
  <si>
    <t xml:space="preserve">Скворцов М. </t>
  </si>
  <si>
    <t>Букалов А.</t>
  </si>
  <si>
    <t>Минибаев Р.</t>
  </si>
  <si>
    <t>Саитов А.</t>
  </si>
  <si>
    <t>Скворцов М.</t>
  </si>
  <si>
    <t>Мичка И.</t>
  </si>
  <si>
    <t>Бородий В.</t>
  </si>
  <si>
    <t>пос.им.Морозова/Ленинградская область</t>
  </si>
  <si>
    <t>Псков/Псковская область</t>
  </si>
  <si>
    <t>50,5</t>
  </si>
  <si>
    <t>51,2</t>
  </si>
  <si>
    <t>50,6</t>
  </si>
  <si>
    <t>50,9</t>
  </si>
  <si>
    <t>54,5</t>
  </si>
  <si>
    <t>59,9</t>
  </si>
  <si>
    <t>37,9</t>
  </si>
  <si>
    <t>66,2</t>
  </si>
  <si>
    <t>72,4</t>
  </si>
  <si>
    <t>74,8</t>
  </si>
  <si>
    <t>71,2</t>
  </si>
  <si>
    <t>74,6</t>
  </si>
  <si>
    <t>76,7</t>
  </si>
  <si>
    <t>81,4</t>
  </si>
  <si>
    <t>80,6</t>
  </si>
  <si>
    <t>88,6</t>
  </si>
  <si>
    <t>84,7</t>
  </si>
  <si>
    <t>85,5</t>
  </si>
  <si>
    <t>87,3</t>
  </si>
  <si>
    <t>96,2</t>
  </si>
  <si>
    <t>95,4</t>
  </si>
  <si>
    <t>95,9</t>
  </si>
  <si>
    <t>93,6</t>
  </si>
  <si>
    <t>96,8</t>
  </si>
  <si>
    <t>109,8</t>
  </si>
  <si>
    <t>108,2</t>
  </si>
  <si>
    <t>107,9</t>
  </si>
  <si>
    <t>101,1</t>
  </si>
  <si>
    <t>121,3</t>
  </si>
  <si>
    <t>1</t>
  </si>
  <si>
    <t>2</t>
  </si>
  <si>
    <t>3</t>
  </si>
  <si>
    <t>4</t>
  </si>
  <si>
    <t>5</t>
  </si>
  <si>
    <t>6</t>
  </si>
  <si>
    <t xml:space="preserve">100,0 </t>
  </si>
  <si>
    <t>66,3</t>
  </si>
  <si>
    <t>86,3</t>
  </si>
  <si>
    <t>65,5</t>
  </si>
  <si>
    <t>81,6</t>
  </si>
  <si>
    <t>80,5</t>
  </si>
  <si>
    <t>82,3</t>
  </si>
  <si>
    <t>89,9</t>
  </si>
  <si>
    <t>87,1</t>
  </si>
  <si>
    <t>86,6</t>
  </si>
  <si>
    <t>87,9</t>
  </si>
  <si>
    <t>96,1</t>
  </si>
  <si>
    <t>98,4</t>
  </si>
  <si>
    <t>95,2</t>
  </si>
  <si>
    <t>101,5</t>
  </si>
  <si>
    <t>109,6</t>
  </si>
  <si>
    <t>109,2</t>
  </si>
  <si>
    <t>103,7</t>
  </si>
  <si>
    <t>108,1</t>
  </si>
  <si>
    <t>102,9</t>
  </si>
  <si>
    <t>112,0</t>
  </si>
  <si>
    <t>119,8</t>
  </si>
  <si>
    <t>110,8</t>
  </si>
  <si>
    <t>Санкт Петербург/Ленинградская область</t>
  </si>
  <si>
    <t>Петергоф/Ленинградская область</t>
  </si>
  <si>
    <t>Дер. Кудрово/Ленинградская область</t>
  </si>
  <si>
    <t>Витебск/Белоруссия</t>
  </si>
  <si>
    <t>Острогожск/Воронежская область</t>
  </si>
  <si>
    <t>Остапенко К.</t>
  </si>
  <si>
    <t>Варава И.</t>
  </si>
  <si>
    <t>Талдыкин Н.</t>
  </si>
  <si>
    <t xml:space="preserve">Талдыкин Н. </t>
  </si>
  <si>
    <t>Артюх В.</t>
  </si>
  <si>
    <t>Руммо К.</t>
  </si>
  <si>
    <t>Тимофеев О.</t>
  </si>
  <si>
    <t>Gloss</t>
  </si>
  <si>
    <t>Вес</t>
  </si>
  <si>
    <t>Повторы</t>
  </si>
  <si>
    <t>Ешчанов Алижан</t>
  </si>
  <si>
    <t>Masters 40-49 (25.08.1974)/41</t>
  </si>
  <si>
    <t xml:space="preserve">Выборг </t>
  </si>
  <si>
    <t>Алимов Михаил</t>
  </si>
  <si>
    <t>Open (05.03.1987)/29</t>
  </si>
  <si>
    <t>Кулик Никита</t>
  </si>
  <si>
    <t>Open (17.04.1986)/29</t>
  </si>
  <si>
    <t>Курсов Александр</t>
  </si>
  <si>
    <t>Juniors 20-23 (16.07.1993)/22</t>
  </si>
  <si>
    <t>Стариков Алексей</t>
  </si>
  <si>
    <t>Open (09.03.1988)/27</t>
  </si>
  <si>
    <t>Masters 40-49 (12.03.1972)/43</t>
  </si>
  <si>
    <t>Ловчиков Алексей</t>
  </si>
  <si>
    <t>Masters 40-49 (25.02.1972)/44</t>
  </si>
  <si>
    <t>Кушин Игорь</t>
  </si>
  <si>
    <t>Open (30.01.1966)/50</t>
  </si>
  <si>
    <t>Уханов Константин</t>
  </si>
  <si>
    <t>Open (04.02.1992)/24</t>
  </si>
  <si>
    <t>Masters 50-59 (30.01.1966)/50</t>
  </si>
  <si>
    <t xml:space="preserve">Gloss </t>
  </si>
  <si>
    <t>1785,0</t>
  </si>
  <si>
    <t>3075,0</t>
  </si>
  <si>
    <t>2138,5088</t>
  </si>
  <si>
    <t>3570,0</t>
  </si>
  <si>
    <t>2043,4679</t>
  </si>
  <si>
    <t>2700,0</t>
  </si>
  <si>
    <t>1580,4449</t>
  </si>
  <si>
    <t>2430,0</t>
  </si>
  <si>
    <t>2340,0</t>
  </si>
  <si>
    <t>1980,0</t>
  </si>
  <si>
    <t>1870,0</t>
  </si>
  <si>
    <t>2635,0</t>
  </si>
  <si>
    <t>2550,0</t>
  </si>
  <si>
    <t>910,0</t>
  </si>
  <si>
    <t>Тоннаж</t>
  </si>
  <si>
    <t>63,0</t>
  </si>
  <si>
    <t>80,9</t>
  </si>
  <si>
    <t>88,9</t>
  </si>
  <si>
    <t>83,4</t>
  </si>
  <si>
    <t>104,1</t>
  </si>
  <si>
    <t>102,2</t>
  </si>
  <si>
    <t>14</t>
  </si>
  <si>
    <t>41</t>
  </si>
  <si>
    <t>24</t>
  </si>
  <si>
    <t>23</t>
  </si>
  <si>
    <t>21</t>
  </si>
  <si>
    <t>Кушин И.</t>
  </si>
  <si>
    <t>Алимов М.</t>
  </si>
  <si>
    <t>Куликов М.</t>
  </si>
  <si>
    <t>27,5</t>
  </si>
  <si>
    <t>9</t>
  </si>
  <si>
    <t>Teen 13-19 (19.05.1997)/18</t>
  </si>
  <si>
    <t>Гришкин Леонид</t>
  </si>
  <si>
    <t>Teen 13-19 (14.06.1996)/19</t>
  </si>
  <si>
    <t>Тучин Андрей</t>
  </si>
  <si>
    <t>Open (05.02.1974)/42</t>
  </si>
  <si>
    <t>Иванов Андрей</t>
  </si>
  <si>
    <t>Masters 40-49 (07.05.1968)/47</t>
  </si>
  <si>
    <t xml:space="preserve">Кировск/Ленинградская область </t>
  </si>
  <si>
    <t xml:space="preserve">Кронштадт/Санкт-Петербург </t>
  </si>
  <si>
    <t>Чанцев Виктор</t>
  </si>
  <si>
    <t>Masters 50-59 (02.09.1957)/58</t>
  </si>
  <si>
    <t>20</t>
  </si>
  <si>
    <t>49</t>
  </si>
  <si>
    <t>18</t>
  </si>
  <si>
    <t>16</t>
  </si>
  <si>
    <t>27</t>
  </si>
  <si>
    <t xml:space="preserve">Заломаев С. </t>
  </si>
  <si>
    <t>Подъем на бицес</t>
  </si>
  <si>
    <t>Армейский жим</t>
  </si>
  <si>
    <t>62,5</t>
  </si>
  <si>
    <t>Суховерков Дмитрий</t>
  </si>
  <si>
    <t>Open (14.07.1985)/30</t>
  </si>
  <si>
    <t>Соколов Евгений</t>
  </si>
  <si>
    <t>93,9890</t>
  </si>
  <si>
    <t>93,3322</t>
  </si>
  <si>
    <t>90,5905</t>
  </si>
  <si>
    <t xml:space="preserve">75,0 </t>
  </si>
  <si>
    <t xml:space="preserve">Сестрорецк/Ленинградская область </t>
  </si>
  <si>
    <t xml:space="preserve">Кронштадт/Ленинградская область  </t>
  </si>
  <si>
    <t>96,5</t>
  </si>
  <si>
    <t>1450,0</t>
  </si>
  <si>
    <t>3675,0</t>
  </si>
  <si>
    <t>1440,0</t>
  </si>
  <si>
    <t>1155,0</t>
  </si>
  <si>
    <t>1240,0</t>
  </si>
  <si>
    <t>2295,0</t>
  </si>
  <si>
    <t>1800,0</t>
  </si>
  <si>
    <t>810,0</t>
  </si>
  <si>
    <t>1950,0</t>
  </si>
  <si>
    <t>79,1</t>
  </si>
  <si>
    <t>75,8</t>
  </si>
  <si>
    <t>Возрастная группа</t>
  </si>
  <si>
    <t>Город/область</t>
  </si>
  <si>
    <t>Жим/первое упражнение</t>
  </si>
  <si>
    <t>Жим/второе упражнение</t>
  </si>
  <si>
    <t>Сумма баллов</t>
  </si>
  <si>
    <t>Год рождения/Возраст</t>
  </si>
  <si>
    <t>Мужчины - любители с прохождением допинг контроля</t>
  </si>
  <si>
    <t>ВЕСОВАЯ КАТЕГОРИЯ   70</t>
  </si>
  <si>
    <t xml:space="preserve">Москва/Московская область </t>
  </si>
  <si>
    <t>Самостоятельно</t>
  </si>
  <si>
    <t>Лично</t>
  </si>
  <si>
    <t xml:space="preserve"> </t>
  </si>
  <si>
    <t>ВЕСОВАЯ КАТЕГОРИЯ  100</t>
  </si>
  <si>
    <t xml:space="preserve">ВМТ "Северная столица"                                                                                                                                                                                   Жимовое двоеборье
г. Санкт-Петербург, 05 - 06 марта 2016 </t>
  </si>
  <si>
    <t>ВМТ "Северная столица"                                                                                                                       Пауэрспорт с допинг контролем
г. Санкт-Петербург, 05 - 06 марта 2016</t>
  </si>
  <si>
    <t>ВМТ "Северная столица"                                                                                                                           Народный жим (1 вес)
г. Санкт-Петербург, 05 - 06 марта 2016</t>
  </si>
  <si>
    <t>ВМТ "Северная столица"                                                                                                    Народный жим (1/2 вес)
г. Санкт-Петербург, 05 - 06 марта 2016</t>
  </si>
  <si>
    <t>ВМТ "Северная столица"                                                                                                                          Народный жим (1 вес) допинг контроль
г. Санкт-Петербург, 05 - 06 марта 2016</t>
  </si>
  <si>
    <t xml:space="preserve">ВМТ "Северная столица"                                                                                                                    Жим лежа в облегченной / софт экипировке ДК
г. Санкт-Петербург, 05 - 06 марта 2016 </t>
  </si>
  <si>
    <t xml:space="preserve">ВМТ "Северная столица"                                                                                                                             Жим лежа без экипировки 
г. Санкт-Петербург, 05 - 06 марта 2016 </t>
  </si>
  <si>
    <t xml:space="preserve">ВМТ "Северная столица"                                                                                                                             Жим лежа без экипировки ДК
г. Санкт-Петербург, 05 - 06 марта 2016  </t>
  </si>
  <si>
    <t>Товстуха Александр</t>
  </si>
  <si>
    <t>Фёдоров А.</t>
  </si>
  <si>
    <t xml:space="preserve">А-1 </t>
  </si>
  <si>
    <t xml:space="preserve">ВМТ "Северная столица"                                                                                                                               Жим лежа в однослойной экипировке 
г. Санкт-Петербург, 05 - 06 марта 2016 </t>
  </si>
  <si>
    <t xml:space="preserve">ВМТ "Северная столица"                                                                                                                                   Жим лежа в однослойной экипировке ДК
г. Санкт-Петербург, 05 - 06 марта 2016 </t>
  </si>
  <si>
    <t xml:space="preserve">ВМТ "Северная столица"                                                                                                                                    Пауэрлифтинг в однослойной экипировке
г. Санкт-Петербург, 05 - 06 марта 2016 </t>
  </si>
  <si>
    <t xml:space="preserve">ВМТ "Северная столица"                                                                                                                                               Пауэрлифтинг без экипировки 
г. Санкт-Петербург, 05 - 06 марта 2016  </t>
  </si>
  <si>
    <t xml:space="preserve">ВМТ "Северная столица"                                                                                                                                              Пауэрлифтинг без экипировки ДК
г. Санкт-Петербург, 05 - 06 марта 2016 </t>
  </si>
  <si>
    <t xml:space="preserve">ВМТ "Северная столица"                                                                                                                                                 Пауэрлифтинг в бинтах
г. Санкт-Петербург, 05 - 06 марта 2016  </t>
  </si>
  <si>
    <t xml:space="preserve">ВМТ "Северная столица"                                                                                                                                              Пауэрлифтинг в бинтах ДК
г. Санкт-Петербург, 05 - 06 марта 2016 </t>
  </si>
  <si>
    <t xml:space="preserve">ВМТ "Северная столица"                                                                                                                     Становая тяга без экипировки 
г. Санкт-Петербург, 05 - 06 марта 2016 </t>
  </si>
  <si>
    <t xml:space="preserve">ВМТ "Северная столица"                                                                                                                      Становая тяга без экипировки ДК
г. Санкт-Петербург, 05 - 06 марта 2016  </t>
  </si>
  <si>
    <t xml:space="preserve">ВМТ "Северная столица"                                                                                                          Становая тяга в экипировке
г. Санкт-Петербург, 05 - 06 марта 2016 </t>
  </si>
  <si>
    <t xml:space="preserve">ВМТ "Северная столица"                                                                                                                                              Силовое двоеборье без экипировки ДК
г. Санкт-Петербург, 05 - 06 марта 2016 </t>
  </si>
  <si>
    <t xml:space="preserve">ВМТ "Северная столица"                                                                                                                         Присед без экипировки
г. Санкт-Петербург, 05 - 06 марта 2016  </t>
  </si>
  <si>
    <t xml:space="preserve">ВМТ "Северная столица"                                                                                                                                Присед без экипировки ДК
г. Санкт-Петербург, 05 - 06 марта 2016 </t>
  </si>
  <si>
    <t xml:space="preserve">ВМТ "Северная столица"                                                                                                                                        Присед в бинтах
г. Санкт-Петербург, 05 - 06 марта 2016  </t>
  </si>
  <si>
    <t>Картавов Сергей</t>
  </si>
  <si>
    <t>Masters 45-50 (10.06.1966)/48</t>
  </si>
  <si>
    <t>109,0</t>
  </si>
  <si>
    <t>Грахов Юлий</t>
  </si>
  <si>
    <t>Master 40+ (17.08.1963)/52</t>
  </si>
  <si>
    <t>0,6130</t>
  </si>
  <si>
    <t>35,7072</t>
  </si>
  <si>
    <t>67,40</t>
  </si>
  <si>
    <t>Филимонов Александр</t>
  </si>
  <si>
    <t>Junior (29.09.1996)/19</t>
  </si>
  <si>
    <t>86,70</t>
  </si>
  <si>
    <t xml:space="preserve">Sportdom team </t>
  </si>
  <si>
    <t>68,0</t>
  </si>
  <si>
    <t>78,0</t>
  </si>
  <si>
    <t xml:space="preserve">Жарков А. </t>
  </si>
  <si>
    <t>Щербаков Максим</t>
  </si>
  <si>
    <t>Open (10.01.1986)/30</t>
  </si>
  <si>
    <t>86,30</t>
  </si>
  <si>
    <t>89,70</t>
  </si>
  <si>
    <t>30,0</t>
  </si>
  <si>
    <t>43,5</t>
  </si>
  <si>
    <t>96,10</t>
  </si>
  <si>
    <t>Аксенов Лев</t>
  </si>
  <si>
    <t>Open (11.02.1980)/36</t>
  </si>
  <si>
    <t>101,60</t>
  </si>
  <si>
    <t>53,0</t>
  </si>
  <si>
    <t xml:space="preserve">Горохов </t>
  </si>
  <si>
    <t>108,10</t>
  </si>
  <si>
    <t>57,0</t>
  </si>
  <si>
    <t>63,5</t>
  </si>
  <si>
    <t>ВЕСОВАЯ КАТЕГОРИЯ   100+</t>
  </si>
  <si>
    <t>Филатов Евгений</t>
  </si>
  <si>
    <t>Junior (19.06.1995)/20</t>
  </si>
  <si>
    <t>103,10</t>
  </si>
  <si>
    <t>83,5</t>
  </si>
  <si>
    <t xml:space="preserve">ВМТ "Северная столица"                                                                                                                                        Rolling Thunder
г. Санкт-Петербург, 05 - 06 марта 2016 </t>
  </si>
  <si>
    <t>Журба Владислав</t>
  </si>
  <si>
    <t>Junior (15.02.1996)/20</t>
  </si>
  <si>
    <t>66,10</t>
  </si>
  <si>
    <t>0,7620</t>
  </si>
  <si>
    <t>Жарков А.</t>
  </si>
  <si>
    <t>0,7494</t>
  </si>
  <si>
    <t>0,6251</t>
  </si>
  <si>
    <t>Минко Алексей</t>
  </si>
  <si>
    <t>Open (20.11.1980)/35</t>
  </si>
  <si>
    <t>85,90</t>
  </si>
  <si>
    <t>0,6286</t>
  </si>
  <si>
    <t>0,6269</t>
  </si>
  <si>
    <t>Жарков Александр</t>
  </si>
  <si>
    <t>Open (09.10.1991)/24</t>
  </si>
  <si>
    <t>88,70</t>
  </si>
  <si>
    <t>0,6169</t>
  </si>
  <si>
    <t>Москва/Московская область</t>
  </si>
  <si>
    <t xml:space="preserve">Челноков А. </t>
  </si>
  <si>
    <t>Бальчитис Имант</t>
  </si>
  <si>
    <t>Open (25.08.1987)/28</t>
  </si>
  <si>
    <t>97,70</t>
  </si>
  <si>
    <t>0,5871</t>
  </si>
  <si>
    <t>0,5744</t>
  </si>
  <si>
    <t>ВЕСОВАЯ КАТЕГОРИЯ   90+</t>
  </si>
  <si>
    <t>Кравченко Альберт</t>
  </si>
  <si>
    <t>Master 40+ (04.08.1965)/50</t>
  </si>
  <si>
    <t>95,30</t>
  </si>
  <si>
    <t>0,5940</t>
  </si>
  <si>
    <t>ВМТ "Северная столица"                                                                                                                                                            Apollon Axle</t>
  </si>
  <si>
    <t>17,5</t>
  </si>
  <si>
    <t>12,4975</t>
  </si>
  <si>
    <t>101,6</t>
  </si>
  <si>
    <t>0,5776</t>
  </si>
  <si>
    <t>15,0</t>
  </si>
  <si>
    <t>11,5520</t>
  </si>
  <si>
    <t xml:space="preserve">г. Санкт-Петербург, 05 - 06 марта 2016 </t>
  </si>
  <si>
    <t xml:space="preserve">ВМТ "Северная столица"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</si>
  <si>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HUB</t>
  </si>
  <si>
    <t>§</t>
  </si>
  <si>
    <t>Сборная Кронштадта</t>
  </si>
  <si>
    <t>61</t>
  </si>
  <si>
    <t>46</t>
  </si>
  <si>
    <t>39</t>
  </si>
  <si>
    <t>ВМТ "Северная столица"                                                                                                                     Командный зачет</t>
  </si>
  <si>
    <t xml:space="preserve">ВМТ "Северная столица"                                                                                                                             Two handed pinch grip block                                                                                                                       г. Санкт-Петербург, 05 - 06 марта 2016 </t>
  </si>
  <si>
    <t>Juniors 20-23 (23.08.1994)/21</t>
  </si>
  <si>
    <t>Марцынковский Дмитрий</t>
  </si>
  <si>
    <t>Open (12.07.1980)/35</t>
  </si>
  <si>
    <t>ВМТ "Северная столица"                                                                                                                       Пауэрспорт 
г. Санкт-Петербург, 05 - 06 марта 2016</t>
  </si>
  <si>
    <t>98,5</t>
  </si>
  <si>
    <t xml:space="preserve">Острогожск/Воронежская область </t>
  </si>
  <si>
    <t xml:space="preserve">Остапенко К.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</si>
</sst>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_-* #,##0.0_р_._-;\-* #,##0.0_р_._-;_-* &quot;-&quot;??_р_._-;_-@_-"/>
  </numFmts>
  <fonts count="54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trike/>
      <sz val="10"/>
      <color rgb="FFC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 style="thin">
        <color rgb="FF000000"/>
      </left>
      <right style="thin"/>
      <top style="medium"/>
      <bottom>
        <color indexed="63"/>
      </bottom>
    </border>
    <border>
      <left style="thin">
        <color rgb="FF000000"/>
      </left>
      <right style="thin"/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indent="1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49" fontId="7" fillId="0" borderId="12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7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7" fillId="0" borderId="14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7" fillId="0" borderId="11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1" fillId="0" borderId="0" xfId="0" applyNumberFormat="1" applyFont="1" applyAlignment="1">
      <alignment horizontal="left" indent="1"/>
    </xf>
    <xf numFmtId="49" fontId="11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51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1" xfId="0" applyNumberFormat="1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12" fillId="0" borderId="12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 horizontal="center"/>
    </xf>
    <xf numFmtId="172" fontId="12" fillId="0" borderId="13" xfId="0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2" fillId="33" borderId="14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50" fillId="0" borderId="12" xfId="0" applyNumberFormat="1" applyFont="1" applyBorder="1" applyAlignment="1">
      <alignment horizontal="center"/>
    </xf>
    <xf numFmtId="172" fontId="50" fillId="0" borderId="13" xfId="0" applyNumberFormat="1" applyFont="1" applyBorder="1" applyAlignment="1">
      <alignment horizontal="center"/>
    </xf>
    <xf numFmtId="172" fontId="50" fillId="0" borderId="14" xfId="0" applyNumberFormat="1" applyFont="1" applyBorder="1" applyAlignment="1">
      <alignment horizontal="center"/>
    </xf>
    <xf numFmtId="172" fontId="50" fillId="0" borderId="11" xfId="0" applyNumberFormat="1" applyFont="1" applyBorder="1" applyAlignment="1">
      <alignment horizontal="center"/>
    </xf>
    <xf numFmtId="49" fontId="52" fillId="0" borderId="0" xfId="0" applyNumberFormat="1" applyFont="1" applyAlignment="1">
      <alignment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12" fillId="0" borderId="11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12" fillId="0" borderId="12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72" fontId="12" fillId="0" borderId="14" xfId="0" applyNumberFormat="1" applyFont="1" applyFill="1" applyBorder="1" applyAlignment="1">
      <alignment horizontal="center"/>
    </xf>
    <xf numFmtId="172" fontId="50" fillId="0" borderId="14" xfId="0" applyNumberFormat="1" applyFont="1" applyFill="1" applyBorder="1" applyAlignment="1">
      <alignment horizontal="center"/>
    </xf>
    <xf numFmtId="172" fontId="50" fillId="0" borderId="13" xfId="0" applyNumberFormat="1" applyFont="1" applyFill="1" applyBorder="1" applyAlignment="1">
      <alignment horizontal="center"/>
    </xf>
    <xf numFmtId="172" fontId="50" fillId="0" borderId="12" xfId="0" applyNumberFormat="1" applyFont="1" applyFill="1" applyBorder="1" applyAlignment="1">
      <alignment horizontal="center"/>
    </xf>
    <xf numFmtId="172" fontId="51" fillId="0" borderId="13" xfId="0" applyNumberFormat="1" applyFont="1" applyFill="1" applyBorder="1" applyAlignment="1">
      <alignment horizontal="center"/>
    </xf>
    <xf numFmtId="172" fontId="50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51" fillId="0" borderId="12" xfId="0" applyNumberFormat="1" applyFont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50" fillId="0" borderId="11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172" fontId="2" fillId="33" borderId="18" xfId="0" applyNumberFormat="1" applyFont="1" applyFill="1" applyBorder="1" applyAlignment="1">
      <alignment horizontal="center"/>
    </xf>
    <xf numFmtId="172" fontId="53" fillId="0" borderId="18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/>
    </xf>
    <xf numFmtId="49" fontId="53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2" fillId="33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center"/>
    </xf>
    <xf numFmtId="49" fontId="53" fillId="0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Border="1" applyAlignment="1">
      <alignment/>
    </xf>
    <xf numFmtId="172" fontId="2" fillId="34" borderId="22" xfId="0" applyNumberFormat="1" applyFont="1" applyFill="1" applyBorder="1" applyAlignment="1">
      <alignment horizontal="center"/>
    </xf>
    <xf numFmtId="172" fontId="53" fillId="0" borderId="22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center"/>
    </xf>
    <xf numFmtId="172" fontId="12" fillId="0" borderId="22" xfId="0" applyNumberFormat="1" applyFont="1" applyBorder="1" applyAlignment="1">
      <alignment horizontal="center"/>
    </xf>
    <xf numFmtId="172" fontId="2" fillId="34" borderId="19" xfId="0" applyNumberFormat="1" applyFont="1" applyFill="1" applyBorder="1" applyAlignment="1">
      <alignment horizontal="center"/>
    </xf>
    <xf numFmtId="172" fontId="53" fillId="0" borderId="19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172" fontId="12" fillId="0" borderId="19" xfId="0" applyNumberFormat="1" applyFont="1" applyBorder="1" applyAlignment="1">
      <alignment horizontal="center"/>
    </xf>
    <xf numFmtId="49" fontId="0" fillId="0" borderId="23" xfId="0" applyNumberFormat="1" applyBorder="1" applyAlignment="1">
      <alignment/>
    </xf>
    <xf numFmtId="49" fontId="0" fillId="0" borderId="23" xfId="0" applyNumberFormat="1" applyBorder="1" applyAlignment="1">
      <alignment horizontal="left"/>
    </xf>
    <xf numFmtId="172" fontId="2" fillId="34" borderId="23" xfId="0" applyNumberFormat="1" applyFont="1" applyFill="1" applyBorder="1" applyAlignment="1">
      <alignment horizontal="center"/>
    </xf>
    <xf numFmtId="172" fontId="2" fillId="0" borderId="23" xfId="0" applyNumberFormat="1" applyFont="1" applyBorder="1" applyAlignment="1">
      <alignment horizontal="center"/>
    </xf>
    <xf numFmtId="172" fontId="53" fillId="0" borderId="23" xfId="0" applyNumberFormat="1" applyFont="1" applyBorder="1" applyAlignment="1">
      <alignment horizontal="center"/>
    </xf>
    <xf numFmtId="172" fontId="2" fillId="34" borderId="18" xfId="0" applyNumberFormat="1" applyFont="1" applyFill="1" applyBorder="1" applyAlignment="1">
      <alignment horizontal="center"/>
    </xf>
    <xf numFmtId="172" fontId="12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12" fillId="0" borderId="12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53" fillId="0" borderId="14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D1">
      <selection activeCell="G71" sqref="G71"/>
    </sheetView>
  </sheetViews>
  <sheetFormatPr defaultColWidth="11.375" defaultRowHeight="12.75"/>
  <cols>
    <col min="1" max="1" width="6.375" style="0" customWidth="1"/>
    <col min="2" max="2" width="19.00390625" style="0" customWidth="1"/>
    <col min="3" max="3" width="22.125" style="0" customWidth="1"/>
    <col min="4" max="5" width="11.375" style="0" customWidth="1"/>
    <col min="6" max="6" width="12.75390625" style="0" customWidth="1"/>
    <col min="7" max="7" width="32.375" style="0" customWidth="1"/>
    <col min="8" max="12" width="11.375" style="0" customWidth="1"/>
    <col min="13" max="13" width="16.625" style="0" customWidth="1"/>
    <col min="14" max="14" width="10.75390625" style="0" customWidth="1"/>
  </cols>
  <sheetData>
    <row r="1" spans="1:13" ht="61.5" customHeight="1">
      <c r="A1" s="150"/>
      <c r="B1" s="161" t="s">
        <v>785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ht="60.75" customHeight="1" thickBot="1">
      <c r="A2" s="151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ht="22.5" customHeight="1" thickBot="1">
      <c r="A3" s="192" t="s">
        <v>446</v>
      </c>
      <c r="B3" s="173" t="s">
        <v>0</v>
      </c>
      <c r="C3" s="188" t="s">
        <v>447</v>
      </c>
      <c r="D3" s="188" t="s">
        <v>448</v>
      </c>
      <c r="E3" s="173" t="s">
        <v>617</v>
      </c>
      <c r="F3" s="173" t="s">
        <v>7</v>
      </c>
      <c r="G3" s="195" t="s">
        <v>449</v>
      </c>
      <c r="H3" s="194" t="s">
        <v>3</v>
      </c>
      <c r="I3" s="194"/>
      <c r="J3" s="194"/>
      <c r="K3" s="173" t="s">
        <v>453</v>
      </c>
      <c r="L3" s="173" t="s">
        <v>6</v>
      </c>
      <c r="M3" s="175" t="s">
        <v>5</v>
      </c>
    </row>
    <row r="4" spans="1:13" ht="22.5" customHeight="1" thickBot="1">
      <c r="A4" s="193"/>
      <c r="B4" s="174"/>
      <c r="C4" s="189"/>
      <c r="D4" s="189"/>
      <c r="E4" s="174"/>
      <c r="F4" s="174"/>
      <c r="G4" s="196"/>
      <c r="H4" s="132" t="s">
        <v>576</v>
      </c>
      <c r="I4" s="132" t="s">
        <v>577</v>
      </c>
      <c r="J4" s="132" t="s">
        <v>578</v>
      </c>
      <c r="K4" s="174"/>
      <c r="L4" s="174"/>
      <c r="M4" s="176"/>
    </row>
    <row r="5" spans="1:13" ht="15.75">
      <c r="A5" s="43"/>
      <c r="B5" s="177" t="s">
        <v>719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5"/>
    </row>
    <row r="6" spans="1:13" ht="12.75">
      <c r="A6" s="43" t="s">
        <v>576</v>
      </c>
      <c r="B6" s="40" t="s">
        <v>423</v>
      </c>
      <c r="C6" s="6" t="s">
        <v>424</v>
      </c>
      <c r="D6" s="6" t="s">
        <v>757</v>
      </c>
      <c r="E6" s="6" t="str">
        <f>"0,7494"</f>
        <v>0,7494</v>
      </c>
      <c r="F6" s="7" t="s">
        <v>323</v>
      </c>
      <c r="G6" s="7" t="s">
        <v>173</v>
      </c>
      <c r="H6" s="123" t="s">
        <v>147</v>
      </c>
      <c r="I6" s="123" t="s">
        <v>144</v>
      </c>
      <c r="J6" s="123" t="s">
        <v>312</v>
      </c>
      <c r="K6" s="99" t="s">
        <v>312</v>
      </c>
      <c r="L6" s="99" t="str">
        <f>"41,2143"</f>
        <v>41,2143</v>
      </c>
      <c r="M6" s="7" t="s">
        <v>64</v>
      </c>
    </row>
    <row r="7" spans="1:13" ht="12.75">
      <c r="A7" s="43"/>
      <c r="B7" s="124"/>
      <c r="C7" s="1"/>
      <c r="D7" s="1"/>
      <c r="E7" s="1"/>
      <c r="F7" s="5"/>
      <c r="G7" s="5"/>
      <c r="H7" s="1"/>
      <c r="I7" s="1"/>
      <c r="J7" s="1"/>
      <c r="K7" s="4"/>
      <c r="L7" s="1"/>
      <c r="M7" s="5"/>
    </row>
    <row r="8" spans="1:13" ht="15.75">
      <c r="A8" s="43"/>
      <c r="B8" s="190" t="s">
        <v>16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5"/>
    </row>
    <row r="9" spans="1:13" ht="12.75">
      <c r="A9" s="43" t="s">
        <v>576</v>
      </c>
      <c r="B9" s="75" t="s">
        <v>758</v>
      </c>
      <c r="C9" s="8" t="s">
        <v>759</v>
      </c>
      <c r="D9" s="8" t="s">
        <v>760</v>
      </c>
      <c r="E9" s="8" t="str">
        <f>"0,6251"</f>
        <v>0,6251</v>
      </c>
      <c r="F9" s="9" t="s">
        <v>761</v>
      </c>
      <c r="G9" s="19" t="s">
        <v>605</v>
      </c>
      <c r="H9" s="125" t="s">
        <v>762</v>
      </c>
      <c r="I9" s="125" t="s">
        <v>763</v>
      </c>
      <c r="J9" s="126" t="s">
        <v>14</v>
      </c>
      <c r="K9" s="97" t="s">
        <v>763</v>
      </c>
      <c r="L9" s="97" t="str">
        <f>"48,7578"</f>
        <v>48,7578</v>
      </c>
      <c r="M9" s="9" t="s">
        <v>764</v>
      </c>
    </row>
    <row r="10" spans="1:13" ht="12.75">
      <c r="A10" s="43" t="s">
        <v>576</v>
      </c>
      <c r="B10" s="76" t="s">
        <v>765</v>
      </c>
      <c r="C10" s="10" t="s">
        <v>766</v>
      </c>
      <c r="D10" s="10" t="s">
        <v>767</v>
      </c>
      <c r="E10" s="10" t="str">
        <f>"0,6269"</f>
        <v>0,6269</v>
      </c>
      <c r="F10" s="11" t="s">
        <v>19</v>
      </c>
      <c r="G10" s="11" t="s">
        <v>450</v>
      </c>
      <c r="H10" s="127" t="s">
        <v>324</v>
      </c>
      <c r="I10" s="128" t="s">
        <v>762</v>
      </c>
      <c r="J10" s="129"/>
      <c r="K10" s="98" t="s">
        <v>324</v>
      </c>
      <c r="L10" s="98" t="str">
        <f>"37,6110"</f>
        <v>37,6110</v>
      </c>
      <c r="M10" s="11" t="s">
        <v>64</v>
      </c>
    </row>
    <row r="11" spans="1:13" ht="12.75">
      <c r="A11" s="43" t="s">
        <v>576</v>
      </c>
      <c r="B11" s="77" t="s">
        <v>753</v>
      </c>
      <c r="C11" s="12" t="s">
        <v>754</v>
      </c>
      <c r="D11" s="12" t="s">
        <v>768</v>
      </c>
      <c r="E11" s="12" t="str">
        <f>"0,6130"</f>
        <v>0,6130</v>
      </c>
      <c r="F11" s="13" t="s">
        <v>13</v>
      </c>
      <c r="G11" s="13" t="s">
        <v>450</v>
      </c>
      <c r="H11" s="130" t="s">
        <v>769</v>
      </c>
      <c r="I11" s="130" t="s">
        <v>139</v>
      </c>
      <c r="J11" s="130" t="s">
        <v>770</v>
      </c>
      <c r="K11" s="80" t="s">
        <v>770</v>
      </c>
      <c r="L11" s="80" t="str">
        <f>"31,0653"</f>
        <v>31,0653</v>
      </c>
      <c r="M11" s="13" t="s">
        <v>64</v>
      </c>
    </row>
    <row r="12" spans="1:13" ht="12.75">
      <c r="A12" s="43"/>
      <c r="B12" s="124"/>
      <c r="C12" s="1"/>
      <c r="D12" s="1"/>
      <c r="E12" s="1"/>
      <c r="F12" s="5"/>
      <c r="G12" s="5"/>
      <c r="H12" s="1"/>
      <c r="I12" s="1"/>
      <c r="J12" s="1"/>
      <c r="K12" s="4"/>
      <c r="L12" s="1"/>
      <c r="M12" s="5"/>
    </row>
    <row r="13" spans="1:13" ht="15.75">
      <c r="A13" s="43"/>
      <c r="B13" s="190" t="s">
        <v>65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5"/>
    </row>
    <row r="14" spans="1:13" ht="12.75">
      <c r="A14" s="43" t="s">
        <v>576</v>
      </c>
      <c r="B14" s="40" t="s">
        <v>77</v>
      </c>
      <c r="C14" s="6" t="s">
        <v>78</v>
      </c>
      <c r="D14" s="6" t="s">
        <v>771</v>
      </c>
      <c r="E14" s="6" t="str">
        <f>"0,5917"</f>
        <v>0,5917</v>
      </c>
      <c r="F14" s="7" t="s">
        <v>79</v>
      </c>
      <c r="G14" s="7" t="s">
        <v>608</v>
      </c>
      <c r="H14" s="123" t="s">
        <v>147</v>
      </c>
      <c r="I14" s="131" t="s">
        <v>324</v>
      </c>
      <c r="J14" s="101"/>
      <c r="K14" s="99" t="s">
        <v>147</v>
      </c>
      <c r="L14" s="99" t="str">
        <f>"29,5825"</f>
        <v>29,5825</v>
      </c>
      <c r="M14" s="7" t="s">
        <v>64</v>
      </c>
    </row>
    <row r="15" spans="1:13" ht="12.75">
      <c r="A15" s="43"/>
      <c r="B15" s="124"/>
      <c r="C15" s="1"/>
      <c r="D15" s="1"/>
      <c r="E15" s="1"/>
      <c r="F15" s="5"/>
      <c r="G15" s="5"/>
      <c r="H15" s="1"/>
      <c r="I15" s="1"/>
      <c r="J15" s="1"/>
      <c r="K15" s="4"/>
      <c r="L15" s="1"/>
      <c r="M15" s="5"/>
    </row>
    <row r="16" spans="1:13" ht="15.75">
      <c r="A16" s="43"/>
      <c r="B16" s="190" t="s">
        <v>89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5"/>
    </row>
    <row r="17" spans="1:13" ht="12.75">
      <c r="A17" s="43" t="s">
        <v>577</v>
      </c>
      <c r="B17" s="75" t="s">
        <v>772</v>
      </c>
      <c r="C17" s="8" t="s">
        <v>773</v>
      </c>
      <c r="D17" s="8" t="s">
        <v>774</v>
      </c>
      <c r="E17" s="8" t="str">
        <f>"0,5776"</f>
        <v>0,5776</v>
      </c>
      <c r="F17" s="9" t="s">
        <v>13</v>
      </c>
      <c r="G17" s="19" t="s">
        <v>605</v>
      </c>
      <c r="H17" s="125" t="s">
        <v>775</v>
      </c>
      <c r="I17" s="125" t="s">
        <v>324</v>
      </c>
      <c r="J17" s="125" t="s">
        <v>690</v>
      </c>
      <c r="K17" s="97" t="s">
        <v>690</v>
      </c>
      <c r="L17" s="97" t="str">
        <f>"36,1000"</f>
        <v>36,1000</v>
      </c>
      <c r="M17" s="9" t="s">
        <v>776</v>
      </c>
    </row>
    <row r="18" spans="1:13" ht="12.75">
      <c r="A18" s="43"/>
      <c r="B18" s="77" t="s">
        <v>106</v>
      </c>
      <c r="C18" s="12" t="s">
        <v>107</v>
      </c>
      <c r="D18" s="12" t="s">
        <v>777</v>
      </c>
      <c r="E18" s="12" t="str">
        <f>"0,5653"</f>
        <v>0,5653</v>
      </c>
      <c r="F18" s="13" t="s">
        <v>13</v>
      </c>
      <c r="G18" s="13" t="s">
        <v>450</v>
      </c>
      <c r="H18" s="130" t="s">
        <v>778</v>
      </c>
      <c r="I18" s="130" t="s">
        <v>779</v>
      </c>
      <c r="J18" s="130" t="s">
        <v>585</v>
      </c>
      <c r="K18" s="80" t="s">
        <v>585</v>
      </c>
      <c r="L18" s="80" t="str">
        <f>"37,0271"</f>
        <v>37,0271</v>
      </c>
      <c r="M18" s="13" t="s">
        <v>493</v>
      </c>
    </row>
    <row r="19" spans="1:13" ht="12.75">
      <c r="A19" s="43"/>
      <c r="B19" s="124"/>
      <c r="C19" s="1"/>
      <c r="D19" s="1"/>
      <c r="E19" s="1"/>
      <c r="F19" s="5"/>
      <c r="G19" s="5"/>
      <c r="H19" s="1"/>
      <c r="I19" s="1"/>
      <c r="J19" s="1"/>
      <c r="K19" s="4"/>
      <c r="L19" s="1"/>
      <c r="M19" s="5"/>
    </row>
    <row r="20" spans="1:13" ht="15.75">
      <c r="A20" s="43"/>
      <c r="B20" s="190" t="s">
        <v>780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5"/>
    </row>
    <row r="21" spans="1:13" ht="12.75">
      <c r="A21" s="43" t="s">
        <v>576</v>
      </c>
      <c r="B21" s="40" t="s">
        <v>781</v>
      </c>
      <c r="C21" s="6" t="s">
        <v>782</v>
      </c>
      <c r="D21" s="6" t="s">
        <v>783</v>
      </c>
      <c r="E21" s="6" t="str">
        <f>"0,5744"</f>
        <v>0,5744</v>
      </c>
      <c r="F21" s="7" t="s">
        <v>761</v>
      </c>
      <c r="G21" s="25" t="s">
        <v>720</v>
      </c>
      <c r="H21" s="123" t="s">
        <v>325</v>
      </c>
      <c r="I21" s="123" t="s">
        <v>14</v>
      </c>
      <c r="J21" s="123" t="s">
        <v>784</v>
      </c>
      <c r="K21" s="99" t="s">
        <v>784</v>
      </c>
      <c r="L21" s="99" t="str">
        <f>"47,9624"</f>
        <v>47,9624</v>
      </c>
      <c r="M21" s="7" t="s">
        <v>764</v>
      </c>
    </row>
    <row r="22" ht="13.5" thickBot="1"/>
    <row r="23" spans="1:13" ht="57.75" customHeight="1">
      <c r="A23" s="152"/>
      <c r="B23" s="198" t="s">
        <v>814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9"/>
    </row>
    <row r="24" spans="1:13" ht="30" thickBot="1">
      <c r="A24" s="153"/>
      <c r="B24" s="180" t="s">
        <v>821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1"/>
    </row>
    <row r="25" spans="1:13" ht="16.5" customHeight="1">
      <c r="A25" s="182" t="s">
        <v>446</v>
      </c>
      <c r="B25" s="171" t="s">
        <v>0</v>
      </c>
      <c r="C25" s="184" t="s">
        <v>447</v>
      </c>
      <c r="D25" s="184" t="s">
        <v>448</v>
      </c>
      <c r="E25" s="171" t="s">
        <v>617</v>
      </c>
      <c r="F25" s="171" t="s">
        <v>7</v>
      </c>
      <c r="G25" s="186" t="s">
        <v>449</v>
      </c>
      <c r="H25" s="169" t="s">
        <v>3</v>
      </c>
      <c r="I25" s="169"/>
      <c r="J25" s="170"/>
      <c r="K25" s="171" t="s">
        <v>453</v>
      </c>
      <c r="L25" s="171" t="s">
        <v>6</v>
      </c>
      <c r="M25" s="166" t="s">
        <v>5</v>
      </c>
    </row>
    <row r="26" spans="1:13" ht="15" thickBot="1">
      <c r="A26" s="183"/>
      <c r="B26" s="172"/>
      <c r="C26" s="185"/>
      <c r="D26" s="185"/>
      <c r="E26" s="172"/>
      <c r="F26" s="172"/>
      <c r="G26" s="187"/>
      <c r="H26" s="118" t="s">
        <v>576</v>
      </c>
      <c r="I26" s="105" t="s">
        <v>577</v>
      </c>
      <c r="J26" s="105" t="s">
        <v>578</v>
      </c>
      <c r="K26" s="172"/>
      <c r="L26" s="172"/>
      <c r="M26" s="179"/>
    </row>
    <row r="27" spans="1:13" ht="15.75">
      <c r="A27" s="32"/>
      <c r="B27" s="160" t="s">
        <v>719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8"/>
    </row>
    <row r="28" spans="1:13" ht="12.75">
      <c r="A28" s="32">
        <v>1</v>
      </c>
      <c r="B28" s="19" t="s">
        <v>786</v>
      </c>
      <c r="C28" s="133" t="s">
        <v>787</v>
      </c>
      <c r="D28" s="133" t="s">
        <v>788</v>
      </c>
      <c r="E28" s="133" t="s">
        <v>789</v>
      </c>
      <c r="F28" s="133" t="s">
        <v>19</v>
      </c>
      <c r="G28" s="133" t="s">
        <v>720</v>
      </c>
      <c r="H28" s="134">
        <v>110</v>
      </c>
      <c r="I28" s="135">
        <v>130</v>
      </c>
      <c r="J28" s="137"/>
      <c r="K28" s="136">
        <v>110</v>
      </c>
      <c r="L28" s="136">
        <v>83.82</v>
      </c>
      <c r="M28" s="133" t="s">
        <v>790</v>
      </c>
    </row>
    <row r="29" spans="1:14" ht="12.75">
      <c r="A29" s="32">
        <v>1</v>
      </c>
      <c r="B29" s="23" t="s">
        <v>423</v>
      </c>
      <c r="C29" s="109" t="s">
        <v>424</v>
      </c>
      <c r="D29" s="109" t="s">
        <v>757</v>
      </c>
      <c r="E29" s="109" t="s">
        <v>791</v>
      </c>
      <c r="F29" s="109" t="s">
        <v>19</v>
      </c>
      <c r="G29" s="109" t="s">
        <v>173</v>
      </c>
      <c r="H29" s="138">
        <v>125</v>
      </c>
      <c r="I29" s="139">
        <v>130</v>
      </c>
      <c r="J29" s="141"/>
      <c r="K29" s="140">
        <v>125</v>
      </c>
      <c r="L29" s="140">
        <v>93.6688</v>
      </c>
      <c r="M29" s="109" t="s">
        <v>64</v>
      </c>
      <c r="N29" t="s">
        <v>824</v>
      </c>
    </row>
    <row r="30" spans="1:13" ht="12.75">
      <c r="A30" s="32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.75">
      <c r="A31" s="32"/>
      <c r="B31" s="160" t="s">
        <v>16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8"/>
    </row>
    <row r="32" spans="1:13" ht="12.75">
      <c r="A32" s="32">
        <v>1</v>
      </c>
      <c r="B32" s="19" t="s">
        <v>758</v>
      </c>
      <c r="C32" s="133" t="s">
        <v>759</v>
      </c>
      <c r="D32" s="133" t="s">
        <v>760</v>
      </c>
      <c r="E32" s="133" t="s">
        <v>792</v>
      </c>
      <c r="F32" s="133" t="s">
        <v>761</v>
      </c>
      <c r="G32" s="133" t="s">
        <v>605</v>
      </c>
      <c r="H32" s="134">
        <v>130</v>
      </c>
      <c r="I32" s="134">
        <v>150</v>
      </c>
      <c r="J32" s="135">
        <v>160</v>
      </c>
      <c r="K32" s="136">
        <v>150</v>
      </c>
      <c r="L32" s="136">
        <v>93.765</v>
      </c>
      <c r="M32" s="133" t="s">
        <v>764</v>
      </c>
    </row>
    <row r="33" spans="1:13" ht="12.75">
      <c r="A33" s="32">
        <v>1</v>
      </c>
      <c r="B33" s="21" t="s">
        <v>793</v>
      </c>
      <c r="C33" s="142" t="s">
        <v>794</v>
      </c>
      <c r="D33" s="142" t="s">
        <v>795</v>
      </c>
      <c r="E33" s="142" t="s">
        <v>796</v>
      </c>
      <c r="F33" s="142" t="s">
        <v>19</v>
      </c>
      <c r="G33" s="143" t="s">
        <v>450</v>
      </c>
      <c r="H33" s="144">
        <v>130</v>
      </c>
      <c r="I33" s="144">
        <v>140</v>
      </c>
      <c r="J33" s="144">
        <v>150</v>
      </c>
      <c r="K33" s="145">
        <v>150</v>
      </c>
      <c r="L33" s="145">
        <v>94.29</v>
      </c>
      <c r="M33" s="142" t="s">
        <v>64</v>
      </c>
    </row>
    <row r="34" spans="1:13" ht="12.75">
      <c r="A34" s="32">
        <v>2</v>
      </c>
      <c r="B34" s="21" t="s">
        <v>765</v>
      </c>
      <c r="C34" s="142" t="s">
        <v>766</v>
      </c>
      <c r="D34" s="142" t="s">
        <v>767</v>
      </c>
      <c r="E34" s="142" t="s">
        <v>797</v>
      </c>
      <c r="F34" s="142" t="s">
        <v>19</v>
      </c>
      <c r="G34" s="143" t="s">
        <v>450</v>
      </c>
      <c r="H34" s="144">
        <v>140</v>
      </c>
      <c r="I34" s="144">
        <v>145</v>
      </c>
      <c r="J34" s="144">
        <v>152.5</v>
      </c>
      <c r="K34" s="145">
        <v>152.5</v>
      </c>
      <c r="L34" s="145">
        <v>95.5946</v>
      </c>
      <c r="M34" s="142" t="s">
        <v>64</v>
      </c>
    </row>
    <row r="35" spans="1:13" ht="12.75">
      <c r="A35" s="32">
        <v>3</v>
      </c>
      <c r="B35" s="21" t="s">
        <v>798</v>
      </c>
      <c r="C35" s="142" t="s">
        <v>799</v>
      </c>
      <c r="D35" s="142" t="s">
        <v>800</v>
      </c>
      <c r="E35" s="142" t="s">
        <v>801</v>
      </c>
      <c r="F35" s="142" t="s">
        <v>761</v>
      </c>
      <c r="G35" s="142" t="s">
        <v>802</v>
      </c>
      <c r="H35" s="144">
        <v>120</v>
      </c>
      <c r="I35" s="144">
        <v>130</v>
      </c>
      <c r="J35" s="146">
        <v>150</v>
      </c>
      <c r="K35" s="145">
        <v>130</v>
      </c>
      <c r="L35" s="145">
        <v>80.1905</v>
      </c>
      <c r="M35" s="142" t="s">
        <v>803</v>
      </c>
    </row>
    <row r="36" spans="1:13" ht="12.75">
      <c r="A36" s="32">
        <v>1</v>
      </c>
      <c r="B36" s="23" t="s">
        <v>753</v>
      </c>
      <c r="C36" s="109" t="s">
        <v>754</v>
      </c>
      <c r="D36" s="109" t="s">
        <v>768</v>
      </c>
      <c r="E36" s="109" t="s">
        <v>755</v>
      </c>
      <c r="F36" s="109" t="s">
        <v>13</v>
      </c>
      <c r="G36" s="109" t="s">
        <v>450</v>
      </c>
      <c r="H36" s="138">
        <v>100</v>
      </c>
      <c r="I36" s="138">
        <v>110</v>
      </c>
      <c r="J36" s="139">
        <v>115</v>
      </c>
      <c r="K36" s="140">
        <v>110</v>
      </c>
      <c r="L36" s="140">
        <v>78.5559</v>
      </c>
      <c r="M36" s="109" t="s">
        <v>64</v>
      </c>
    </row>
    <row r="37" spans="1:13" ht="12.75">
      <c r="A37" s="32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5.75">
      <c r="A38" s="32"/>
      <c r="B38" s="160" t="s">
        <v>65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8"/>
    </row>
    <row r="39" spans="1:13" ht="12.75">
      <c r="A39" s="32">
        <v>1</v>
      </c>
      <c r="B39" s="25" t="s">
        <v>804</v>
      </c>
      <c r="C39" s="107" t="s">
        <v>805</v>
      </c>
      <c r="D39" s="107" t="s">
        <v>806</v>
      </c>
      <c r="E39" s="107" t="s">
        <v>807</v>
      </c>
      <c r="F39" s="107" t="s">
        <v>79</v>
      </c>
      <c r="G39" s="107" t="s">
        <v>450</v>
      </c>
      <c r="H39" s="147">
        <v>130</v>
      </c>
      <c r="I39" s="113">
        <v>140</v>
      </c>
      <c r="J39" s="148"/>
      <c r="K39" s="114">
        <v>130</v>
      </c>
      <c r="L39" s="114">
        <v>76.3295</v>
      </c>
      <c r="M39" s="107" t="s">
        <v>482</v>
      </c>
    </row>
    <row r="40" spans="1:13" ht="12.75">
      <c r="A40" s="32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5.75">
      <c r="A41" s="32"/>
      <c r="B41" s="160" t="s">
        <v>780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8"/>
    </row>
    <row r="42" spans="1:13" ht="12.75">
      <c r="A42" s="32">
        <v>1</v>
      </c>
      <c r="B42" s="25" t="s">
        <v>781</v>
      </c>
      <c r="C42" s="107" t="s">
        <v>782</v>
      </c>
      <c r="D42" s="107" t="s">
        <v>783</v>
      </c>
      <c r="E42" s="107" t="s">
        <v>808</v>
      </c>
      <c r="F42" s="107" t="s">
        <v>761</v>
      </c>
      <c r="G42" s="107" t="s">
        <v>720</v>
      </c>
      <c r="H42" s="147">
        <v>140</v>
      </c>
      <c r="I42" s="147">
        <v>175</v>
      </c>
      <c r="J42" s="147">
        <v>185</v>
      </c>
      <c r="K42" s="114">
        <v>185</v>
      </c>
      <c r="L42" s="114">
        <v>106.264</v>
      </c>
      <c r="M42" s="107" t="s">
        <v>790</v>
      </c>
    </row>
    <row r="43" spans="1:13" ht="12.75">
      <c r="A43" s="32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5.75">
      <c r="A44" s="32"/>
      <c r="B44" s="160" t="s">
        <v>809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8"/>
    </row>
    <row r="45" spans="1:13" ht="12.75">
      <c r="A45" s="32">
        <v>1</v>
      </c>
      <c r="B45" s="25" t="s">
        <v>810</v>
      </c>
      <c r="C45" s="107" t="s">
        <v>811</v>
      </c>
      <c r="D45" s="107" t="s">
        <v>812</v>
      </c>
      <c r="E45" s="107" t="s">
        <v>813</v>
      </c>
      <c r="F45" s="107" t="s">
        <v>13</v>
      </c>
      <c r="G45" s="107" t="s">
        <v>450</v>
      </c>
      <c r="H45" s="147">
        <v>110</v>
      </c>
      <c r="I45" s="147">
        <v>120</v>
      </c>
      <c r="J45" s="147">
        <v>130</v>
      </c>
      <c r="K45" s="114">
        <v>130</v>
      </c>
      <c r="L45" s="114">
        <v>87.2586</v>
      </c>
      <c r="M45" s="107" t="s">
        <v>493</v>
      </c>
    </row>
    <row r="46" spans="1:13" ht="13.5" thickBot="1">
      <c r="A46" s="32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28.5" customHeight="1">
      <c r="A47" s="200"/>
      <c r="B47" s="198" t="s">
        <v>822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9"/>
    </row>
    <row r="48" spans="1:13" ht="28.5">
      <c r="A48" s="201"/>
      <c r="B48" s="202" t="s">
        <v>823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3"/>
    </row>
    <row r="49" spans="1:13" ht="30" thickBot="1">
      <c r="A49" s="155"/>
      <c r="B49" s="180" t="s">
        <v>821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1"/>
    </row>
    <row r="50" spans="1:13" ht="13.5">
      <c r="A50" s="182" t="s">
        <v>446</v>
      </c>
      <c r="B50" s="171" t="s">
        <v>0</v>
      </c>
      <c r="C50" s="184" t="s">
        <v>447</v>
      </c>
      <c r="D50" s="184" t="s">
        <v>448</v>
      </c>
      <c r="E50" s="171" t="s">
        <v>617</v>
      </c>
      <c r="F50" s="171" t="s">
        <v>7</v>
      </c>
      <c r="G50" s="186" t="s">
        <v>449</v>
      </c>
      <c r="H50" s="169" t="s">
        <v>3</v>
      </c>
      <c r="I50" s="169"/>
      <c r="J50" s="170"/>
      <c r="K50" s="171" t="s">
        <v>453</v>
      </c>
      <c r="L50" s="171" t="s">
        <v>6</v>
      </c>
      <c r="M50" s="166" t="s">
        <v>5</v>
      </c>
    </row>
    <row r="51" spans="1:13" ht="15" thickBot="1">
      <c r="A51" s="183"/>
      <c r="B51" s="172"/>
      <c r="C51" s="185"/>
      <c r="D51" s="185"/>
      <c r="E51" s="172"/>
      <c r="F51" s="172"/>
      <c r="G51" s="187"/>
      <c r="H51" s="118" t="s">
        <v>576</v>
      </c>
      <c r="I51" s="105" t="s">
        <v>577</v>
      </c>
      <c r="J51" s="105" t="s">
        <v>578</v>
      </c>
      <c r="K51" s="172"/>
      <c r="L51" s="172"/>
      <c r="M51" s="179"/>
    </row>
    <row r="52" spans="2:13" ht="15.75">
      <c r="B52" s="160" t="s">
        <v>16</v>
      </c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8"/>
    </row>
    <row r="53" spans="1:13" ht="12.75">
      <c r="A53" s="32">
        <v>1</v>
      </c>
      <c r="B53" s="25" t="s">
        <v>753</v>
      </c>
      <c r="C53" s="107" t="s">
        <v>754</v>
      </c>
      <c r="D53" s="107" t="s">
        <v>475</v>
      </c>
      <c r="E53" s="107" t="s">
        <v>755</v>
      </c>
      <c r="F53" s="107" t="s">
        <v>13</v>
      </c>
      <c r="G53" s="107" t="s">
        <v>450</v>
      </c>
      <c r="H53" s="119" t="s">
        <v>815</v>
      </c>
      <c r="I53" s="120" t="s">
        <v>167</v>
      </c>
      <c r="J53" s="149"/>
      <c r="K53" s="121" t="s">
        <v>815</v>
      </c>
      <c r="L53" s="121" t="s">
        <v>816</v>
      </c>
      <c r="M53" s="107" t="s">
        <v>64</v>
      </c>
    </row>
    <row r="54" spans="2:13" ht="12.7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5.75">
      <c r="B55" s="160" t="s">
        <v>89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8"/>
    </row>
    <row r="56" spans="1:13" ht="12.75">
      <c r="A56" s="32">
        <v>1</v>
      </c>
      <c r="B56" s="25" t="s">
        <v>772</v>
      </c>
      <c r="C56" s="107" t="s">
        <v>773</v>
      </c>
      <c r="D56" s="107" t="s">
        <v>817</v>
      </c>
      <c r="E56" s="107" t="s">
        <v>818</v>
      </c>
      <c r="F56" s="107" t="s">
        <v>19</v>
      </c>
      <c r="G56" s="107" t="s">
        <v>450</v>
      </c>
      <c r="H56" s="119" t="s">
        <v>819</v>
      </c>
      <c r="I56" s="119" t="s">
        <v>815</v>
      </c>
      <c r="J56" s="119" t="s">
        <v>167</v>
      </c>
      <c r="K56" s="121" t="s">
        <v>167</v>
      </c>
      <c r="L56" s="121" t="s">
        <v>820</v>
      </c>
      <c r="M56" s="107" t="s">
        <v>776</v>
      </c>
    </row>
    <row r="57" spans="2:13" ht="13.5" thickBo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72.75" customHeight="1">
      <c r="A58" s="154"/>
      <c r="B58" s="198" t="s">
        <v>830</v>
      </c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</row>
    <row r="59" spans="1:13" ht="13.5" thickBot="1">
      <c r="A59" s="155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1"/>
    </row>
    <row r="60" spans="1:13" ht="13.5">
      <c r="A60" s="182" t="s">
        <v>446</v>
      </c>
      <c r="B60" s="171" t="s">
        <v>0</v>
      </c>
      <c r="C60" s="184" t="s">
        <v>447</v>
      </c>
      <c r="D60" s="184" t="s">
        <v>448</v>
      </c>
      <c r="E60" s="171" t="s">
        <v>617</v>
      </c>
      <c r="F60" s="171" t="s">
        <v>7</v>
      </c>
      <c r="G60" s="186" t="s">
        <v>449</v>
      </c>
      <c r="H60" s="169" t="s">
        <v>3</v>
      </c>
      <c r="I60" s="169"/>
      <c r="J60" s="170"/>
      <c r="K60" s="171" t="s">
        <v>453</v>
      </c>
      <c r="L60" s="171" t="s">
        <v>6</v>
      </c>
      <c r="M60" s="166" t="s">
        <v>5</v>
      </c>
    </row>
    <row r="61" spans="1:13" ht="15" thickBot="1">
      <c r="A61" s="197"/>
      <c r="B61" s="172"/>
      <c r="C61" s="185"/>
      <c r="D61" s="185"/>
      <c r="E61" s="172"/>
      <c r="F61" s="172"/>
      <c r="G61" s="187"/>
      <c r="H61" s="118" t="s">
        <v>576</v>
      </c>
      <c r="I61" s="105" t="s">
        <v>577</v>
      </c>
      <c r="J61" s="105" t="s">
        <v>578</v>
      </c>
      <c r="K61" s="172"/>
      <c r="L61" s="172"/>
      <c r="M61" s="167"/>
    </row>
    <row r="62" spans="2:13" ht="15.75">
      <c r="B62" s="168" t="s">
        <v>16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8"/>
    </row>
    <row r="63" spans="1:13" ht="12.75">
      <c r="A63" s="32">
        <v>1</v>
      </c>
      <c r="B63" s="25" t="s">
        <v>753</v>
      </c>
      <c r="C63" s="107" t="s">
        <v>754</v>
      </c>
      <c r="D63" s="107" t="s">
        <v>475</v>
      </c>
      <c r="E63" s="107" t="s">
        <v>755</v>
      </c>
      <c r="F63" s="107" t="s">
        <v>13</v>
      </c>
      <c r="G63" s="107" t="s">
        <v>450</v>
      </c>
      <c r="H63" s="119" t="s">
        <v>139</v>
      </c>
      <c r="I63" s="119" t="s">
        <v>147</v>
      </c>
      <c r="J63" s="120" t="s">
        <v>312</v>
      </c>
      <c r="K63" s="121" t="s">
        <v>147</v>
      </c>
      <c r="L63" s="121" t="s">
        <v>756</v>
      </c>
      <c r="M63" s="107" t="s">
        <v>64</v>
      </c>
    </row>
    <row r="64" spans="2:13" ht="12.7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2:13" ht="12.7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</sheetData>
  <sheetProtection/>
  <mergeCells count="65">
    <mergeCell ref="A47:A48"/>
    <mergeCell ref="B47:M47"/>
    <mergeCell ref="B48:M48"/>
    <mergeCell ref="B49:M49"/>
    <mergeCell ref="A50:A51"/>
    <mergeCell ref="B50:B51"/>
    <mergeCell ref="G50:G51"/>
    <mergeCell ref="H50:J50"/>
    <mergeCell ref="L50:L51"/>
    <mergeCell ref="M50:M51"/>
    <mergeCell ref="B52:L52"/>
    <mergeCell ref="B55:L55"/>
    <mergeCell ref="K50:K51"/>
    <mergeCell ref="B31:L31"/>
    <mergeCell ref="B38:L38"/>
    <mergeCell ref="B41:L41"/>
    <mergeCell ref="B44:L44"/>
    <mergeCell ref="B58:M59"/>
    <mergeCell ref="C50:C51"/>
    <mergeCell ref="D50:D51"/>
    <mergeCell ref="E50:E51"/>
    <mergeCell ref="F50:F51"/>
    <mergeCell ref="A60:A61"/>
    <mergeCell ref="B60:B61"/>
    <mergeCell ref="C60:C61"/>
    <mergeCell ref="D60:D61"/>
    <mergeCell ref="E60:E61"/>
    <mergeCell ref="B20:L20"/>
    <mergeCell ref="B23:M23"/>
    <mergeCell ref="F60:F61"/>
    <mergeCell ref="G60:G61"/>
    <mergeCell ref="H60:J60"/>
    <mergeCell ref="A3:A4"/>
    <mergeCell ref="K3:K4"/>
    <mergeCell ref="H3:J3"/>
    <mergeCell ref="G3:G4"/>
    <mergeCell ref="F3:F4"/>
    <mergeCell ref="E3:E4"/>
    <mergeCell ref="D3:D4"/>
    <mergeCell ref="G25:G26"/>
    <mergeCell ref="C3:C4"/>
    <mergeCell ref="B3:B4"/>
    <mergeCell ref="B8:L8"/>
    <mergeCell ref="B13:L13"/>
    <mergeCell ref="B16:L16"/>
    <mergeCell ref="M25:M26"/>
    <mergeCell ref="K60:K61"/>
    <mergeCell ref="L60:L61"/>
    <mergeCell ref="B24:M24"/>
    <mergeCell ref="A25:A26"/>
    <mergeCell ref="B25:B26"/>
    <mergeCell ref="C25:C26"/>
    <mergeCell ref="D25:D26"/>
    <mergeCell ref="E25:E26"/>
    <mergeCell ref="F25:F26"/>
    <mergeCell ref="B27:L27"/>
    <mergeCell ref="B1:M2"/>
    <mergeCell ref="M60:M61"/>
    <mergeCell ref="B62:L62"/>
    <mergeCell ref="H25:J25"/>
    <mergeCell ref="K25:K26"/>
    <mergeCell ref="L3:L4"/>
    <mergeCell ref="M3:M4"/>
    <mergeCell ref="B5:L5"/>
    <mergeCell ref="L25:L26"/>
  </mergeCell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B12" sqref="B12:M12"/>
    </sheetView>
  </sheetViews>
  <sheetFormatPr defaultColWidth="8.75390625" defaultRowHeight="12.75"/>
  <cols>
    <col min="1" max="1" width="9.125" style="32" customWidth="1"/>
    <col min="2" max="2" width="21.75390625" style="18" customWidth="1"/>
    <col min="3" max="3" width="26.875" style="18" bestFit="1" customWidth="1"/>
    <col min="4" max="4" width="10.625" style="18" bestFit="1" customWidth="1"/>
    <col min="5" max="5" width="8.375" style="18" bestFit="1" customWidth="1"/>
    <col min="6" max="6" width="16.125" style="18" customWidth="1"/>
    <col min="7" max="7" width="36.25390625" style="18" customWidth="1"/>
    <col min="8" max="10" width="5.625" style="18" bestFit="1" customWidth="1"/>
    <col min="11" max="11" width="4.625" style="18" bestFit="1" customWidth="1"/>
    <col min="12" max="12" width="12.125" style="18" customWidth="1"/>
    <col min="13" max="13" width="8.625" style="18" bestFit="1" customWidth="1"/>
    <col min="14" max="14" width="15.75390625" style="18" bestFit="1" customWidth="1"/>
  </cols>
  <sheetData>
    <row r="1" spans="1:14" s="1" customFormat="1" ht="15" customHeight="1">
      <c r="A1" s="43"/>
      <c r="B1" s="212" t="s">
        <v>737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1" customFormat="1" ht="111.75" customHeight="1" thickBot="1">
      <c r="A2" s="43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2" customFormat="1" ht="12.75" customHeight="1">
      <c r="A3" s="205" t="s">
        <v>446</v>
      </c>
      <c r="B3" s="216" t="s">
        <v>0</v>
      </c>
      <c r="C3" s="220" t="s">
        <v>447</v>
      </c>
      <c r="D3" s="220" t="s">
        <v>448</v>
      </c>
      <c r="E3" s="207" t="s">
        <v>9</v>
      </c>
      <c r="F3" s="207" t="s">
        <v>7</v>
      </c>
      <c r="G3" s="218" t="s">
        <v>449</v>
      </c>
      <c r="H3" s="207" t="s">
        <v>2</v>
      </c>
      <c r="I3" s="207"/>
      <c r="J3" s="207"/>
      <c r="K3" s="207"/>
      <c r="L3" s="207" t="s">
        <v>453</v>
      </c>
      <c r="M3" s="207" t="s">
        <v>6</v>
      </c>
      <c r="N3" s="209" t="s">
        <v>5</v>
      </c>
    </row>
    <row r="4" spans="1:14" s="2" customFormat="1" ht="21" customHeight="1" thickBot="1">
      <c r="A4" s="206"/>
      <c r="B4" s="217"/>
      <c r="C4" s="208"/>
      <c r="D4" s="208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208"/>
      <c r="M4" s="208"/>
      <c r="N4" s="210"/>
    </row>
    <row r="5" spans="2:13" ht="15.75">
      <c r="B5" s="211" t="s">
        <v>16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4" ht="12.75">
      <c r="A6" s="32">
        <v>1</v>
      </c>
      <c r="B6" s="19" t="s">
        <v>267</v>
      </c>
      <c r="C6" s="19" t="s">
        <v>268</v>
      </c>
      <c r="D6" s="19" t="s">
        <v>526</v>
      </c>
      <c r="E6" s="19" t="str">
        <f>"0,6483"</f>
        <v>0,6483</v>
      </c>
      <c r="F6" s="19" t="s">
        <v>269</v>
      </c>
      <c r="G6" s="19" t="s">
        <v>487</v>
      </c>
      <c r="H6" s="51" t="s">
        <v>93</v>
      </c>
      <c r="I6" s="56" t="s">
        <v>96</v>
      </c>
      <c r="J6" s="56" t="s">
        <v>96</v>
      </c>
      <c r="K6" s="20"/>
      <c r="L6" s="38" t="s">
        <v>93</v>
      </c>
      <c r="M6" s="38" t="str">
        <f>"123,1770"</f>
        <v>123,1770</v>
      </c>
      <c r="N6" s="19" t="s">
        <v>530</v>
      </c>
    </row>
    <row r="7" spans="1:14" ht="12.75">
      <c r="A7" s="32">
        <v>2</v>
      </c>
      <c r="B7" s="21" t="s">
        <v>270</v>
      </c>
      <c r="C7" s="21" t="s">
        <v>271</v>
      </c>
      <c r="D7" s="21" t="s">
        <v>527</v>
      </c>
      <c r="E7" s="21" t="str">
        <f>"0,6413"</f>
        <v>0,6413</v>
      </c>
      <c r="F7" s="21" t="s">
        <v>269</v>
      </c>
      <c r="G7" s="21" t="s">
        <v>487</v>
      </c>
      <c r="H7" s="53" t="s">
        <v>80</v>
      </c>
      <c r="I7" s="54" t="s">
        <v>120</v>
      </c>
      <c r="J7" s="54" t="s">
        <v>120</v>
      </c>
      <c r="K7" s="22"/>
      <c r="L7" s="49">
        <v>177.5</v>
      </c>
      <c r="M7" s="49" t="str">
        <f>"113,8308"</f>
        <v>113,8308</v>
      </c>
      <c r="N7" s="21" t="s">
        <v>531</v>
      </c>
    </row>
    <row r="8" spans="1:14" ht="12.75">
      <c r="A8" s="32">
        <v>3</v>
      </c>
      <c r="B8" s="21" t="s">
        <v>272</v>
      </c>
      <c r="C8" s="21" t="s">
        <v>273</v>
      </c>
      <c r="D8" s="21" t="s">
        <v>528</v>
      </c>
      <c r="E8" s="21" t="str">
        <f>"0,6410"</f>
        <v>0,6410</v>
      </c>
      <c r="F8" s="21" t="s">
        <v>19</v>
      </c>
      <c r="G8" s="21" t="s">
        <v>487</v>
      </c>
      <c r="H8" s="54" t="s">
        <v>43</v>
      </c>
      <c r="I8" s="53" t="s">
        <v>43</v>
      </c>
      <c r="J8" s="54" t="s">
        <v>220</v>
      </c>
      <c r="K8" s="22"/>
      <c r="L8" s="49">
        <v>152.5</v>
      </c>
      <c r="M8" s="49" t="str">
        <f>"97,7525"</f>
        <v>97,7525</v>
      </c>
      <c r="N8" s="21" t="s">
        <v>64</v>
      </c>
    </row>
    <row r="9" spans="1:14" ht="12.75">
      <c r="A9" s="32">
        <v>4</v>
      </c>
      <c r="B9" s="21" t="s">
        <v>274</v>
      </c>
      <c r="C9" s="21" t="s">
        <v>275</v>
      </c>
      <c r="D9" s="21" t="s">
        <v>526</v>
      </c>
      <c r="E9" s="21" t="str">
        <f>"0,6483"</f>
        <v>0,6483</v>
      </c>
      <c r="F9" s="21" t="s">
        <v>269</v>
      </c>
      <c r="G9" s="21" t="s">
        <v>487</v>
      </c>
      <c r="H9" s="53" t="s">
        <v>87</v>
      </c>
      <c r="I9" s="53" t="s">
        <v>46</v>
      </c>
      <c r="J9" s="54" t="s">
        <v>41</v>
      </c>
      <c r="K9" s="22"/>
      <c r="L9" s="49">
        <v>137.5</v>
      </c>
      <c r="M9" s="49" t="str">
        <f>"89,1412"</f>
        <v>89,1412</v>
      </c>
      <c r="N9" s="21" t="s">
        <v>531</v>
      </c>
    </row>
    <row r="10" spans="1:14" ht="12.75">
      <c r="A10" s="32">
        <v>1</v>
      </c>
      <c r="B10" s="23" t="s">
        <v>270</v>
      </c>
      <c r="C10" s="23" t="s">
        <v>276</v>
      </c>
      <c r="D10" s="23" t="s">
        <v>527</v>
      </c>
      <c r="E10" s="23" t="str">
        <f>"0,6413"</f>
        <v>0,6413</v>
      </c>
      <c r="F10" s="23" t="s">
        <v>269</v>
      </c>
      <c r="G10" s="23" t="s">
        <v>487</v>
      </c>
      <c r="H10" s="52" t="s">
        <v>80</v>
      </c>
      <c r="I10" s="55" t="s">
        <v>120</v>
      </c>
      <c r="J10" s="55" t="s">
        <v>120</v>
      </c>
      <c r="K10" s="24"/>
      <c r="L10" s="47">
        <v>177.5</v>
      </c>
      <c r="M10" s="47" t="str">
        <f>"147,6385"</f>
        <v>147,6385</v>
      </c>
      <c r="N10" s="23" t="s">
        <v>531</v>
      </c>
    </row>
    <row r="12" spans="2:13" ht="15.75">
      <c r="B12" s="204" t="s">
        <v>89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</row>
    <row r="13" spans="1:14" ht="12.75">
      <c r="A13" s="32">
        <v>1</v>
      </c>
      <c r="B13" s="25" t="s">
        <v>277</v>
      </c>
      <c r="C13" s="25" t="s">
        <v>278</v>
      </c>
      <c r="D13" s="25" t="s">
        <v>529</v>
      </c>
      <c r="E13" s="25" t="str">
        <f>"0,5970"</f>
        <v>0,5970</v>
      </c>
      <c r="F13" s="25" t="s">
        <v>269</v>
      </c>
      <c r="G13" s="25" t="s">
        <v>450</v>
      </c>
      <c r="H13" s="37" t="s">
        <v>22</v>
      </c>
      <c r="I13" s="37" t="s">
        <v>22</v>
      </c>
      <c r="J13" s="36" t="s">
        <v>22</v>
      </c>
      <c r="K13" s="26"/>
      <c r="L13" s="33">
        <v>162.5</v>
      </c>
      <c r="M13" s="33" t="str">
        <f>"97,0125"</f>
        <v>97,0125</v>
      </c>
      <c r="N13" s="25" t="s">
        <v>531</v>
      </c>
    </row>
  </sheetData>
  <sheetProtection/>
  <mergeCells count="14">
    <mergeCell ref="A3:A4"/>
    <mergeCell ref="L3:L4"/>
    <mergeCell ref="M3:M4"/>
    <mergeCell ref="N3:N4"/>
    <mergeCell ref="B5:M5"/>
    <mergeCell ref="B12:M12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F11" sqref="F11"/>
    </sheetView>
  </sheetViews>
  <sheetFormatPr defaultColWidth="8.75390625" defaultRowHeight="12.75"/>
  <cols>
    <col min="1" max="1" width="7.375" style="0" customWidth="1"/>
    <col min="2" max="2" width="17.00390625" style="18" customWidth="1"/>
    <col min="3" max="3" width="26.875" style="18" bestFit="1" customWidth="1"/>
    <col min="4" max="4" width="10.625" style="18" bestFit="1" customWidth="1"/>
    <col min="5" max="5" width="8.375" style="18" bestFit="1" customWidth="1"/>
    <col min="6" max="6" width="20.625" style="18" customWidth="1"/>
    <col min="7" max="7" width="36.625" style="18" customWidth="1"/>
    <col min="8" max="10" width="5.625" style="18" bestFit="1" customWidth="1"/>
    <col min="11" max="11" width="4.625" style="18" bestFit="1" customWidth="1"/>
    <col min="12" max="12" width="11.125" style="18" customWidth="1"/>
    <col min="13" max="13" width="8.625" style="18" bestFit="1" customWidth="1"/>
    <col min="14" max="14" width="15.75390625" style="18" bestFit="1" customWidth="1"/>
  </cols>
  <sheetData>
    <row r="1" spans="1:14" s="1" customFormat="1" ht="15" customHeight="1">
      <c r="A1" s="43"/>
      <c r="B1" s="212" t="s">
        <v>736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1" customFormat="1" ht="81" customHeight="1" thickBot="1">
      <c r="A2" s="43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2" customFormat="1" ht="12.75" customHeight="1">
      <c r="A3" s="205" t="s">
        <v>446</v>
      </c>
      <c r="B3" s="216" t="s">
        <v>0</v>
      </c>
      <c r="C3" s="220" t="s">
        <v>447</v>
      </c>
      <c r="D3" s="220" t="s">
        <v>448</v>
      </c>
      <c r="E3" s="207" t="s">
        <v>9</v>
      </c>
      <c r="F3" s="207" t="s">
        <v>7</v>
      </c>
      <c r="G3" s="218" t="s">
        <v>449</v>
      </c>
      <c r="H3" s="207" t="s">
        <v>2</v>
      </c>
      <c r="I3" s="207"/>
      <c r="J3" s="207"/>
      <c r="K3" s="207"/>
      <c r="L3" s="207" t="s">
        <v>453</v>
      </c>
      <c r="M3" s="207" t="s">
        <v>6</v>
      </c>
      <c r="N3" s="209" t="s">
        <v>5</v>
      </c>
    </row>
    <row r="4" spans="1:14" s="2" customFormat="1" ht="21" customHeight="1" thickBot="1">
      <c r="A4" s="206"/>
      <c r="B4" s="217"/>
      <c r="C4" s="208"/>
      <c r="D4" s="208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208"/>
      <c r="M4" s="208"/>
      <c r="N4" s="210"/>
    </row>
    <row r="5" spans="2:13" ht="15.75">
      <c r="B5" s="211" t="s">
        <v>16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4" ht="12.75">
      <c r="A6" s="32">
        <v>1</v>
      </c>
      <c r="B6" s="25" t="s">
        <v>253</v>
      </c>
      <c r="C6" s="25" t="s">
        <v>254</v>
      </c>
      <c r="D6" s="25" t="s">
        <v>316</v>
      </c>
      <c r="E6" s="25" t="str">
        <f>"0,6384"</f>
        <v>0,6384</v>
      </c>
      <c r="F6" s="25" t="s">
        <v>110</v>
      </c>
      <c r="G6" s="25" t="s">
        <v>450</v>
      </c>
      <c r="H6" s="36" t="s">
        <v>255</v>
      </c>
      <c r="I6" s="36" t="s">
        <v>256</v>
      </c>
      <c r="J6" s="37" t="s">
        <v>257</v>
      </c>
      <c r="K6" s="34"/>
      <c r="L6" s="33" t="s">
        <v>256</v>
      </c>
      <c r="M6" s="45" t="str">
        <f>"150,0240"</f>
        <v>150,0240</v>
      </c>
      <c r="N6" s="25" t="s">
        <v>258</v>
      </c>
    </row>
    <row r="8" spans="2:13" ht="15.75">
      <c r="B8" s="204" t="s">
        <v>65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</row>
    <row r="9" spans="1:14" ht="12.75">
      <c r="A9" s="32">
        <v>1</v>
      </c>
      <c r="B9" s="25" t="s">
        <v>74</v>
      </c>
      <c r="C9" s="25" t="s">
        <v>88</v>
      </c>
      <c r="D9" s="25" t="s">
        <v>532</v>
      </c>
      <c r="E9" s="25" t="str">
        <f>"0,6108"</f>
        <v>0,6108</v>
      </c>
      <c r="F9" s="25" t="s">
        <v>19</v>
      </c>
      <c r="G9" s="25" t="s">
        <v>76</v>
      </c>
      <c r="H9" s="36" t="s">
        <v>255</v>
      </c>
      <c r="I9" s="37" t="s">
        <v>259</v>
      </c>
      <c r="J9" s="39" t="s">
        <v>259</v>
      </c>
      <c r="K9" s="34"/>
      <c r="L9" s="33" t="s">
        <v>259</v>
      </c>
      <c r="M9" s="45" t="str">
        <f>"147,3250"</f>
        <v>147,3250</v>
      </c>
      <c r="N9" s="25" t="s">
        <v>64</v>
      </c>
    </row>
  </sheetData>
  <sheetProtection/>
  <mergeCells count="14">
    <mergeCell ref="A3:A4"/>
    <mergeCell ref="L3:L4"/>
    <mergeCell ref="M3:M4"/>
    <mergeCell ref="N3:N4"/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F16" sqref="F16"/>
    </sheetView>
  </sheetViews>
  <sheetFormatPr defaultColWidth="11.375" defaultRowHeight="12.75"/>
  <cols>
    <col min="1" max="1" width="6.875" style="1" customWidth="1"/>
    <col min="2" max="2" width="19.125" style="4" customWidth="1"/>
    <col min="3" max="3" width="27.00390625" style="1" customWidth="1"/>
    <col min="4" max="4" width="10.625" style="1" bestFit="1" customWidth="1"/>
    <col min="5" max="5" width="8.375" style="1" bestFit="1" customWidth="1"/>
    <col min="6" max="6" width="22.75390625" style="5" bestFit="1" customWidth="1"/>
    <col min="7" max="7" width="32.375" style="5" customWidth="1"/>
    <col min="8" max="10" width="5.625" style="1" bestFit="1" customWidth="1"/>
    <col min="11" max="11" width="4.625" style="1" bestFit="1" customWidth="1"/>
    <col min="12" max="12" width="7.875" style="4" bestFit="1" customWidth="1"/>
    <col min="13" max="13" width="8.625" style="1" bestFit="1" customWidth="1"/>
    <col min="14" max="14" width="15.75390625" style="5" bestFit="1" customWidth="1"/>
    <col min="15" max="16384" width="11.375" style="1" customWidth="1"/>
  </cols>
  <sheetData>
    <row r="1" spans="2:14" ht="15" customHeight="1">
      <c r="B1" s="212" t="s">
        <v>730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2:14" ht="78" customHeight="1" thickBot="1"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2" customFormat="1" ht="12.75" customHeight="1">
      <c r="A3" s="205" t="s">
        <v>446</v>
      </c>
      <c r="B3" s="216" t="s">
        <v>0</v>
      </c>
      <c r="C3" s="188" t="s">
        <v>447</v>
      </c>
      <c r="D3" s="188" t="s">
        <v>448</v>
      </c>
      <c r="E3" s="207" t="s">
        <v>617</v>
      </c>
      <c r="F3" s="207" t="s">
        <v>7</v>
      </c>
      <c r="G3" s="218" t="s">
        <v>449</v>
      </c>
      <c r="H3" s="207" t="s">
        <v>2</v>
      </c>
      <c r="I3" s="207"/>
      <c r="J3" s="207"/>
      <c r="K3" s="207"/>
      <c r="L3" s="207" t="s">
        <v>4</v>
      </c>
      <c r="M3" s="207" t="s">
        <v>6</v>
      </c>
      <c r="N3" s="209" t="s">
        <v>5</v>
      </c>
    </row>
    <row r="4" spans="1:14" s="2" customFormat="1" ht="21" customHeight="1" thickBot="1">
      <c r="A4" s="206"/>
      <c r="B4" s="217"/>
      <c r="C4" s="174"/>
      <c r="D4" s="174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208"/>
      <c r="M4" s="208"/>
      <c r="N4" s="210"/>
    </row>
    <row r="5" spans="2:13" ht="15.75">
      <c r="B5" s="177" t="s">
        <v>16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4" ht="12.75">
      <c r="A6" s="43" t="s">
        <v>576</v>
      </c>
      <c r="B6" s="40" t="s">
        <v>202</v>
      </c>
      <c r="C6" s="7" t="s">
        <v>203</v>
      </c>
      <c r="D6" s="7" t="s">
        <v>562</v>
      </c>
      <c r="E6" s="7" t="str">
        <f>"0,6173"</f>
        <v>0,6173</v>
      </c>
      <c r="F6" s="7" t="s">
        <v>110</v>
      </c>
      <c r="G6" s="7" t="s">
        <v>699</v>
      </c>
      <c r="H6" s="36" t="s">
        <v>80</v>
      </c>
      <c r="I6" s="36" t="s">
        <v>71</v>
      </c>
      <c r="J6" s="102" t="s">
        <v>96</v>
      </c>
      <c r="K6" s="101"/>
      <c r="L6" s="99" t="s">
        <v>71</v>
      </c>
      <c r="M6" s="99" t="str">
        <f>"114,2005"</f>
        <v>114,2005</v>
      </c>
      <c r="N6" s="7" t="s">
        <v>64</v>
      </c>
    </row>
  </sheetData>
  <sheetProtection/>
  <mergeCells count="13"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35">
      <selection activeCell="F43" sqref="F43"/>
    </sheetView>
  </sheetViews>
  <sheetFormatPr defaultColWidth="8.75390625" defaultRowHeight="12.75"/>
  <cols>
    <col min="1" max="1" width="7.875" style="32" customWidth="1"/>
    <col min="2" max="2" width="21.625" style="18" customWidth="1"/>
    <col min="3" max="3" width="27.125" style="18" bestFit="1" customWidth="1"/>
    <col min="4" max="4" width="10.625" style="18" bestFit="1" customWidth="1"/>
    <col min="5" max="5" width="8.375" style="18" bestFit="1" customWidth="1"/>
    <col min="6" max="6" width="19.625" style="18" customWidth="1"/>
    <col min="7" max="7" width="36.125" style="18" bestFit="1" customWidth="1"/>
    <col min="8" max="10" width="5.625" style="18" bestFit="1" customWidth="1"/>
    <col min="11" max="11" width="4.625" style="18" bestFit="1" customWidth="1"/>
    <col min="12" max="12" width="11.25390625" style="18" customWidth="1"/>
    <col min="13" max="13" width="8.625" style="18" bestFit="1" customWidth="1"/>
    <col min="14" max="14" width="15.25390625" style="18" customWidth="1"/>
  </cols>
  <sheetData>
    <row r="1" spans="1:14" s="1" customFormat="1" ht="15" customHeight="1">
      <c r="A1" s="43"/>
      <c r="B1" s="212" t="s">
        <v>732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1" customFormat="1" ht="111.75" customHeight="1" thickBot="1">
      <c r="A2" s="43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2" customFormat="1" ht="12.75" customHeight="1">
      <c r="A3" s="205" t="s">
        <v>446</v>
      </c>
      <c r="B3" s="216" t="s">
        <v>0</v>
      </c>
      <c r="C3" s="220" t="s">
        <v>447</v>
      </c>
      <c r="D3" s="220" t="s">
        <v>448</v>
      </c>
      <c r="E3" s="207" t="s">
        <v>9</v>
      </c>
      <c r="F3" s="207" t="s">
        <v>7</v>
      </c>
      <c r="G3" s="218" t="s">
        <v>449</v>
      </c>
      <c r="H3" s="207" t="s">
        <v>2</v>
      </c>
      <c r="I3" s="207"/>
      <c r="J3" s="207"/>
      <c r="K3" s="207"/>
      <c r="L3" s="207" t="s">
        <v>453</v>
      </c>
      <c r="M3" s="207" t="s">
        <v>6</v>
      </c>
      <c r="N3" s="209" t="s">
        <v>5</v>
      </c>
    </row>
    <row r="4" spans="1:14" s="2" customFormat="1" ht="21" customHeight="1" thickBot="1">
      <c r="A4" s="206"/>
      <c r="B4" s="217"/>
      <c r="C4" s="208"/>
      <c r="D4" s="208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208"/>
      <c r="M4" s="208"/>
      <c r="N4" s="210"/>
    </row>
    <row r="5" spans="2:13" ht="15.75">
      <c r="B5" s="211" t="s">
        <v>136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4" ht="12.75">
      <c r="A6" s="32">
        <v>1</v>
      </c>
      <c r="B6" s="19" t="s">
        <v>137</v>
      </c>
      <c r="C6" s="19" t="s">
        <v>138</v>
      </c>
      <c r="D6" s="19" t="s">
        <v>465</v>
      </c>
      <c r="E6" s="19" t="str">
        <f>"1,2504"</f>
        <v>1,2504</v>
      </c>
      <c r="F6" s="19" t="s">
        <v>79</v>
      </c>
      <c r="G6" s="19" t="s">
        <v>487</v>
      </c>
      <c r="H6" s="66" t="s">
        <v>139</v>
      </c>
      <c r="I6" s="66" t="s">
        <v>140</v>
      </c>
      <c r="J6" s="70" t="s">
        <v>141</v>
      </c>
      <c r="K6" s="61"/>
      <c r="L6" s="57">
        <v>42.5</v>
      </c>
      <c r="M6" s="57" t="str">
        <f>"53,1420"</f>
        <v>53,1420</v>
      </c>
      <c r="N6" s="19" t="s">
        <v>480</v>
      </c>
    </row>
    <row r="7" spans="1:14" ht="12.75">
      <c r="A7" s="32">
        <v>1</v>
      </c>
      <c r="B7" s="21" t="s">
        <v>142</v>
      </c>
      <c r="C7" s="21" t="s">
        <v>143</v>
      </c>
      <c r="D7" s="21" t="s">
        <v>547</v>
      </c>
      <c r="E7" s="21" t="str">
        <f>"1,2750"</f>
        <v>1,2750</v>
      </c>
      <c r="F7" s="21" t="s">
        <v>19</v>
      </c>
      <c r="G7" s="21" t="s">
        <v>487</v>
      </c>
      <c r="H7" s="71" t="s">
        <v>141</v>
      </c>
      <c r="I7" s="68" t="s">
        <v>141</v>
      </c>
      <c r="J7" s="71" t="s">
        <v>144</v>
      </c>
      <c r="K7" s="63"/>
      <c r="L7" s="60">
        <v>45</v>
      </c>
      <c r="M7" s="60" t="str">
        <f>"57,3750"</f>
        <v>57,3750</v>
      </c>
      <c r="N7" s="21" t="s">
        <v>64</v>
      </c>
    </row>
    <row r="8" spans="1:14" ht="12.75">
      <c r="A8" s="32">
        <v>2</v>
      </c>
      <c r="B8" s="21" t="s">
        <v>145</v>
      </c>
      <c r="C8" s="21" t="s">
        <v>146</v>
      </c>
      <c r="D8" s="21" t="s">
        <v>548</v>
      </c>
      <c r="E8" s="21" t="str">
        <f>"1,2616"</f>
        <v>1,2616</v>
      </c>
      <c r="F8" s="21" t="s">
        <v>19</v>
      </c>
      <c r="G8" s="21" t="s">
        <v>487</v>
      </c>
      <c r="H8" s="68" t="s">
        <v>139</v>
      </c>
      <c r="I8" s="68" t="s">
        <v>141</v>
      </c>
      <c r="J8" s="71" t="s">
        <v>147</v>
      </c>
      <c r="K8" s="63"/>
      <c r="L8" s="60">
        <v>45</v>
      </c>
      <c r="M8" s="60" t="str">
        <f>"56,7720"</f>
        <v>56,7720</v>
      </c>
      <c r="N8" s="21" t="s">
        <v>521</v>
      </c>
    </row>
    <row r="9" spans="1:14" ht="12.75">
      <c r="A9" s="32">
        <v>3</v>
      </c>
      <c r="B9" s="21" t="s">
        <v>148</v>
      </c>
      <c r="C9" s="21" t="s">
        <v>149</v>
      </c>
      <c r="D9" s="21" t="s">
        <v>549</v>
      </c>
      <c r="E9" s="21" t="str">
        <f>"1,2730"</f>
        <v>1,2730</v>
      </c>
      <c r="F9" s="21" t="s">
        <v>19</v>
      </c>
      <c r="G9" s="21" t="s">
        <v>150</v>
      </c>
      <c r="H9" s="68" t="s">
        <v>151</v>
      </c>
      <c r="I9" s="71" t="s">
        <v>152</v>
      </c>
      <c r="J9" s="71" t="s">
        <v>152</v>
      </c>
      <c r="K9" s="63"/>
      <c r="L9" s="60">
        <v>35</v>
      </c>
      <c r="M9" s="60" t="str">
        <f>"44,5550"</f>
        <v>44,5550</v>
      </c>
      <c r="N9" s="21" t="s">
        <v>535</v>
      </c>
    </row>
    <row r="10" spans="1:14" ht="12.75">
      <c r="A10" s="32">
        <v>4</v>
      </c>
      <c r="B10" s="23" t="s">
        <v>153</v>
      </c>
      <c r="C10" s="23" t="s">
        <v>154</v>
      </c>
      <c r="D10" s="23" t="s">
        <v>550</v>
      </c>
      <c r="E10" s="23" t="str">
        <f>"1,2673"</f>
        <v>1,2673</v>
      </c>
      <c r="F10" s="23" t="s">
        <v>110</v>
      </c>
      <c r="G10" s="23" t="s">
        <v>487</v>
      </c>
      <c r="H10" s="67" t="s">
        <v>155</v>
      </c>
      <c r="I10" s="67" t="s">
        <v>151</v>
      </c>
      <c r="J10" s="72" t="s">
        <v>152</v>
      </c>
      <c r="K10" s="62"/>
      <c r="L10" s="58">
        <v>35</v>
      </c>
      <c r="M10" s="58" t="str">
        <f>"44,3555"</f>
        <v>44,3555</v>
      </c>
      <c r="N10" s="23" t="s">
        <v>64</v>
      </c>
    </row>
    <row r="12" spans="2:13" ht="15.75">
      <c r="B12" s="204" t="s">
        <v>156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</row>
    <row r="13" spans="1:14" ht="12.75">
      <c r="A13" s="32">
        <v>1</v>
      </c>
      <c r="B13" s="25" t="s">
        <v>157</v>
      </c>
      <c r="C13" s="25" t="s">
        <v>158</v>
      </c>
      <c r="D13" s="25" t="s">
        <v>551</v>
      </c>
      <c r="E13" s="25" t="str">
        <f>"1,2019"</f>
        <v>1,2019</v>
      </c>
      <c r="F13" s="25" t="s">
        <v>110</v>
      </c>
      <c r="G13" s="25" t="s">
        <v>459</v>
      </c>
      <c r="H13" s="69" t="s">
        <v>140</v>
      </c>
      <c r="I13" s="73" t="s">
        <v>147</v>
      </c>
      <c r="J13" s="73" t="s">
        <v>147</v>
      </c>
      <c r="K13" s="64"/>
      <c r="L13" s="59">
        <v>42.5</v>
      </c>
      <c r="M13" s="59" t="str">
        <f>"51,0808"</f>
        <v>51,0808</v>
      </c>
      <c r="N13" s="25" t="s">
        <v>64</v>
      </c>
    </row>
    <row r="15" spans="2:13" ht="15.75">
      <c r="B15" s="204" t="s">
        <v>159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</row>
    <row r="16" spans="1:14" ht="12.75">
      <c r="A16" s="32">
        <v>1</v>
      </c>
      <c r="B16" s="25" t="s">
        <v>160</v>
      </c>
      <c r="C16" s="25" t="s">
        <v>161</v>
      </c>
      <c r="D16" s="25" t="s">
        <v>552</v>
      </c>
      <c r="E16" s="25" t="str">
        <f>"1,1163"</f>
        <v>1,1163</v>
      </c>
      <c r="F16" s="25" t="s">
        <v>19</v>
      </c>
      <c r="G16" s="25" t="s">
        <v>450</v>
      </c>
      <c r="H16" s="69" t="s">
        <v>162</v>
      </c>
      <c r="I16" s="73" t="s">
        <v>163</v>
      </c>
      <c r="J16" s="69" t="s">
        <v>163</v>
      </c>
      <c r="K16" s="64"/>
      <c r="L16" s="59">
        <v>67.5</v>
      </c>
      <c r="M16" s="59" t="str">
        <f>"75,3502"</f>
        <v>75,3502</v>
      </c>
      <c r="N16" s="25" t="s">
        <v>64</v>
      </c>
    </row>
    <row r="18" spans="2:13" ht="15.75">
      <c r="B18" s="204" t="s">
        <v>136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</row>
    <row r="19" spans="1:14" ht="12.75">
      <c r="A19" s="32">
        <v>1</v>
      </c>
      <c r="B19" s="19" t="s">
        <v>164</v>
      </c>
      <c r="C19" s="19" t="s">
        <v>165</v>
      </c>
      <c r="D19" s="19" t="s">
        <v>553</v>
      </c>
      <c r="E19" s="19" t="str">
        <f>"1,3354"</f>
        <v>1,3354</v>
      </c>
      <c r="F19" s="19" t="s">
        <v>19</v>
      </c>
      <c r="G19" s="19" t="s">
        <v>166</v>
      </c>
      <c r="H19" s="66" t="s">
        <v>167</v>
      </c>
      <c r="I19" s="66" t="s">
        <v>168</v>
      </c>
      <c r="J19" s="66" t="s">
        <v>169</v>
      </c>
      <c r="K19" s="61"/>
      <c r="L19" s="57">
        <v>25</v>
      </c>
      <c r="M19" s="57" t="str">
        <f>"33,3850"</f>
        <v>33,3850</v>
      </c>
      <c r="N19" s="19" t="s">
        <v>485</v>
      </c>
    </row>
    <row r="20" spans="1:14" ht="12.75">
      <c r="A20" s="32">
        <v>1</v>
      </c>
      <c r="B20" s="23" t="s">
        <v>164</v>
      </c>
      <c r="C20" s="23" t="s">
        <v>170</v>
      </c>
      <c r="D20" s="23" t="s">
        <v>553</v>
      </c>
      <c r="E20" s="23" t="str">
        <f>"1,3354"</f>
        <v>1,3354</v>
      </c>
      <c r="F20" s="23" t="s">
        <v>19</v>
      </c>
      <c r="G20" s="23" t="s">
        <v>166</v>
      </c>
      <c r="H20" s="67" t="s">
        <v>167</v>
      </c>
      <c r="I20" s="67" t="s">
        <v>168</v>
      </c>
      <c r="J20" s="67" t="s">
        <v>169</v>
      </c>
      <c r="K20" s="62"/>
      <c r="L20" s="58">
        <v>25</v>
      </c>
      <c r="M20" s="58" t="str">
        <f>"33,3850"</f>
        <v>33,3850</v>
      </c>
      <c r="N20" s="23" t="s">
        <v>485</v>
      </c>
    </row>
    <row r="22" spans="2:13" ht="15.75">
      <c r="B22" s="204" t="s">
        <v>10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</row>
    <row r="23" spans="1:14" ht="12.75">
      <c r="A23" s="32">
        <v>1</v>
      </c>
      <c r="B23" s="25" t="s">
        <v>171</v>
      </c>
      <c r="C23" s="25" t="s">
        <v>172</v>
      </c>
      <c r="D23" s="25" t="s">
        <v>554</v>
      </c>
      <c r="E23" s="25" t="str">
        <f>"0,7832"</f>
        <v>0,7832</v>
      </c>
      <c r="F23" s="25" t="s">
        <v>19</v>
      </c>
      <c r="G23" s="25" t="s">
        <v>173</v>
      </c>
      <c r="H23" s="69" t="s">
        <v>27</v>
      </c>
      <c r="I23" s="73" t="s">
        <v>85</v>
      </c>
      <c r="J23" s="73" t="s">
        <v>85</v>
      </c>
      <c r="K23" s="64"/>
      <c r="L23" s="59">
        <v>115</v>
      </c>
      <c r="M23" s="59" t="str">
        <f>"90,0680"</f>
        <v>90,0680</v>
      </c>
      <c r="N23" s="25" t="s">
        <v>536</v>
      </c>
    </row>
    <row r="25" spans="2:13" ht="15.75">
      <c r="B25" s="204" t="s">
        <v>30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</row>
    <row r="26" spans="1:14" ht="12.75">
      <c r="A26" s="32">
        <v>1</v>
      </c>
      <c r="B26" s="19" t="s">
        <v>174</v>
      </c>
      <c r="C26" s="19" t="s">
        <v>175</v>
      </c>
      <c r="D26" s="19" t="s">
        <v>555</v>
      </c>
      <c r="E26" s="19" t="str">
        <f>"0,7307"</f>
        <v>0,7307</v>
      </c>
      <c r="F26" s="19" t="s">
        <v>19</v>
      </c>
      <c r="G26" s="19" t="s">
        <v>176</v>
      </c>
      <c r="H26" s="66" t="s">
        <v>177</v>
      </c>
      <c r="I26" s="66" t="s">
        <v>178</v>
      </c>
      <c r="J26" s="66" t="s">
        <v>85</v>
      </c>
      <c r="K26" s="61"/>
      <c r="L26" s="57">
        <v>120</v>
      </c>
      <c r="M26" s="57" t="str">
        <f>"87,6840"</f>
        <v>87,6840</v>
      </c>
      <c r="N26" s="19" t="s">
        <v>64</v>
      </c>
    </row>
    <row r="27" spans="1:14" ht="12.75">
      <c r="A27" s="32">
        <v>1</v>
      </c>
      <c r="B27" s="21" t="s">
        <v>180</v>
      </c>
      <c r="C27" s="21" t="s">
        <v>181</v>
      </c>
      <c r="D27" s="21" t="s">
        <v>556</v>
      </c>
      <c r="E27" s="21" t="str">
        <f>"0,7139"</f>
        <v>0,7139</v>
      </c>
      <c r="F27" s="21" t="s">
        <v>19</v>
      </c>
      <c r="G27" s="21" t="s">
        <v>450</v>
      </c>
      <c r="H27" s="68" t="s">
        <v>111</v>
      </c>
      <c r="I27" s="71" t="s">
        <v>87</v>
      </c>
      <c r="J27" s="68" t="s">
        <v>182</v>
      </c>
      <c r="K27" s="63"/>
      <c r="L27" s="60">
        <v>135</v>
      </c>
      <c r="M27" s="60" t="str">
        <f>"96,3765"</f>
        <v>96,3765</v>
      </c>
      <c r="N27" s="21" t="s">
        <v>537</v>
      </c>
    </row>
    <row r="28" spans="1:14" ht="12.75">
      <c r="A28" s="32">
        <v>1</v>
      </c>
      <c r="B28" s="21" t="s">
        <v>183</v>
      </c>
      <c r="C28" s="21" t="s">
        <v>184</v>
      </c>
      <c r="D28" s="21" t="s">
        <v>305</v>
      </c>
      <c r="E28" s="21" t="str">
        <f>"0,7126"</f>
        <v>0,7126</v>
      </c>
      <c r="F28" s="21" t="s">
        <v>19</v>
      </c>
      <c r="G28" s="21" t="s">
        <v>487</v>
      </c>
      <c r="H28" s="68" t="s">
        <v>182</v>
      </c>
      <c r="I28" s="68" t="s">
        <v>61</v>
      </c>
      <c r="J28" s="68" t="s">
        <v>41</v>
      </c>
      <c r="K28" s="63"/>
      <c r="L28" s="60">
        <v>142.5</v>
      </c>
      <c r="M28" s="60" t="str">
        <f>"101,5455"</f>
        <v>101,5455</v>
      </c>
      <c r="N28" s="21" t="s">
        <v>64</v>
      </c>
    </row>
    <row r="29" spans="1:14" ht="12.75">
      <c r="A29" s="32">
        <v>2</v>
      </c>
      <c r="B29" s="21" t="s">
        <v>185</v>
      </c>
      <c r="C29" s="21" t="s">
        <v>186</v>
      </c>
      <c r="D29" s="21" t="s">
        <v>557</v>
      </c>
      <c r="E29" s="21" t="str">
        <f>"0,7398"</f>
        <v>0,7398</v>
      </c>
      <c r="F29" s="21" t="s">
        <v>19</v>
      </c>
      <c r="G29" s="21" t="s">
        <v>166</v>
      </c>
      <c r="H29" s="68" t="s">
        <v>27</v>
      </c>
      <c r="I29" s="68" t="s">
        <v>111</v>
      </c>
      <c r="J29" s="68" t="s">
        <v>182</v>
      </c>
      <c r="K29" s="63"/>
      <c r="L29" s="60">
        <v>135</v>
      </c>
      <c r="M29" s="60" t="str">
        <f>"99,8730"</f>
        <v>99,8730</v>
      </c>
      <c r="N29" s="21" t="s">
        <v>485</v>
      </c>
    </row>
    <row r="30" spans="1:14" ht="12.75">
      <c r="A30" s="32">
        <v>3</v>
      </c>
      <c r="B30" s="21" t="s">
        <v>187</v>
      </c>
      <c r="C30" s="21" t="s">
        <v>188</v>
      </c>
      <c r="D30" s="21" t="s">
        <v>558</v>
      </c>
      <c r="E30" s="21" t="str">
        <f>"0,7152"</f>
        <v>0,7152</v>
      </c>
      <c r="F30" s="21" t="s">
        <v>110</v>
      </c>
      <c r="G30" s="21" t="s">
        <v>450</v>
      </c>
      <c r="H30" s="68" t="s">
        <v>182</v>
      </c>
      <c r="I30" s="71" t="s">
        <v>58</v>
      </c>
      <c r="J30" s="71" t="s">
        <v>58</v>
      </c>
      <c r="K30" s="63"/>
      <c r="L30" s="60">
        <v>135</v>
      </c>
      <c r="M30" s="60" t="str">
        <f>"96,5520"</f>
        <v>96,5520</v>
      </c>
      <c r="N30" s="21" t="s">
        <v>538</v>
      </c>
    </row>
    <row r="31" spans="1:14" ht="12.75">
      <c r="A31" s="32">
        <v>4</v>
      </c>
      <c r="B31" s="23" t="s">
        <v>189</v>
      </c>
      <c r="C31" s="23" t="s">
        <v>190</v>
      </c>
      <c r="D31" s="23" t="s">
        <v>514</v>
      </c>
      <c r="E31" s="23" t="str">
        <f>"0,7207"</f>
        <v>0,7207</v>
      </c>
      <c r="F31" s="23" t="s">
        <v>19</v>
      </c>
      <c r="G31" s="23" t="s">
        <v>176</v>
      </c>
      <c r="H31" s="67" t="s">
        <v>178</v>
      </c>
      <c r="I31" s="72" t="s">
        <v>28</v>
      </c>
      <c r="J31" s="72" t="s">
        <v>111</v>
      </c>
      <c r="K31" s="62"/>
      <c r="L31" s="58">
        <v>117.5</v>
      </c>
      <c r="M31" s="58" t="str">
        <f>"84,6823"</f>
        <v>84,6823</v>
      </c>
      <c r="N31" s="23" t="s">
        <v>64</v>
      </c>
    </row>
    <row r="33" spans="2:13" ht="15.75">
      <c r="B33" s="204" t="s">
        <v>35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</row>
    <row r="34" spans="1:14" ht="12.75">
      <c r="A34" s="32">
        <v>1</v>
      </c>
      <c r="B34" s="19" t="s">
        <v>191</v>
      </c>
      <c r="C34" s="19" t="s">
        <v>192</v>
      </c>
      <c r="D34" s="19" t="s">
        <v>559</v>
      </c>
      <c r="E34" s="19" t="str">
        <f>"0,7017"</f>
        <v>0,7017</v>
      </c>
      <c r="F34" s="19" t="s">
        <v>19</v>
      </c>
      <c r="G34" s="19" t="s">
        <v>150</v>
      </c>
      <c r="H34" s="70" t="s">
        <v>58</v>
      </c>
      <c r="I34" s="66" t="s">
        <v>58</v>
      </c>
      <c r="J34" s="70" t="s">
        <v>42</v>
      </c>
      <c r="K34" s="61"/>
      <c r="L34" s="57">
        <v>145</v>
      </c>
      <c r="M34" s="57" t="str">
        <f>"101,7465"</f>
        <v>101,7465</v>
      </c>
      <c r="N34" s="19" t="s">
        <v>64</v>
      </c>
    </row>
    <row r="35" spans="1:14" ht="12.75">
      <c r="A35" s="32">
        <v>2</v>
      </c>
      <c r="B35" s="21" t="s">
        <v>193</v>
      </c>
      <c r="C35" s="21" t="s">
        <v>194</v>
      </c>
      <c r="D35" s="21" t="s">
        <v>560</v>
      </c>
      <c r="E35" s="21" t="str">
        <f>"0,6754"</f>
        <v>0,6754</v>
      </c>
      <c r="F35" s="21" t="s">
        <v>19</v>
      </c>
      <c r="G35" s="21" t="s">
        <v>176</v>
      </c>
      <c r="H35" s="71" t="s">
        <v>58</v>
      </c>
      <c r="I35" s="68" t="s">
        <v>58</v>
      </c>
      <c r="J35" s="71" t="s">
        <v>38</v>
      </c>
      <c r="K35" s="63"/>
      <c r="L35" s="60">
        <v>145</v>
      </c>
      <c r="M35" s="60" t="str">
        <f>"97,9330"</f>
        <v>97,9330</v>
      </c>
      <c r="N35" s="21" t="s">
        <v>64</v>
      </c>
    </row>
    <row r="36" spans="1:14" ht="12.75">
      <c r="A36" s="32">
        <v>3</v>
      </c>
      <c r="B36" s="21" t="s">
        <v>183</v>
      </c>
      <c r="C36" s="21" t="s">
        <v>195</v>
      </c>
      <c r="D36" s="21" t="s">
        <v>471</v>
      </c>
      <c r="E36" s="21" t="str">
        <f>"0,6734"</f>
        <v>0,6734</v>
      </c>
      <c r="F36" s="21" t="s">
        <v>110</v>
      </c>
      <c r="G36" s="21" t="s">
        <v>459</v>
      </c>
      <c r="H36" s="68" t="s">
        <v>85</v>
      </c>
      <c r="I36" s="71" t="s">
        <v>86</v>
      </c>
      <c r="J36" s="71" t="s">
        <v>86</v>
      </c>
      <c r="K36" s="63"/>
      <c r="L36" s="60">
        <v>120</v>
      </c>
      <c r="M36" s="60" t="str">
        <f>"80,8080"</f>
        <v>80,8080</v>
      </c>
      <c r="N36" s="21" t="s">
        <v>539</v>
      </c>
    </row>
    <row r="37" spans="1:14" ht="12.75">
      <c r="A37" s="32">
        <v>4</v>
      </c>
      <c r="B37" s="23" t="s">
        <v>733</v>
      </c>
      <c r="C37" s="23" t="s">
        <v>196</v>
      </c>
      <c r="D37" s="23" t="s">
        <v>561</v>
      </c>
      <c r="E37" s="23" t="str">
        <f>"0,6795"</f>
        <v>0,6795</v>
      </c>
      <c r="F37" s="23" t="s">
        <v>19</v>
      </c>
      <c r="G37" s="23" t="s">
        <v>450</v>
      </c>
      <c r="H37" s="67" t="s">
        <v>197</v>
      </c>
      <c r="I37" s="72" t="s">
        <v>198</v>
      </c>
      <c r="J37" s="67" t="s">
        <v>177</v>
      </c>
      <c r="K37" s="62"/>
      <c r="L37" s="58">
        <v>112.5</v>
      </c>
      <c r="M37" s="58" t="str">
        <f>"76,4437"</f>
        <v>76,4437</v>
      </c>
      <c r="N37" s="23" t="s">
        <v>64</v>
      </c>
    </row>
    <row r="39" spans="2:13" ht="15.75">
      <c r="B39" s="204" t="s">
        <v>16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</row>
    <row r="40" spans="1:14" ht="12.75">
      <c r="A40" s="32">
        <v>1</v>
      </c>
      <c r="B40" s="19" t="s">
        <v>199</v>
      </c>
      <c r="C40" s="19" t="s">
        <v>200</v>
      </c>
      <c r="D40" s="19" t="s">
        <v>454</v>
      </c>
      <c r="E40" s="19" t="str">
        <f>"0,6475"</f>
        <v>0,6475</v>
      </c>
      <c r="F40" s="19" t="s">
        <v>19</v>
      </c>
      <c r="G40" s="19" t="s">
        <v>201</v>
      </c>
      <c r="H40" s="66" t="s">
        <v>87</v>
      </c>
      <c r="I40" s="66" t="s">
        <v>46</v>
      </c>
      <c r="J40" s="66" t="s">
        <v>58</v>
      </c>
      <c r="K40" s="61"/>
      <c r="L40" s="57">
        <v>145</v>
      </c>
      <c r="M40" s="57" t="str">
        <f>"93,8875"</f>
        <v>93,8875</v>
      </c>
      <c r="N40" s="19" t="s">
        <v>481</v>
      </c>
    </row>
    <row r="41" spans="1:14" ht="12.75">
      <c r="A41" s="32">
        <v>1</v>
      </c>
      <c r="B41" s="21" t="s">
        <v>202</v>
      </c>
      <c r="C41" s="21" t="s">
        <v>203</v>
      </c>
      <c r="D41" s="21" t="s">
        <v>562</v>
      </c>
      <c r="E41" s="21" t="str">
        <f>"0,6436"</f>
        <v>0,6436</v>
      </c>
      <c r="F41" s="21" t="s">
        <v>110</v>
      </c>
      <c r="G41" s="21" t="s">
        <v>459</v>
      </c>
      <c r="H41" s="68" t="s">
        <v>58</v>
      </c>
      <c r="I41" s="68" t="s">
        <v>43</v>
      </c>
      <c r="J41" s="68" t="s">
        <v>38</v>
      </c>
      <c r="K41" s="63"/>
      <c r="L41" s="60">
        <v>155</v>
      </c>
      <c r="M41" s="60" t="str">
        <f>"99,7580"</f>
        <v>99,7580</v>
      </c>
      <c r="N41" s="21" t="s">
        <v>64</v>
      </c>
    </row>
    <row r="42" spans="1:14" ht="12.75">
      <c r="A42" s="32">
        <v>2</v>
      </c>
      <c r="B42" s="21" t="s">
        <v>204</v>
      </c>
      <c r="C42" s="21" t="s">
        <v>205</v>
      </c>
      <c r="D42" s="21" t="s">
        <v>563</v>
      </c>
      <c r="E42" s="21" t="str">
        <f>"0,6597"</f>
        <v>0,6597</v>
      </c>
      <c r="F42" s="21" t="s">
        <v>19</v>
      </c>
      <c r="G42" s="21" t="s">
        <v>206</v>
      </c>
      <c r="H42" s="68" t="s">
        <v>207</v>
      </c>
      <c r="I42" s="68" t="s">
        <v>41</v>
      </c>
      <c r="J42" s="71" t="s">
        <v>43</v>
      </c>
      <c r="K42" s="63"/>
      <c r="L42" s="60">
        <v>142.5</v>
      </c>
      <c r="M42" s="60" t="str">
        <f>"94,0072"</f>
        <v>94,0072</v>
      </c>
      <c r="N42" s="21" t="s">
        <v>64</v>
      </c>
    </row>
    <row r="43" spans="1:14" ht="12.75">
      <c r="A43" s="32">
        <v>3</v>
      </c>
      <c r="B43" s="21" t="s">
        <v>208</v>
      </c>
      <c r="C43" s="21" t="s">
        <v>209</v>
      </c>
      <c r="D43" s="21" t="s">
        <v>564</v>
      </c>
      <c r="E43" s="21" t="str">
        <f>"0,6562"</f>
        <v>0,6562</v>
      </c>
      <c r="F43" s="21" t="s">
        <v>735</v>
      </c>
      <c r="G43" s="21" t="s">
        <v>450</v>
      </c>
      <c r="H43" s="68" t="s">
        <v>182</v>
      </c>
      <c r="I43" s="71" t="s">
        <v>61</v>
      </c>
      <c r="J43" s="71" t="s">
        <v>61</v>
      </c>
      <c r="K43" s="63"/>
      <c r="L43" s="60">
        <v>135</v>
      </c>
      <c r="M43" s="60" t="str">
        <f>"88,5870"</f>
        <v>88,5870</v>
      </c>
      <c r="N43" s="21" t="s">
        <v>479</v>
      </c>
    </row>
    <row r="44" spans="1:14" ht="12.75">
      <c r="A44" s="32">
        <v>4</v>
      </c>
      <c r="B44" s="21" t="s">
        <v>210</v>
      </c>
      <c r="C44" s="21" t="s">
        <v>211</v>
      </c>
      <c r="D44" s="21" t="s">
        <v>564</v>
      </c>
      <c r="E44" s="21" t="str">
        <f>"0,6562"</f>
        <v>0,6562</v>
      </c>
      <c r="F44" s="21" t="s">
        <v>19</v>
      </c>
      <c r="G44" s="21" t="s">
        <v>49</v>
      </c>
      <c r="H44" s="68" t="s">
        <v>111</v>
      </c>
      <c r="I44" s="68" t="s">
        <v>207</v>
      </c>
      <c r="J44" s="71" t="s">
        <v>61</v>
      </c>
      <c r="K44" s="63"/>
      <c r="L44" s="60">
        <v>132.5</v>
      </c>
      <c r="M44" s="60" t="str">
        <f>"86,9465"</f>
        <v>86,9465</v>
      </c>
      <c r="N44" s="21" t="s">
        <v>540</v>
      </c>
    </row>
    <row r="45" spans="1:14" ht="12.75">
      <c r="A45" s="32">
        <v>1</v>
      </c>
      <c r="B45" s="21" t="s">
        <v>212</v>
      </c>
      <c r="C45" s="21" t="s">
        <v>213</v>
      </c>
      <c r="D45" s="21" t="s">
        <v>565</v>
      </c>
      <c r="E45" s="21" t="str">
        <f>"0,6487"</f>
        <v>0,6487</v>
      </c>
      <c r="F45" s="21" t="s">
        <v>19</v>
      </c>
      <c r="G45" s="21" t="s">
        <v>545</v>
      </c>
      <c r="H45" s="68" t="s">
        <v>27</v>
      </c>
      <c r="I45" s="71" t="s">
        <v>85</v>
      </c>
      <c r="J45" s="71" t="s">
        <v>85</v>
      </c>
      <c r="K45" s="63"/>
      <c r="L45" s="60">
        <v>115</v>
      </c>
      <c r="M45" s="60" t="str">
        <f>"75,6449"</f>
        <v>75,6449</v>
      </c>
      <c r="N45" s="21" t="s">
        <v>541</v>
      </c>
    </row>
    <row r="46" spans="1:14" ht="12.75">
      <c r="A46" s="32">
        <v>1</v>
      </c>
      <c r="B46" s="23" t="s">
        <v>214</v>
      </c>
      <c r="C46" s="23" t="s">
        <v>215</v>
      </c>
      <c r="D46" s="23" t="s">
        <v>526</v>
      </c>
      <c r="E46" s="23" t="str">
        <f>"0,6483"</f>
        <v>0,6483</v>
      </c>
      <c r="F46" s="23" t="s">
        <v>110</v>
      </c>
      <c r="G46" s="23" t="s">
        <v>459</v>
      </c>
      <c r="H46" s="67" t="s">
        <v>86</v>
      </c>
      <c r="I46" s="72" t="s">
        <v>207</v>
      </c>
      <c r="J46" s="72" t="s">
        <v>207</v>
      </c>
      <c r="K46" s="62"/>
      <c r="L46" s="58">
        <v>127.5</v>
      </c>
      <c r="M46" s="58" t="str">
        <f>"93,5691"</f>
        <v>93,5691</v>
      </c>
      <c r="N46" s="23" t="s">
        <v>64</v>
      </c>
    </row>
    <row r="48" spans="2:13" ht="15.75">
      <c r="B48" s="204" t="s">
        <v>65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</row>
    <row r="49" spans="1:14" ht="12.75">
      <c r="A49" s="32">
        <v>1</v>
      </c>
      <c r="B49" s="19" t="s">
        <v>216</v>
      </c>
      <c r="C49" s="19" t="s">
        <v>217</v>
      </c>
      <c r="D49" s="19" t="s">
        <v>567</v>
      </c>
      <c r="E49" s="19" t="str">
        <f>"0,6209"</f>
        <v>0,6209</v>
      </c>
      <c r="F49" s="19" t="s">
        <v>110</v>
      </c>
      <c r="G49" s="19" t="s">
        <v>487</v>
      </c>
      <c r="H49" s="66" t="s">
        <v>87</v>
      </c>
      <c r="I49" s="66" t="s">
        <v>61</v>
      </c>
      <c r="J49" s="66" t="s">
        <v>20</v>
      </c>
      <c r="K49" s="61"/>
      <c r="L49" s="57">
        <v>150</v>
      </c>
      <c r="M49" s="57" t="str">
        <f>"93,1350"</f>
        <v>93,1350</v>
      </c>
      <c r="N49" s="19" t="s">
        <v>64</v>
      </c>
    </row>
    <row r="50" spans="1:14" ht="12.75">
      <c r="A50" s="32">
        <v>1</v>
      </c>
      <c r="B50" s="21" t="s">
        <v>218</v>
      </c>
      <c r="C50" s="21" t="s">
        <v>219</v>
      </c>
      <c r="D50" s="21" t="s">
        <v>566</v>
      </c>
      <c r="E50" s="21" t="str">
        <f>"0,6186"</f>
        <v>0,6186</v>
      </c>
      <c r="F50" s="21" t="s">
        <v>110</v>
      </c>
      <c r="G50" s="21" t="s">
        <v>487</v>
      </c>
      <c r="H50" s="68" t="s">
        <v>20</v>
      </c>
      <c r="I50" s="68" t="s">
        <v>220</v>
      </c>
      <c r="J50" s="68" t="s">
        <v>22</v>
      </c>
      <c r="K50" s="63"/>
      <c r="L50" s="60">
        <v>162.5</v>
      </c>
      <c r="M50" s="60" t="str">
        <f>"100,5225"</f>
        <v>100,5225</v>
      </c>
      <c r="N50" s="21" t="s">
        <v>542</v>
      </c>
    </row>
    <row r="51" spans="1:14" ht="12.75">
      <c r="A51" s="32">
        <v>2</v>
      </c>
      <c r="B51" s="21" t="s">
        <v>221</v>
      </c>
      <c r="C51" s="21" t="s">
        <v>222</v>
      </c>
      <c r="D51" s="21" t="s">
        <v>568</v>
      </c>
      <c r="E51" s="21" t="str">
        <f>"0,6194"</f>
        <v>0,6194</v>
      </c>
      <c r="F51" s="21" t="s">
        <v>19</v>
      </c>
      <c r="G51" s="21" t="s">
        <v>545</v>
      </c>
      <c r="H51" s="68" t="s">
        <v>58</v>
      </c>
      <c r="I51" s="68" t="s">
        <v>38</v>
      </c>
      <c r="J51" s="71" t="s">
        <v>22</v>
      </c>
      <c r="K51" s="63"/>
      <c r="L51" s="60">
        <v>155</v>
      </c>
      <c r="M51" s="60" t="str">
        <f>"96,0070"</f>
        <v>96,0070</v>
      </c>
      <c r="N51" s="21" t="s">
        <v>543</v>
      </c>
    </row>
    <row r="52" spans="1:14" ht="12.75">
      <c r="A52" s="32">
        <v>3</v>
      </c>
      <c r="B52" s="21" t="s">
        <v>223</v>
      </c>
      <c r="C52" s="21" t="s">
        <v>224</v>
      </c>
      <c r="D52" s="21" t="s">
        <v>33</v>
      </c>
      <c r="E52" s="21" t="str">
        <f>"0,6086"</f>
        <v>0,6086</v>
      </c>
      <c r="F52" s="21" t="s">
        <v>19</v>
      </c>
      <c r="G52" s="21" t="s">
        <v>545</v>
      </c>
      <c r="H52" s="68" t="s">
        <v>225</v>
      </c>
      <c r="I52" s="71" t="s">
        <v>34</v>
      </c>
      <c r="J52" s="71" t="s">
        <v>34</v>
      </c>
      <c r="K52" s="63"/>
      <c r="L52" s="60">
        <v>95</v>
      </c>
      <c r="M52" s="60" t="str">
        <f>"57,8170"</f>
        <v>57,8170</v>
      </c>
      <c r="N52" s="21" t="s">
        <v>64</v>
      </c>
    </row>
    <row r="53" spans="1:14" ht="12.75">
      <c r="A53" s="32">
        <v>1</v>
      </c>
      <c r="B53" s="21" t="s">
        <v>226</v>
      </c>
      <c r="C53" s="21" t="s">
        <v>227</v>
      </c>
      <c r="D53" s="21" t="s">
        <v>569</v>
      </c>
      <c r="E53" s="21" t="str">
        <f>"0,6263"</f>
        <v>0,6263</v>
      </c>
      <c r="F53" s="21" t="s">
        <v>19</v>
      </c>
      <c r="G53" s="21" t="s">
        <v>545</v>
      </c>
      <c r="H53" s="68" t="s">
        <v>207</v>
      </c>
      <c r="I53" s="68" t="s">
        <v>46</v>
      </c>
      <c r="J53" s="71" t="s">
        <v>58</v>
      </c>
      <c r="K53" s="63"/>
      <c r="L53" s="60">
        <v>137.5</v>
      </c>
      <c r="M53" s="60" t="str">
        <f>"86,5468"</f>
        <v>86,5468</v>
      </c>
      <c r="N53" s="21" t="s">
        <v>541</v>
      </c>
    </row>
    <row r="54" spans="1:14" ht="12.75">
      <c r="A54" s="32">
        <v>1</v>
      </c>
      <c r="B54" s="21" t="s">
        <v>228</v>
      </c>
      <c r="C54" s="21" t="s">
        <v>229</v>
      </c>
      <c r="D54" s="21" t="s">
        <v>524</v>
      </c>
      <c r="E54" s="21" t="str">
        <f>"0,6158"</f>
        <v>0,6158</v>
      </c>
      <c r="F54" s="21" t="s">
        <v>110</v>
      </c>
      <c r="G54" s="21" t="s">
        <v>487</v>
      </c>
      <c r="H54" s="68" t="s">
        <v>182</v>
      </c>
      <c r="I54" s="71" t="s">
        <v>41</v>
      </c>
      <c r="J54" s="71" t="s">
        <v>41</v>
      </c>
      <c r="K54" s="63"/>
      <c r="L54" s="60">
        <v>135</v>
      </c>
      <c r="M54" s="60" t="str">
        <f>"88,1210"</f>
        <v>88,1210</v>
      </c>
      <c r="N54" s="21" t="s">
        <v>64</v>
      </c>
    </row>
    <row r="55" spans="1:14" ht="12.75">
      <c r="A55" s="32">
        <v>2</v>
      </c>
      <c r="B55" s="23" t="s">
        <v>230</v>
      </c>
      <c r="C55" s="23" t="s">
        <v>231</v>
      </c>
      <c r="D55" s="23" t="s">
        <v>570</v>
      </c>
      <c r="E55" s="23" t="str">
        <f>"0,6169"</f>
        <v>0,6169</v>
      </c>
      <c r="F55" s="23" t="s">
        <v>110</v>
      </c>
      <c r="G55" s="23" t="s">
        <v>459</v>
      </c>
      <c r="H55" s="67" t="s">
        <v>85</v>
      </c>
      <c r="I55" s="67" t="s">
        <v>111</v>
      </c>
      <c r="J55" s="72" t="s">
        <v>87</v>
      </c>
      <c r="K55" s="62"/>
      <c r="L55" s="58">
        <v>125</v>
      </c>
      <c r="M55" s="58" t="str">
        <f>"84,5153"</f>
        <v>84,5153</v>
      </c>
      <c r="N55" s="23" t="s">
        <v>64</v>
      </c>
    </row>
    <row r="57" spans="2:13" ht="15.75">
      <c r="B57" s="204" t="s">
        <v>89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</row>
    <row r="58" spans="1:14" ht="12.75">
      <c r="A58" s="32">
        <v>1</v>
      </c>
      <c r="B58" s="19" t="s">
        <v>232</v>
      </c>
      <c r="C58" s="19" t="s">
        <v>233</v>
      </c>
      <c r="D58" s="19" t="s">
        <v>571</v>
      </c>
      <c r="E58" s="19" t="str">
        <f>"0,5888"</f>
        <v>0,5888</v>
      </c>
      <c r="F58" s="19" t="s">
        <v>19</v>
      </c>
      <c r="G58" s="19" t="s">
        <v>546</v>
      </c>
      <c r="H58" s="66" t="s">
        <v>99</v>
      </c>
      <c r="I58" s="70" t="s">
        <v>71</v>
      </c>
      <c r="J58" s="66" t="s">
        <v>71</v>
      </c>
      <c r="K58" s="61"/>
      <c r="L58" s="57">
        <v>185</v>
      </c>
      <c r="M58" s="57" t="str">
        <f>"108,9280"</f>
        <v>108,9280</v>
      </c>
      <c r="N58" s="19" t="s">
        <v>544</v>
      </c>
    </row>
    <row r="59" spans="1:14" ht="12.75">
      <c r="A59" s="32">
        <v>2</v>
      </c>
      <c r="B59" s="21" t="s">
        <v>234</v>
      </c>
      <c r="C59" s="21" t="s">
        <v>235</v>
      </c>
      <c r="D59" s="21" t="s">
        <v>572</v>
      </c>
      <c r="E59" s="21" t="str">
        <f>"0,5916"</f>
        <v>0,5916</v>
      </c>
      <c r="F59" s="21" t="s">
        <v>19</v>
      </c>
      <c r="G59" s="21" t="s">
        <v>545</v>
      </c>
      <c r="H59" s="68" t="s">
        <v>80</v>
      </c>
      <c r="I59" s="68" t="s">
        <v>120</v>
      </c>
      <c r="J59" s="71" t="s">
        <v>93</v>
      </c>
      <c r="K59" s="63"/>
      <c r="L59" s="60">
        <v>182.5</v>
      </c>
      <c r="M59" s="60" t="str">
        <f>"107,9670"</f>
        <v>107,9670</v>
      </c>
      <c r="N59" s="21" t="s">
        <v>64</v>
      </c>
    </row>
    <row r="60" spans="1:14" ht="12.75">
      <c r="A60" s="32">
        <v>3</v>
      </c>
      <c r="B60" s="21" t="s">
        <v>236</v>
      </c>
      <c r="C60" s="21" t="s">
        <v>237</v>
      </c>
      <c r="D60" s="21" t="s">
        <v>573</v>
      </c>
      <c r="E60" s="21" t="str">
        <f>"0,5921"</f>
        <v>0,5921</v>
      </c>
      <c r="F60" s="21" t="s">
        <v>19</v>
      </c>
      <c r="G60" s="21" t="s">
        <v>487</v>
      </c>
      <c r="H60" s="68" t="s">
        <v>54</v>
      </c>
      <c r="I60" s="71" t="s">
        <v>99</v>
      </c>
      <c r="J60" s="71" t="s">
        <v>99</v>
      </c>
      <c r="K60" s="63"/>
      <c r="L60" s="60">
        <v>170</v>
      </c>
      <c r="M60" s="60" t="str">
        <f>"100,6570"</f>
        <v>100,6570</v>
      </c>
      <c r="N60" s="21" t="s">
        <v>64</v>
      </c>
    </row>
    <row r="61" spans="1:14" ht="12.75">
      <c r="A61" s="32">
        <v>1</v>
      </c>
      <c r="B61" s="21" t="s">
        <v>234</v>
      </c>
      <c r="C61" s="21" t="s">
        <v>238</v>
      </c>
      <c r="D61" s="21" t="s">
        <v>572</v>
      </c>
      <c r="E61" s="21" t="str">
        <f>"0,5916"</f>
        <v>0,5916</v>
      </c>
      <c r="F61" s="21" t="s">
        <v>19</v>
      </c>
      <c r="G61" s="21" t="s">
        <v>545</v>
      </c>
      <c r="H61" s="68" t="s">
        <v>80</v>
      </c>
      <c r="I61" s="68" t="s">
        <v>120</v>
      </c>
      <c r="J61" s="71" t="s">
        <v>93</v>
      </c>
      <c r="K61" s="63"/>
      <c r="L61" s="60">
        <v>182.5</v>
      </c>
      <c r="M61" s="60" t="str">
        <f>"109,4785"</f>
        <v>109,4785</v>
      </c>
      <c r="N61" s="21" t="s">
        <v>64</v>
      </c>
    </row>
    <row r="62" spans="1:14" ht="12.75">
      <c r="A62" s="32">
        <v>1</v>
      </c>
      <c r="B62" s="23" t="s">
        <v>239</v>
      </c>
      <c r="C62" s="23" t="s">
        <v>240</v>
      </c>
      <c r="D62" s="23" t="s">
        <v>574</v>
      </c>
      <c r="E62" s="23" t="str">
        <f>"0,6060"</f>
        <v>0,6060</v>
      </c>
      <c r="F62" s="23" t="s">
        <v>19</v>
      </c>
      <c r="G62" s="23" t="s">
        <v>487</v>
      </c>
      <c r="H62" s="67" t="s">
        <v>182</v>
      </c>
      <c r="I62" s="67" t="s">
        <v>41</v>
      </c>
      <c r="J62" s="67" t="s">
        <v>20</v>
      </c>
      <c r="K62" s="62"/>
      <c r="L62" s="58">
        <v>150</v>
      </c>
      <c r="M62" s="58" t="str">
        <f>"104,5350"</f>
        <v>104,5350</v>
      </c>
      <c r="N62" s="23" t="s">
        <v>64</v>
      </c>
    </row>
    <row r="64" spans="2:13" ht="15.75">
      <c r="B64" s="204" t="s">
        <v>112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</row>
    <row r="65" spans="1:14" ht="12.75">
      <c r="A65" s="32">
        <v>1</v>
      </c>
      <c r="B65" s="19" t="s">
        <v>241</v>
      </c>
      <c r="C65" s="19" t="s">
        <v>242</v>
      </c>
      <c r="D65" s="19" t="s">
        <v>575</v>
      </c>
      <c r="E65" s="19" t="str">
        <f>"0,5735"</f>
        <v>0,5735</v>
      </c>
      <c r="F65" s="19" t="s">
        <v>19</v>
      </c>
      <c r="G65" s="19" t="s">
        <v>450</v>
      </c>
      <c r="H65" s="66" t="s">
        <v>93</v>
      </c>
      <c r="I65" s="66" t="s">
        <v>243</v>
      </c>
      <c r="J65" s="70" t="s">
        <v>244</v>
      </c>
      <c r="K65" s="61"/>
      <c r="L65" s="57">
        <v>202.5</v>
      </c>
      <c r="M65" s="57" t="str">
        <f>"116,1337"</f>
        <v>116,1337</v>
      </c>
      <c r="N65" s="19" t="s">
        <v>734</v>
      </c>
    </row>
    <row r="66" spans="1:14" ht="12.75">
      <c r="A66" s="32">
        <v>1</v>
      </c>
      <c r="B66" s="23" t="s">
        <v>241</v>
      </c>
      <c r="C66" s="23" t="s">
        <v>245</v>
      </c>
      <c r="D66" s="23" t="s">
        <v>575</v>
      </c>
      <c r="E66" s="23" t="str">
        <f>"0,5735"</f>
        <v>0,5735</v>
      </c>
      <c r="F66" s="23" t="s">
        <v>19</v>
      </c>
      <c r="G66" s="23" t="s">
        <v>450</v>
      </c>
      <c r="H66" s="72" t="s">
        <v>93</v>
      </c>
      <c r="I66" s="72" t="s">
        <v>243</v>
      </c>
      <c r="J66" s="72" t="s">
        <v>244</v>
      </c>
      <c r="K66" s="62"/>
      <c r="L66" s="65">
        <v>0</v>
      </c>
      <c r="M66" s="58" t="s">
        <v>525</v>
      </c>
      <c r="N66" s="23" t="s">
        <v>734</v>
      </c>
    </row>
    <row r="68" spans="2:3" ht="18">
      <c r="B68" s="27" t="s">
        <v>124</v>
      </c>
      <c r="C68" s="27"/>
    </row>
    <row r="69" spans="2:3" ht="13.5">
      <c r="B69" s="29"/>
      <c r="C69" s="30" t="s">
        <v>723</v>
      </c>
    </row>
    <row r="70" spans="2:12" ht="13.5">
      <c r="B70" s="31" t="s">
        <v>126</v>
      </c>
      <c r="C70" s="31" t="s">
        <v>127</v>
      </c>
      <c r="D70" s="31" t="s">
        <v>128</v>
      </c>
      <c r="E70" s="31" t="s">
        <v>129</v>
      </c>
      <c r="F70" s="31" t="s">
        <v>130</v>
      </c>
      <c r="L70" s="74"/>
    </row>
    <row r="71" spans="1:6" ht="12.75">
      <c r="A71" s="32">
        <v>1</v>
      </c>
      <c r="B71" s="28" t="s">
        <v>241</v>
      </c>
      <c r="C71" s="44" t="s">
        <v>125</v>
      </c>
      <c r="D71" s="35" t="s">
        <v>489</v>
      </c>
      <c r="E71" s="35" t="s">
        <v>243</v>
      </c>
      <c r="F71" s="35" t="s">
        <v>246</v>
      </c>
    </row>
    <row r="72" spans="1:6" ht="12.75">
      <c r="A72" s="32">
        <v>2</v>
      </c>
      <c r="B72" s="28" t="s">
        <v>232</v>
      </c>
      <c r="C72" s="44" t="s">
        <v>125</v>
      </c>
      <c r="D72" s="35" t="s">
        <v>533</v>
      </c>
      <c r="E72" s="35" t="s">
        <v>71</v>
      </c>
      <c r="F72" s="35" t="s">
        <v>247</v>
      </c>
    </row>
    <row r="73" spans="1:6" ht="12.75">
      <c r="A73" s="32">
        <v>3</v>
      </c>
      <c r="B73" s="28" t="s">
        <v>234</v>
      </c>
      <c r="C73" s="44" t="s">
        <v>125</v>
      </c>
      <c r="D73" s="35" t="s">
        <v>26</v>
      </c>
      <c r="E73" s="35" t="s">
        <v>120</v>
      </c>
      <c r="F73" s="35" t="s">
        <v>248</v>
      </c>
    </row>
    <row r="75" spans="2:3" ht="13.5">
      <c r="B75" s="29"/>
      <c r="C75" s="30" t="s">
        <v>723</v>
      </c>
    </row>
    <row r="76" spans="2:6" ht="13.5">
      <c r="B76" s="31" t="s">
        <v>126</v>
      </c>
      <c r="C76" s="31" t="s">
        <v>127</v>
      </c>
      <c r="D76" s="31" t="s">
        <v>128</v>
      </c>
      <c r="E76" s="31" t="s">
        <v>129</v>
      </c>
      <c r="F76" s="31" t="s">
        <v>130</v>
      </c>
    </row>
    <row r="77" spans="1:6" ht="12.75">
      <c r="A77" s="32">
        <v>1</v>
      </c>
      <c r="B77" s="28" t="s">
        <v>234</v>
      </c>
      <c r="C77" s="44" t="s">
        <v>135</v>
      </c>
      <c r="D77" s="35" t="s">
        <v>533</v>
      </c>
      <c r="E77" s="35" t="s">
        <v>120</v>
      </c>
      <c r="F77" s="35" t="s">
        <v>249</v>
      </c>
    </row>
    <row r="78" spans="1:6" ht="12.75">
      <c r="A78" s="32">
        <v>2</v>
      </c>
      <c r="B78" s="28" t="s">
        <v>239</v>
      </c>
      <c r="C78" s="44" t="s">
        <v>250</v>
      </c>
      <c r="D78" s="35" t="s">
        <v>533</v>
      </c>
      <c r="E78" s="35" t="s">
        <v>20</v>
      </c>
      <c r="F78" s="35" t="s">
        <v>251</v>
      </c>
    </row>
    <row r="79" spans="1:6" ht="12.75">
      <c r="A79" s="32">
        <v>3</v>
      </c>
      <c r="B79" s="28" t="s">
        <v>214</v>
      </c>
      <c r="C79" s="44" t="s">
        <v>131</v>
      </c>
      <c r="D79" s="35" t="s">
        <v>534</v>
      </c>
      <c r="E79" s="35" t="s">
        <v>86</v>
      </c>
      <c r="F79" s="35" t="s">
        <v>252</v>
      </c>
    </row>
  </sheetData>
  <sheetProtection/>
  <mergeCells count="23"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B12:M12"/>
    <mergeCell ref="B15:M15"/>
    <mergeCell ref="B57:M57"/>
    <mergeCell ref="B64:M64"/>
    <mergeCell ref="B18:M18"/>
    <mergeCell ref="B22:M22"/>
    <mergeCell ref="B25:M25"/>
    <mergeCell ref="B33:M33"/>
    <mergeCell ref="B39:M39"/>
    <mergeCell ref="B48:M4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1">
      <selection activeCell="F44" sqref="F44"/>
    </sheetView>
  </sheetViews>
  <sheetFormatPr defaultColWidth="11.375" defaultRowHeight="12.75"/>
  <cols>
    <col min="1" max="1" width="11.375" style="43" customWidth="1"/>
    <col min="2" max="2" width="22.125" style="4" customWidth="1"/>
    <col min="3" max="3" width="26.875" style="5" bestFit="1" customWidth="1"/>
    <col min="4" max="4" width="10.625" style="5" bestFit="1" customWidth="1"/>
    <col min="5" max="5" width="8.375" style="1" bestFit="1" customWidth="1"/>
    <col min="6" max="6" width="19.375" style="5" customWidth="1"/>
    <col min="7" max="7" width="36.125" style="5" customWidth="1"/>
    <col min="8" max="10" width="5.625" style="1" bestFit="1" customWidth="1"/>
    <col min="11" max="11" width="4.625" style="1" bestFit="1" customWidth="1"/>
    <col min="12" max="12" width="11.625" style="4" customWidth="1"/>
    <col min="13" max="13" width="8.625" style="1" bestFit="1" customWidth="1"/>
    <col min="14" max="14" width="16.375" style="5" customWidth="1"/>
    <col min="15" max="16384" width="11.375" style="1" customWidth="1"/>
  </cols>
  <sheetData>
    <row r="1" spans="2:14" ht="15" customHeight="1">
      <c r="B1" s="212" t="s">
        <v>731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2:14" ht="79.5" customHeight="1" thickBot="1"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2" customFormat="1" ht="12.75" customHeight="1">
      <c r="A3" s="205" t="s">
        <v>446</v>
      </c>
      <c r="B3" s="216" t="s">
        <v>0</v>
      </c>
      <c r="C3" s="188" t="s">
        <v>447</v>
      </c>
      <c r="D3" s="188" t="s">
        <v>448</v>
      </c>
      <c r="E3" s="207" t="s">
        <v>9</v>
      </c>
      <c r="F3" s="207" t="s">
        <v>7</v>
      </c>
      <c r="G3" s="218" t="s">
        <v>449</v>
      </c>
      <c r="H3" s="207" t="s">
        <v>2</v>
      </c>
      <c r="I3" s="207"/>
      <c r="J3" s="207"/>
      <c r="K3" s="207"/>
      <c r="L3" s="207" t="s">
        <v>453</v>
      </c>
      <c r="M3" s="207" t="s">
        <v>6</v>
      </c>
      <c r="N3" s="209" t="s">
        <v>5</v>
      </c>
    </row>
    <row r="4" spans="1:14" s="2" customFormat="1" ht="21" customHeight="1" thickBot="1">
      <c r="A4" s="206"/>
      <c r="B4" s="217"/>
      <c r="C4" s="174"/>
      <c r="D4" s="174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208"/>
      <c r="M4" s="208"/>
      <c r="N4" s="210"/>
    </row>
    <row r="5" spans="2:13" ht="15.75">
      <c r="B5" s="177" t="s">
        <v>10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4" ht="12.75">
      <c r="A6" s="43" t="s">
        <v>576</v>
      </c>
      <c r="B6" s="40" t="s">
        <v>11</v>
      </c>
      <c r="C6" s="7" t="s">
        <v>12</v>
      </c>
      <c r="D6" s="7" t="s">
        <v>583</v>
      </c>
      <c r="E6" s="6" t="str">
        <f>"1,0339"</f>
        <v>1,0339</v>
      </c>
      <c r="F6" s="7" t="s">
        <v>13</v>
      </c>
      <c r="G6" s="25" t="s">
        <v>450</v>
      </c>
      <c r="H6" s="69" t="s">
        <v>14</v>
      </c>
      <c r="I6" s="93" t="s">
        <v>15</v>
      </c>
      <c r="J6" s="93" t="s">
        <v>15</v>
      </c>
      <c r="K6" s="82"/>
      <c r="L6" s="81">
        <v>80</v>
      </c>
      <c r="M6" s="81" t="str">
        <f>"89,1635"</f>
        <v>89,1635</v>
      </c>
      <c r="N6" s="7" t="s">
        <v>493</v>
      </c>
    </row>
    <row r="8" spans="2:13" ht="15.75">
      <c r="B8" s="190" t="s">
        <v>16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</row>
    <row r="9" spans="1:14" ht="12.75">
      <c r="A9" s="43" t="s">
        <v>576</v>
      </c>
      <c r="B9" s="40" t="s">
        <v>17</v>
      </c>
      <c r="C9" s="7" t="s">
        <v>18</v>
      </c>
      <c r="D9" s="7" t="s">
        <v>584</v>
      </c>
      <c r="E9" s="6" t="str">
        <f>"0,8802"</f>
        <v>0,8802</v>
      </c>
      <c r="F9" s="7" t="s">
        <v>19</v>
      </c>
      <c r="G9" s="25" t="s">
        <v>450</v>
      </c>
      <c r="H9" s="69" t="s">
        <v>20</v>
      </c>
      <c r="I9" s="69" t="s">
        <v>21</v>
      </c>
      <c r="J9" s="93" t="s">
        <v>22</v>
      </c>
      <c r="K9" s="82"/>
      <c r="L9" s="81">
        <v>160</v>
      </c>
      <c r="M9" s="81" t="str">
        <f>"140,8320"</f>
        <v>140,8320</v>
      </c>
      <c r="N9" s="7" t="s">
        <v>23</v>
      </c>
    </row>
    <row r="11" spans="2:13" ht="15.75">
      <c r="B11" s="190" t="s">
        <v>10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</row>
    <row r="12" spans="1:14" ht="12.75">
      <c r="A12" s="43" t="s">
        <v>576</v>
      </c>
      <c r="B12" s="40" t="s">
        <v>24</v>
      </c>
      <c r="C12" s="7" t="s">
        <v>25</v>
      </c>
      <c r="D12" s="7" t="s">
        <v>585</v>
      </c>
      <c r="E12" s="6" t="str">
        <f>"0,7901"</f>
        <v>0,7901</v>
      </c>
      <c r="F12" s="7" t="s">
        <v>19</v>
      </c>
      <c r="G12" s="25" t="s">
        <v>450</v>
      </c>
      <c r="H12" s="69" t="s">
        <v>26</v>
      </c>
      <c r="I12" s="93" t="s">
        <v>27</v>
      </c>
      <c r="J12" s="93" t="s">
        <v>28</v>
      </c>
      <c r="K12" s="82"/>
      <c r="L12" s="81">
        <v>110</v>
      </c>
      <c r="M12" s="81" t="str">
        <f>"86,9110"</f>
        <v>86,9110</v>
      </c>
      <c r="N12" s="7" t="s">
        <v>29</v>
      </c>
    </row>
    <row r="14" spans="2:13" ht="15.75">
      <c r="B14" s="190" t="s">
        <v>30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1:14" ht="12.75">
      <c r="A15" s="43" t="s">
        <v>576</v>
      </c>
      <c r="B15" s="40" t="s">
        <v>31</v>
      </c>
      <c r="C15" s="7" t="s">
        <v>32</v>
      </c>
      <c r="D15" s="7" t="s">
        <v>556</v>
      </c>
      <c r="E15" s="6" t="str">
        <f>"0,7139"</f>
        <v>0,7139</v>
      </c>
      <c r="F15" s="7" t="s">
        <v>19</v>
      </c>
      <c r="G15" s="25" t="s">
        <v>450</v>
      </c>
      <c r="H15" s="93" t="s">
        <v>33</v>
      </c>
      <c r="I15" s="93" t="s">
        <v>34</v>
      </c>
      <c r="J15" s="93" t="s">
        <v>27</v>
      </c>
      <c r="K15" s="82"/>
      <c r="L15" s="94">
        <v>0</v>
      </c>
      <c r="M15" s="94">
        <v>0</v>
      </c>
      <c r="N15" s="7" t="s">
        <v>610</v>
      </c>
    </row>
    <row r="17" spans="2:13" ht="15.75">
      <c r="B17" s="190" t="s">
        <v>35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</row>
    <row r="18" spans="1:14" ht="12.75">
      <c r="A18" s="43" t="s">
        <v>576</v>
      </c>
      <c r="B18" s="75" t="s">
        <v>36</v>
      </c>
      <c r="C18" s="9" t="s">
        <v>37</v>
      </c>
      <c r="D18" s="9" t="s">
        <v>586</v>
      </c>
      <c r="E18" s="8" t="str">
        <f>"0,6744"</f>
        <v>0,6744</v>
      </c>
      <c r="F18" s="9" t="s">
        <v>19</v>
      </c>
      <c r="G18" s="9" t="s">
        <v>605</v>
      </c>
      <c r="H18" s="66" t="s">
        <v>20</v>
      </c>
      <c r="I18" s="66" t="s">
        <v>38</v>
      </c>
      <c r="J18" s="66" t="s">
        <v>21</v>
      </c>
      <c r="K18" s="84"/>
      <c r="L18" s="83">
        <v>160</v>
      </c>
      <c r="M18" s="83" t="str">
        <f>"107,9040"</f>
        <v>107,9040</v>
      </c>
      <c r="N18" s="9" t="s">
        <v>611</v>
      </c>
    </row>
    <row r="19" spans="1:14" ht="12.75">
      <c r="A19" s="43" t="s">
        <v>577</v>
      </c>
      <c r="B19" s="76" t="s">
        <v>39</v>
      </c>
      <c r="C19" s="11" t="s">
        <v>40</v>
      </c>
      <c r="D19" s="11" t="s">
        <v>587</v>
      </c>
      <c r="E19" s="10" t="str">
        <f>"0,6800"</f>
        <v>0,6800</v>
      </c>
      <c r="F19" s="11" t="s">
        <v>19</v>
      </c>
      <c r="G19" s="11" t="s">
        <v>450</v>
      </c>
      <c r="H19" s="68" t="s">
        <v>41</v>
      </c>
      <c r="I19" s="68" t="s">
        <v>42</v>
      </c>
      <c r="J19" s="68" t="s">
        <v>43</v>
      </c>
      <c r="K19" s="86"/>
      <c r="L19" s="85">
        <v>152.5</v>
      </c>
      <c r="M19" s="85" t="str">
        <f>"103,7000"</f>
        <v>103,7000</v>
      </c>
      <c r="N19" s="11" t="s">
        <v>612</v>
      </c>
    </row>
    <row r="20" spans="1:14" ht="12.75">
      <c r="A20" s="43" t="s">
        <v>578</v>
      </c>
      <c r="B20" s="77" t="s">
        <v>44</v>
      </c>
      <c r="C20" s="13" t="s">
        <v>45</v>
      </c>
      <c r="D20" s="13" t="s">
        <v>588</v>
      </c>
      <c r="E20" s="12" t="str">
        <f>"0,6709"</f>
        <v>0,6709</v>
      </c>
      <c r="F20" s="13" t="s">
        <v>19</v>
      </c>
      <c r="G20" s="13" t="s">
        <v>606</v>
      </c>
      <c r="H20" s="67" t="s">
        <v>46</v>
      </c>
      <c r="I20" s="67" t="s">
        <v>41</v>
      </c>
      <c r="J20" s="67" t="s">
        <v>20</v>
      </c>
      <c r="K20" s="88"/>
      <c r="L20" s="87">
        <v>150</v>
      </c>
      <c r="M20" s="87" t="str">
        <f>"100,6350"</f>
        <v>100,6350</v>
      </c>
      <c r="N20" s="13" t="s">
        <v>64</v>
      </c>
    </row>
    <row r="22" spans="2:13" ht="15.75">
      <c r="B22" s="190" t="s">
        <v>16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</row>
    <row r="23" spans="1:14" ht="12.75">
      <c r="A23" s="43" t="s">
        <v>576</v>
      </c>
      <c r="B23" s="75" t="s">
        <v>47</v>
      </c>
      <c r="C23" s="9" t="s">
        <v>48</v>
      </c>
      <c r="D23" s="9" t="s">
        <v>589</v>
      </c>
      <c r="E23" s="8" t="str">
        <f>"0,6388"</f>
        <v>0,6388</v>
      </c>
      <c r="F23" s="9" t="s">
        <v>19</v>
      </c>
      <c r="G23" s="9" t="s">
        <v>49</v>
      </c>
      <c r="H23" s="66" t="s">
        <v>38</v>
      </c>
      <c r="I23" s="66" t="s">
        <v>50</v>
      </c>
      <c r="J23" s="91" t="s">
        <v>51</v>
      </c>
      <c r="K23" s="84"/>
      <c r="L23" s="83">
        <v>165</v>
      </c>
      <c r="M23" s="83" t="str">
        <f>"105,4020"</f>
        <v>105,4020</v>
      </c>
      <c r="N23" s="9" t="s">
        <v>540</v>
      </c>
    </row>
    <row r="24" spans="1:14" ht="12.75">
      <c r="A24" s="43" t="s">
        <v>576</v>
      </c>
      <c r="B24" s="76" t="s">
        <v>52</v>
      </c>
      <c r="C24" s="11" t="s">
        <v>53</v>
      </c>
      <c r="D24" s="11" t="s">
        <v>590</v>
      </c>
      <c r="E24" s="10" t="str">
        <f>"0,6495"</f>
        <v>0,6495</v>
      </c>
      <c r="F24" s="11" t="s">
        <v>19</v>
      </c>
      <c r="G24" s="11" t="s">
        <v>607</v>
      </c>
      <c r="H24" s="68" t="s">
        <v>50</v>
      </c>
      <c r="I24" s="68" t="s">
        <v>54</v>
      </c>
      <c r="J24" s="90" t="s">
        <v>51</v>
      </c>
      <c r="K24" s="86"/>
      <c r="L24" s="85">
        <v>170</v>
      </c>
      <c r="M24" s="85" t="str">
        <f>"110,4150"</f>
        <v>110,4150</v>
      </c>
      <c r="N24" s="11" t="s">
        <v>64</v>
      </c>
    </row>
    <row r="25" spans="1:14" ht="12.75">
      <c r="A25" s="43" t="s">
        <v>577</v>
      </c>
      <c r="B25" s="76" t="s">
        <v>47</v>
      </c>
      <c r="C25" s="11" t="s">
        <v>55</v>
      </c>
      <c r="D25" s="11" t="s">
        <v>589</v>
      </c>
      <c r="E25" s="10" t="str">
        <f>"0,6388"</f>
        <v>0,6388</v>
      </c>
      <c r="F25" s="11" t="s">
        <v>19</v>
      </c>
      <c r="G25" s="11" t="s">
        <v>49</v>
      </c>
      <c r="H25" s="68" t="s">
        <v>50</v>
      </c>
      <c r="I25" s="86"/>
      <c r="J25" s="86"/>
      <c r="K25" s="86"/>
      <c r="L25" s="85">
        <v>165</v>
      </c>
      <c r="M25" s="85" t="str">
        <f>"105,4020"</f>
        <v>105,4020</v>
      </c>
      <c r="N25" s="11" t="s">
        <v>540</v>
      </c>
    </row>
    <row r="26" spans="1:14" ht="12.75">
      <c r="A26" s="43" t="s">
        <v>578</v>
      </c>
      <c r="B26" s="76" t="s">
        <v>56</v>
      </c>
      <c r="C26" s="11" t="s">
        <v>57</v>
      </c>
      <c r="D26" s="11" t="s">
        <v>591</v>
      </c>
      <c r="E26" s="10" t="str">
        <f>"0,6515"</f>
        <v>0,6515</v>
      </c>
      <c r="F26" s="11" t="s">
        <v>19</v>
      </c>
      <c r="G26" s="11" t="s">
        <v>450</v>
      </c>
      <c r="H26" s="68" t="s">
        <v>58</v>
      </c>
      <c r="I26" s="68" t="s">
        <v>43</v>
      </c>
      <c r="J26" s="68" t="s">
        <v>38</v>
      </c>
      <c r="K26" s="86"/>
      <c r="L26" s="85">
        <v>155</v>
      </c>
      <c r="M26" s="85" t="str">
        <f>"100,9825"</f>
        <v>100,9825</v>
      </c>
      <c r="N26" s="11" t="s">
        <v>613</v>
      </c>
    </row>
    <row r="27" spans="1:14" ht="12.75">
      <c r="A27" s="43" t="s">
        <v>576</v>
      </c>
      <c r="B27" s="76" t="s">
        <v>59</v>
      </c>
      <c r="C27" s="11" t="s">
        <v>60</v>
      </c>
      <c r="D27" s="11" t="s">
        <v>592</v>
      </c>
      <c r="E27" s="10" t="str">
        <f>"0,6463"</f>
        <v>0,6463</v>
      </c>
      <c r="F27" s="21" t="s">
        <v>735</v>
      </c>
      <c r="G27" s="11" t="s">
        <v>450</v>
      </c>
      <c r="H27" s="68" t="s">
        <v>61</v>
      </c>
      <c r="I27" s="68" t="s">
        <v>20</v>
      </c>
      <c r="J27" s="68" t="s">
        <v>38</v>
      </c>
      <c r="K27" s="86"/>
      <c r="L27" s="85">
        <v>155</v>
      </c>
      <c r="M27" s="85" t="str">
        <f>"100,6774"</f>
        <v>100,6774</v>
      </c>
      <c r="N27" s="11" t="s">
        <v>479</v>
      </c>
    </row>
    <row r="28" spans="1:14" ht="12.75">
      <c r="A28" s="43" t="s">
        <v>577</v>
      </c>
      <c r="B28" s="77" t="s">
        <v>62</v>
      </c>
      <c r="C28" s="13" t="s">
        <v>63</v>
      </c>
      <c r="D28" s="13" t="s">
        <v>563</v>
      </c>
      <c r="E28" s="12" t="str">
        <f>"0,6597"</f>
        <v>0,6597</v>
      </c>
      <c r="F28" s="13" t="s">
        <v>19</v>
      </c>
      <c r="G28" s="13" t="s">
        <v>450</v>
      </c>
      <c r="H28" s="89" t="s">
        <v>20</v>
      </c>
      <c r="I28" s="89" t="s">
        <v>43</v>
      </c>
      <c r="J28" s="89" t="s">
        <v>43</v>
      </c>
      <c r="K28" s="14"/>
      <c r="L28" s="80" t="s">
        <v>525</v>
      </c>
      <c r="M28" s="80" t="s">
        <v>525</v>
      </c>
      <c r="N28" s="13" t="s">
        <v>64</v>
      </c>
    </row>
    <row r="30" spans="2:13" ht="15.75">
      <c r="B30" s="190" t="s">
        <v>65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</row>
    <row r="31" spans="1:14" ht="12.75">
      <c r="A31" s="43" t="s">
        <v>576</v>
      </c>
      <c r="B31" s="75" t="s">
        <v>66</v>
      </c>
      <c r="C31" s="9" t="s">
        <v>67</v>
      </c>
      <c r="D31" s="9" t="s">
        <v>498</v>
      </c>
      <c r="E31" s="8" t="str">
        <f>"0,6093"</f>
        <v>0,6093</v>
      </c>
      <c r="F31" s="9" t="s">
        <v>19</v>
      </c>
      <c r="G31" s="9" t="s">
        <v>49</v>
      </c>
      <c r="H31" s="91" t="s">
        <v>61</v>
      </c>
      <c r="I31" s="66" t="s">
        <v>20</v>
      </c>
      <c r="J31" s="91" t="s">
        <v>21</v>
      </c>
      <c r="K31" s="84"/>
      <c r="L31" s="83">
        <v>150</v>
      </c>
      <c r="M31" s="83" t="str">
        <f>"91,3950"</f>
        <v>91,3950</v>
      </c>
      <c r="N31" s="9" t="s">
        <v>540</v>
      </c>
    </row>
    <row r="32" spans="1:14" ht="12.75">
      <c r="A32" s="43" t="s">
        <v>576</v>
      </c>
      <c r="B32" s="76" t="s">
        <v>68</v>
      </c>
      <c r="C32" s="11" t="s">
        <v>69</v>
      </c>
      <c r="D32" s="11" t="s">
        <v>498</v>
      </c>
      <c r="E32" s="10" t="str">
        <f>"0,6093"</f>
        <v>0,6093</v>
      </c>
      <c r="F32" s="11" t="s">
        <v>70</v>
      </c>
      <c r="G32" s="11" t="s">
        <v>450</v>
      </c>
      <c r="H32" s="68" t="s">
        <v>71</v>
      </c>
      <c r="I32" s="68" t="s">
        <v>72</v>
      </c>
      <c r="J32" s="92" t="s">
        <v>73</v>
      </c>
      <c r="K32" s="86"/>
      <c r="L32" s="85">
        <v>200</v>
      </c>
      <c r="M32" s="85" t="str">
        <f>"121,8600"</f>
        <v>121,8600</v>
      </c>
      <c r="N32" s="11" t="s">
        <v>64</v>
      </c>
    </row>
    <row r="33" spans="1:14" ht="12.75">
      <c r="A33" s="43" t="s">
        <v>577</v>
      </c>
      <c r="B33" s="76" t="s">
        <v>74</v>
      </c>
      <c r="C33" s="11" t="s">
        <v>75</v>
      </c>
      <c r="D33" s="11" t="s">
        <v>478</v>
      </c>
      <c r="E33" s="10" t="str">
        <f>"0,6111"</f>
        <v>0,6111</v>
      </c>
      <c r="F33" s="11" t="s">
        <v>19</v>
      </c>
      <c r="G33" s="11" t="s">
        <v>76</v>
      </c>
      <c r="H33" s="68" t="s">
        <v>71</v>
      </c>
      <c r="I33" s="68" t="s">
        <v>72</v>
      </c>
      <c r="J33" s="90" t="s">
        <v>73</v>
      </c>
      <c r="K33" s="86"/>
      <c r="L33" s="85">
        <v>195</v>
      </c>
      <c r="M33" s="85" t="str">
        <f>"119,1645"</f>
        <v>119,1645</v>
      </c>
      <c r="N33" s="11" t="s">
        <v>64</v>
      </c>
    </row>
    <row r="34" spans="1:14" ht="12.75">
      <c r="A34" s="43" t="s">
        <v>578</v>
      </c>
      <c r="B34" s="76" t="s">
        <v>77</v>
      </c>
      <c r="C34" s="11" t="s">
        <v>78</v>
      </c>
      <c r="D34" s="11" t="s">
        <v>593</v>
      </c>
      <c r="E34" s="10" t="str">
        <f>"0,6188"</f>
        <v>0,6188</v>
      </c>
      <c r="F34" s="11" t="s">
        <v>79</v>
      </c>
      <c r="G34" s="11" t="s">
        <v>608</v>
      </c>
      <c r="H34" s="68" t="s">
        <v>54</v>
      </c>
      <c r="I34" s="68" t="s">
        <v>80</v>
      </c>
      <c r="J34" s="90" t="s">
        <v>71</v>
      </c>
      <c r="K34" s="86"/>
      <c r="L34" s="85">
        <v>177.5</v>
      </c>
      <c r="M34" s="85" t="str">
        <f>"109,8370"</f>
        <v>109,8370</v>
      </c>
      <c r="N34" s="11" t="s">
        <v>64</v>
      </c>
    </row>
    <row r="35" spans="1:14" ht="12.75">
      <c r="A35" s="43" t="s">
        <v>579</v>
      </c>
      <c r="B35" s="76" t="s">
        <v>81</v>
      </c>
      <c r="C35" s="11" t="s">
        <v>82</v>
      </c>
      <c r="D35" s="11" t="s">
        <v>594</v>
      </c>
      <c r="E35" s="10" t="str">
        <f>"0,6126"</f>
        <v>0,6126</v>
      </c>
      <c r="F35" s="11" t="s">
        <v>19</v>
      </c>
      <c r="G35" s="11" t="s">
        <v>450</v>
      </c>
      <c r="H35" s="68" t="s">
        <v>21</v>
      </c>
      <c r="I35" s="68" t="s">
        <v>50</v>
      </c>
      <c r="J35" s="68" t="s">
        <v>54</v>
      </c>
      <c r="K35" s="86"/>
      <c r="L35" s="85">
        <v>170</v>
      </c>
      <c r="M35" s="85" t="str">
        <f>"104,1420"</f>
        <v>104,1420</v>
      </c>
      <c r="N35" s="11" t="s">
        <v>64</v>
      </c>
    </row>
    <row r="36" spans="1:14" ht="12.75">
      <c r="A36" s="43" t="s">
        <v>580</v>
      </c>
      <c r="B36" s="76" t="s">
        <v>83</v>
      </c>
      <c r="C36" s="11" t="s">
        <v>84</v>
      </c>
      <c r="D36" s="11" t="s">
        <v>595</v>
      </c>
      <c r="E36" s="10" t="str">
        <f>"0,6214"</f>
        <v>0,6214</v>
      </c>
      <c r="F36" s="11" t="s">
        <v>19</v>
      </c>
      <c r="G36" s="11" t="s">
        <v>487</v>
      </c>
      <c r="H36" s="68" t="s">
        <v>85</v>
      </c>
      <c r="I36" s="68" t="s">
        <v>86</v>
      </c>
      <c r="J36" s="90" t="s">
        <v>87</v>
      </c>
      <c r="K36" s="86"/>
      <c r="L36" s="85">
        <v>127.5</v>
      </c>
      <c r="M36" s="85" t="str">
        <f>"79,2285"</f>
        <v>79,2285</v>
      </c>
      <c r="N36" s="11" t="s">
        <v>610</v>
      </c>
    </row>
    <row r="37" spans="1:14" ht="12.75">
      <c r="A37" s="43" t="s">
        <v>576</v>
      </c>
      <c r="B37" s="77" t="s">
        <v>74</v>
      </c>
      <c r="C37" s="13" t="s">
        <v>88</v>
      </c>
      <c r="D37" s="13" t="s">
        <v>478</v>
      </c>
      <c r="E37" s="12" t="str">
        <f>"0,6111"</f>
        <v>0,6111</v>
      </c>
      <c r="F37" s="13" t="s">
        <v>19</v>
      </c>
      <c r="G37" s="13" t="s">
        <v>76</v>
      </c>
      <c r="H37" s="67" t="s">
        <v>71</v>
      </c>
      <c r="I37" s="67" t="s">
        <v>72</v>
      </c>
      <c r="J37" s="89" t="s">
        <v>73</v>
      </c>
      <c r="K37" s="88"/>
      <c r="L37" s="87">
        <v>195</v>
      </c>
      <c r="M37" s="87" t="str">
        <f>"119,7603"</f>
        <v>119,7603</v>
      </c>
      <c r="N37" s="13" t="s">
        <v>64</v>
      </c>
    </row>
    <row r="39" spans="2:13" ht="15.75">
      <c r="B39" s="190" t="s">
        <v>89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</row>
    <row r="40" spans="1:14" ht="12.75">
      <c r="A40" s="43" t="s">
        <v>576</v>
      </c>
      <c r="B40" s="75" t="s">
        <v>90</v>
      </c>
      <c r="C40" s="9" t="s">
        <v>91</v>
      </c>
      <c r="D40" s="9" t="s">
        <v>26</v>
      </c>
      <c r="E40" s="8" t="str">
        <f>"0,5885"</f>
        <v>0,5885</v>
      </c>
      <c r="F40" s="9" t="s">
        <v>19</v>
      </c>
      <c r="G40" s="9" t="s">
        <v>92</v>
      </c>
      <c r="H40" s="66" t="s">
        <v>71</v>
      </c>
      <c r="I40" s="66" t="s">
        <v>93</v>
      </c>
      <c r="J40" s="91" t="s">
        <v>72</v>
      </c>
      <c r="K40" s="84"/>
      <c r="L40" s="83">
        <v>190</v>
      </c>
      <c r="M40" s="83" t="str">
        <f>"111,8150"</f>
        <v>111,8150</v>
      </c>
      <c r="N40" s="9" t="s">
        <v>614</v>
      </c>
    </row>
    <row r="41" spans="1:14" ht="12.75">
      <c r="A41" s="43" t="s">
        <v>577</v>
      </c>
      <c r="B41" s="76" t="s">
        <v>94</v>
      </c>
      <c r="C41" s="11" t="s">
        <v>95</v>
      </c>
      <c r="D41" s="11" t="s">
        <v>596</v>
      </c>
      <c r="E41" s="10" t="str">
        <f>"0,6050"</f>
        <v>0,6050</v>
      </c>
      <c r="F41" s="11" t="s">
        <v>19</v>
      </c>
      <c r="G41" s="11" t="s">
        <v>609</v>
      </c>
      <c r="H41" s="68" t="s">
        <v>51</v>
      </c>
      <c r="I41" s="68" t="s">
        <v>71</v>
      </c>
      <c r="J41" s="90" t="s">
        <v>96</v>
      </c>
      <c r="K41" s="86"/>
      <c r="L41" s="85">
        <v>185</v>
      </c>
      <c r="M41" s="85" t="str">
        <f>"111,9250"</f>
        <v>111,9250</v>
      </c>
      <c r="N41" s="11" t="s">
        <v>64</v>
      </c>
    </row>
    <row r="42" spans="1:14" ht="12.75">
      <c r="A42" s="43" t="s">
        <v>578</v>
      </c>
      <c r="B42" s="76" t="s">
        <v>97</v>
      </c>
      <c r="C42" s="11" t="s">
        <v>98</v>
      </c>
      <c r="D42" s="11" t="s">
        <v>597</v>
      </c>
      <c r="E42" s="10" t="str">
        <f>"0,5892"</f>
        <v>0,5892</v>
      </c>
      <c r="F42" s="21" t="s">
        <v>735</v>
      </c>
      <c r="G42" s="11" t="s">
        <v>450</v>
      </c>
      <c r="H42" s="68" t="s">
        <v>54</v>
      </c>
      <c r="I42" s="68" t="s">
        <v>99</v>
      </c>
      <c r="J42" s="68" t="s">
        <v>71</v>
      </c>
      <c r="K42" s="86"/>
      <c r="L42" s="85">
        <v>185</v>
      </c>
      <c r="M42" s="85" t="str">
        <f>"109,0020"</f>
        <v>109,0020</v>
      </c>
      <c r="N42" s="11" t="s">
        <v>479</v>
      </c>
    </row>
    <row r="43" spans="1:14" ht="12.75">
      <c r="A43" s="43" t="s">
        <v>579</v>
      </c>
      <c r="B43" s="76" t="s">
        <v>100</v>
      </c>
      <c r="C43" s="11" t="s">
        <v>101</v>
      </c>
      <c r="D43" s="11" t="s">
        <v>598</v>
      </c>
      <c r="E43" s="10" t="str">
        <f>"0,5898"</f>
        <v>0,5898</v>
      </c>
      <c r="F43" s="11" t="s">
        <v>19</v>
      </c>
      <c r="G43" s="11" t="s">
        <v>487</v>
      </c>
      <c r="H43" s="68" t="s">
        <v>99</v>
      </c>
      <c r="I43" s="90" t="s">
        <v>71</v>
      </c>
      <c r="J43" s="90" t="s">
        <v>71</v>
      </c>
      <c r="K43" s="86"/>
      <c r="L43" s="85">
        <v>180</v>
      </c>
      <c r="M43" s="85" t="str">
        <f>"106,1640"</f>
        <v>106,1640</v>
      </c>
      <c r="N43" s="11" t="s">
        <v>615</v>
      </c>
    </row>
    <row r="44" spans="1:14" ht="12.75">
      <c r="A44" s="43" t="s">
        <v>580</v>
      </c>
      <c r="B44" s="76" t="s">
        <v>102</v>
      </c>
      <c r="C44" s="11" t="s">
        <v>103</v>
      </c>
      <c r="D44" s="11" t="s">
        <v>599</v>
      </c>
      <c r="E44" s="10" t="str">
        <f>"0,6002"</f>
        <v>0,6002</v>
      </c>
      <c r="F44" s="21" t="s">
        <v>735</v>
      </c>
      <c r="G44" s="11" t="s">
        <v>104</v>
      </c>
      <c r="H44" s="90" t="s">
        <v>21</v>
      </c>
      <c r="I44" s="68" t="s">
        <v>21</v>
      </c>
      <c r="J44" s="68" t="s">
        <v>105</v>
      </c>
      <c r="K44" s="86"/>
      <c r="L44" s="85">
        <v>167.5</v>
      </c>
      <c r="M44" s="85" t="str">
        <f>"100,5335"</f>
        <v>100,5335</v>
      </c>
      <c r="N44" s="11" t="s">
        <v>479</v>
      </c>
    </row>
    <row r="45" spans="1:14" ht="12.75">
      <c r="A45" s="43" t="s">
        <v>581</v>
      </c>
      <c r="B45" s="76" t="s">
        <v>106</v>
      </c>
      <c r="C45" s="11" t="s">
        <v>107</v>
      </c>
      <c r="D45" s="11" t="s">
        <v>600</v>
      </c>
      <c r="E45" s="10" t="str">
        <f>"0,5917"</f>
        <v>0,5917</v>
      </c>
      <c r="F45" s="11" t="s">
        <v>13</v>
      </c>
      <c r="G45" s="11" t="s">
        <v>487</v>
      </c>
      <c r="H45" s="68" t="s">
        <v>58</v>
      </c>
      <c r="I45" s="68" t="s">
        <v>20</v>
      </c>
      <c r="J45" s="68" t="s">
        <v>38</v>
      </c>
      <c r="K45" s="86"/>
      <c r="L45" s="85">
        <v>155</v>
      </c>
      <c r="M45" s="85" t="str">
        <f>"91,7135"</f>
        <v>91,7135</v>
      </c>
      <c r="N45" s="11" t="s">
        <v>493</v>
      </c>
    </row>
    <row r="46" spans="1:14" ht="12.75">
      <c r="A46" s="43" t="s">
        <v>576</v>
      </c>
      <c r="B46" s="77" t="s">
        <v>108</v>
      </c>
      <c r="C46" s="13" t="s">
        <v>109</v>
      </c>
      <c r="D46" s="13" t="s">
        <v>601</v>
      </c>
      <c r="E46" s="12" t="str">
        <f>"0,6019"</f>
        <v>0,6019</v>
      </c>
      <c r="F46" s="13" t="s">
        <v>110</v>
      </c>
      <c r="G46" s="13" t="s">
        <v>459</v>
      </c>
      <c r="H46" s="67" t="s">
        <v>85</v>
      </c>
      <c r="I46" s="67" t="s">
        <v>111</v>
      </c>
      <c r="J46" s="67" t="s">
        <v>87</v>
      </c>
      <c r="K46" s="88"/>
      <c r="L46" s="87">
        <v>130</v>
      </c>
      <c r="M46" s="87" t="str">
        <f>"112,6757"</f>
        <v>112,6757</v>
      </c>
      <c r="N46" s="13" t="s">
        <v>64</v>
      </c>
    </row>
    <row r="48" spans="2:13" ht="15.75">
      <c r="B48" s="190" t="s">
        <v>112</v>
      </c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</row>
    <row r="49" spans="1:14" ht="12.75">
      <c r="A49" s="43" t="s">
        <v>576</v>
      </c>
      <c r="B49" s="75" t="s">
        <v>113</v>
      </c>
      <c r="C49" s="9" t="s">
        <v>114</v>
      </c>
      <c r="D49" s="9" t="s">
        <v>602</v>
      </c>
      <c r="E49" s="8" t="str">
        <f>"0,5853"</f>
        <v>0,5853</v>
      </c>
      <c r="F49" s="9" t="s">
        <v>115</v>
      </c>
      <c r="G49" s="9" t="s">
        <v>605</v>
      </c>
      <c r="H49" s="66" t="s">
        <v>116</v>
      </c>
      <c r="I49" s="91" t="s">
        <v>117</v>
      </c>
      <c r="J49" s="91" t="s">
        <v>117</v>
      </c>
      <c r="K49" s="84"/>
      <c r="L49" s="83">
        <v>215</v>
      </c>
      <c r="M49" s="83" t="str">
        <f>"125,8395"</f>
        <v>125,8395</v>
      </c>
      <c r="N49" s="9" t="s">
        <v>616</v>
      </c>
    </row>
    <row r="50" spans="1:14" ht="12.75">
      <c r="A50" s="43" t="s">
        <v>576</v>
      </c>
      <c r="B50" s="76" t="s">
        <v>118</v>
      </c>
      <c r="C50" s="11" t="s">
        <v>119</v>
      </c>
      <c r="D50" s="11" t="s">
        <v>603</v>
      </c>
      <c r="E50" s="10" t="str">
        <f>"0,5751"</f>
        <v>0,5751</v>
      </c>
      <c r="F50" s="11" t="s">
        <v>19</v>
      </c>
      <c r="G50" s="11" t="s">
        <v>450</v>
      </c>
      <c r="H50" s="68" t="s">
        <v>51</v>
      </c>
      <c r="I50" s="90" t="s">
        <v>99</v>
      </c>
      <c r="J50" s="68" t="s">
        <v>120</v>
      </c>
      <c r="K50" s="86"/>
      <c r="L50" s="85">
        <v>182.5</v>
      </c>
      <c r="M50" s="85" t="str">
        <f>"104,9558"</f>
        <v>104,9558</v>
      </c>
      <c r="N50" s="11" t="s">
        <v>64</v>
      </c>
    </row>
    <row r="51" spans="1:14" ht="12.75">
      <c r="A51" s="43" t="s">
        <v>577</v>
      </c>
      <c r="B51" s="77" t="s">
        <v>121</v>
      </c>
      <c r="C51" s="13" t="s">
        <v>122</v>
      </c>
      <c r="D51" s="13" t="s">
        <v>604</v>
      </c>
      <c r="E51" s="12" t="str">
        <f>"0,5872"</f>
        <v>0,5872</v>
      </c>
      <c r="F51" s="13" t="s">
        <v>19</v>
      </c>
      <c r="G51" s="13" t="s">
        <v>123</v>
      </c>
      <c r="H51" s="67" t="s">
        <v>50</v>
      </c>
      <c r="I51" s="67" t="s">
        <v>51</v>
      </c>
      <c r="J51" s="89" t="s">
        <v>120</v>
      </c>
      <c r="K51" s="88"/>
      <c r="L51" s="87">
        <v>175</v>
      </c>
      <c r="M51" s="87" t="str">
        <f>"102,7600"</f>
        <v>102,7600</v>
      </c>
      <c r="N51" s="13" t="s">
        <v>64</v>
      </c>
    </row>
    <row r="54" spans="2:3" ht="18">
      <c r="B54" s="15" t="s">
        <v>124</v>
      </c>
      <c r="C54" s="41"/>
    </row>
    <row r="55" spans="2:3" ht="13.5">
      <c r="B55" s="16"/>
      <c r="C55" s="78"/>
    </row>
    <row r="56" spans="2:6" ht="13.5">
      <c r="B56" s="17" t="s">
        <v>126</v>
      </c>
      <c r="C56" s="79" t="s">
        <v>127</v>
      </c>
      <c r="D56" s="79" t="s">
        <v>128</v>
      </c>
      <c r="E56" s="17" t="s">
        <v>129</v>
      </c>
      <c r="F56" s="17" t="s">
        <v>130</v>
      </c>
    </row>
    <row r="57" spans="1:6" ht="12.75">
      <c r="A57" s="43" t="s">
        <v>576</v>
      </c>
      <c r="B57" s="42" t="s">
        <v>68</v>
      </c>
      <c r="C57" s="5" t="s">
        <v>125</v>
      </c>
      <c r="D57" s="43" t="s">
        <v>582</v>
      </c>
      <c r="E57" s="43" t="s">
        <v>73</v>
      </c>
      <c r="F57" s="43" t="s">
        <v>132</v>
      </c>
    </row>
    <row r="58" spans="1:6" ht="12.75">
      <c r="A58" s="43" t="s">
        <v>577</v>
      </c>
      <c r="B58" s="42" t="s">
        <v>74</v>
      </c>
      <c r="C58" s="5" t="s">
        <v>125</v>
      </c>
      <c r="D58" s="43" t="s">
        <v>582</v>
      </c>
      <c r="E58" s="43" t="s">
        <v>72</v>
      </c>
      <c r="F58" s="43" t="s">
        <v>133</v>
      </c>
    </row>
    <row r="59" spans="1:6" ht="12.75">
      <c r="A59" s="43" t="s">
        <v>578</v>
      </c>
      <c r="B59" s="42" t="s">
        <v>94</v>
      </c>
      <c r="C59" s="5" t="s">
        <v>125</v>
      </c>
      <c r="D59" s="43" t="s">
        <v>533</v>
      </c>
      <c r="E59" s="43" t="s">
        <v>71</v>
      </c>
      <c r="F59" s="43" t="s">
        <v>134</v>
      </c>
    </row>
  </sheetData>
  <sheetProtection/>
  <mergeCells count="21">
    <mergeCell ref="A3:A4"/>
    <mergeCell ref="B1:N2"/>
    <mergeCell ref="H3:K3"/>
    <mergeCell ref="B3:B4"/>
    <mergeCell ref="C3:C4"/>
    <mergeCell ref="D3:D4"/>
    <mergeCell ref="N3:N4"/>
    <mergeCell ref="G3:G4"/>
    <mergeCell ref="F3:F4"/>
    <mergeCell ref="B5:M5"/>
    <mergeCell ref="B8:M8"/>
    <mergeCell ref="B11:M11"/>
    <mergeCell ref="E3:E4"/>
    <mergeCell ref="L3:L4"/>
    <mergeCell ref="M3:M4"/>
    <mergeCell ref="B14:M14"/>
    <mergeCell ref="B17:M17"/>
    <mergeCell ref="B22:M22"/>
    <mergeCell ref="B30:M30"/>
    <mergeCell ref="B39:M39"/>
    <mergeCell ref="B48:M48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H17" sqref="H17"/>
    </sheetView>
  </sheetViews>
  <sheetFormatPr defaultColWidth="11.375" defaultRowHeight="12.75"/>
  <cols>
    <col min="1" max="1" width="7.875" style="110" customWidth="1"/>
    <col min="2" max="2" width="19.625" style="0" customWidth="1"/>
    <col min="3" max="3" width="24.00390625" style="0" customWidth="1"/>
    <col min="4" max="4" width="10.375" style="0" customWidth="1"/>
    <col min="5" max="5" width="15.375" style="0" customWidth="1"/>
    <col min="6" max="6" width="32.875" style="0" customWidth="1"/>
    <col min="7" max="9" width="11.375" style="0" customWidth="1"/>
    <col min="10" max="10" width="10.75390625" style="0" customWidth="1"/>
    <col min="11" max="11" width="11.375" style="0" customWidth="1"/>
    <col min="12" max="12" width="11.25390625" style="0" customWidth="1"/>
    <col min="13" max="13" width="8.75390625" style="0" customWidth="1"/>
    <col min="14" max="14" width="12.625" style="0" customWidth="1"/>
    <col min="15" max="15" width="15.375" style="0" customWidth="1"/>
    <col min="16" max="18" width="11.375" style="0" hidden="1" customWidth="1"/>
  </cols>
  <sheetData>
    <row r="1" spans="1:18" s="1" customFormat="1" ht="15" customHeight="1">
      <c r="A1" s="43"/>
      <c r="B1" s="212" t="s">
        <v>725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</row>
    <row r="2" spans="1:18" s="1" customFormat="1" ht="126" customHeight="1" thickBot="1">
      <c r="A2" s="43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5" ht="13.5">
      <c r="A3" s="205" t="s">
        <v>446</v>
      </c>
      <c r="B3" s="222" t="s">
        <v>0</v>
      </c>
      <c r="C3" s="103" t="s">
        <v>712</v>
      </c>
      <c r="D3" s="223" t="s">
        <v>448</v>
      </c>
      <c r="E3" s="223" t="s">
        <v>7</v>
      </c>
      <c r="F3" s="223" t="s">
        <v>713</v>
      </c>
      <c r="G3" s="225" t="s">
        <v>714</v>
      </c>
      <c r="H3" s="226"/>
      <c r="I3" s="226"/>
      <c r="J3" s="227"/>
      <c r="K3" s="228" t="s">
        <v>715</v>
      </c>
      <c r="L3" s="226"/>
      <c r="M3" s="226"/>
      <c r="N3" s="229" t="s">
        <v>716</v>
      </c>
      <c r="O3" s="221" t="s">
        <v>5</v>
      </c>
    </row>
    <row r="4" spans="1:15" ht="15" thickBot="1">
      <c r="A4" s="206"/>
      <c r="B4" s="197"/>
      <c r="C4" s="104" t="s">
        <v>717</v>
      </c>
      <c r="D4" s="224"/>
      <c r="E4" s="224"/>
      <c r="F4" s="224"/>
      <c r="G4" s="105" t="s">
        <v>576</v>
      </c>
      <c r="H4" s="105" t="s">
        <v>577</v>
      </c>
      <c r="I4" s="105" t="s">
        <v>578</v>
      </c>
      <c r="J4" s="105" t="s">
        <v>453</v>
      </c>
      <c r="K4" s="105" t="s">
        <v>618</v>
      </c>
      <c r="L4" s="105" t="s">
        <v>453</v>
      </c>
      <c r="M4" s="106" t="s">
        <v>654</v>
      </c>
      <c r="N4" s="230"/>
      <c r="O4" s="167"/>
    </row>
    <row r="5" spans="2:18" ht="15.75">
      <c r="B5" s="204" t="s">
        <v>718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</row>
    <row r="6" spans="2:18" ht="15.75">
      <c r="B6" s="204" t="s">
        <v>724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</row>
    <row r="7" spans="1:15" ht="12.75">
      <c r="A7" s="32">
        <v>1</v>
      </c>
      <c r="B7" s="25" t="s">
        <v>750</v>
      </c>
      <c r="C7" s="107" t="s">
        <v>751</v>
      </c>
      <c r="D7" s="107" t="s">
        <v>478</v>
      </c>
      <c r="E7" s="107" t="s">
        <v>19</v>
      </c>
      <c r="F7" s="25" t="s">
        <v>450</v>
      </c>
      <c r="G7" s="112">
        <v>145</v>
      </c>
      <c r="H7" s="113">
        <v>145</v>
      </c>
      <c r="I7" s="112">
        <v>152.5</v>
      </c>
      <c r="J7" s="114">
        <v>152.5</v>
      </c>
      <c r="K7" s="114">
        <v>100</v>
      </c>
      <c r="L7" s="115">
        <v>16</v>
      </c>
      <c r="M7" s="116">
        <v>1600</v>
      </c>
      <c r="N7" s="117">
        <v>40</v>
      </c>
      <c r="O7" s="108" t="s">
        <v>721</v>
      </c>
    </row>
    <row r="8" spans="2:18" ht="15.75">
      <c r="B8" s="204" t="s">
        <v>16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</row>
    <row r="9" spans="1:15" ht="12.75">
      <c r="A9" s="32">
        <v>1</v>
      </c>
      <c r="B9" s="25" t="s">
        <v>232</v>
      </c>
      <c r="C9" s="107" t="s">
        <v>233</v>
      </c>
      <c r="D9" s="107" t="s">
        <v>752</v>
      </c>
      <c r="E9" s="107" t="s">
        <v>19</v>
      </c>
      <c r="F9" s="25" t="s">
        <v>450</v>
      </c>
      <c r="G9" s="112">
        <v>185</v>
      </c>
      <c r="H9" s="114"/>
      <c r="I9" s="114"/>
      <c r="J9" s="114">
        <v>185</v>
      </c>
      <c r="K9" s="114"/>
      <c r="L9" s="115"/>
      <c r="M9" s="116"/>
      <c r="N9" s="117">
        <v>20</v>
      </c>
      <c r="O9" s="108" t="s">
        <v>721</v>
      </c>
    </row>
  </sheetData>
  <sheetProtection/>
  <mergeCells count="13">
    <mergeCell ref="G3:J3"/>
    <mergeCell ref="K3:M3"/>
    <mergeCell ref="N3:N4"/>
    <mergeCell ref="O3:O4"/>
    <mergeCell ref="B5:R5"/>
    <mergeCell ref="B6:R6"/>
    <mergeCell ref="A3:A4"/>
    <mergeCell ref="B1:R2"/>
    <mergeCell ref="B8:R8"/>
    <mergeCell ref="B3:B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3">
      <selection activeCell="F14" sqref="F14"/>
    </sheetView>
  </sheetViews>
  <sheetFormatPr defaultColWidth="8.75390625" defaultRowHeight="12.75"/>
  <cols>
    <col min="1" max="1" width="9.00390625" style="0" customWidth="1"/>
    <col min="2" max="2" width="20.125" style="18" customWidth="1"/>
    <col min="3" max="3" width="26.875" style="18" customWidth="1"/>
    <col min="4" max="4" width="10.625" style="18" bestFit="1" customWidth="1"/>
    <col min="5" max="5" width="8.375" style="18" bestFit="1" customWidth="1"/>
    <col min="6" max="6" width="22.75390625" style="18" bestFit="1" customWidth="1"/>
    <col min="7" max="7" width="36.25390625" style="18" customWidth="1"/>
    <col min="8" max="10" width="5.625" style="18" bestFit="1" customWidth="1"/>
    <col min="11" max="11" width="4.625" style="18" bestFit="1" customWidth="1"/>
    <col min="12" max="12" width="11.625" style="18" customWidth="1"/>
    <col min="13" max="13" width="8.625" style="18" bestFit="1" customWidth="1"/>
    <col min="14" max="14" width="19.75390625" style="18" bestFit="1" customWidth="1"/>
  </cols>
  <sheetData>
    <row r="1" spans="2:14" s="1" customFormat="1" ht="15" customHeight="1">
      <c r="B1" s="212" t="s">
        <v>749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2:14" s="1" customFormat="1" ht="111.75" customHeight="1" thickBot="1"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2" customFormat="1" ht="12.75" customHeight="1">
      <c r="A3" s="205" t="s">
        <v>446</v>
      </c>
      <c r="B3" s="216" t="s">
        <v>0</v>
      </c>
      <c r="C3" s="220" t="s">
        <v>447</v>
      </c>
      <c r="D3" s="220" t="s">
        <v>448</v>
      </c>
      <c r="E3" s="207" t="s">
        <v>9</v>
      </c>
      <c r="F3" s="207" t="s">
        <v>7</v>
      </c>
      <c r="G3" s="218" t="s">
        <v>449</v>
      </c>
      <c r="H3" s="207" t="s">
        <v>1</v>
      </c>
      <c r="I3" s="207"/>
      <c r="J3" s="207"/>
      <c r="K3" s="207"/>
      <c r="L3" s="207" t="s">
        <v>453</v>
      </c>
      <c r="M3" s="207" t="s">
        <v>6</v>
      </c>
      <c r="N3" s="209" t="s">
        <v>5</v>
      </c>
    </row>
    <row r="4" spans="1:14" s="2" customFormat="1" ht="21" customHeight="1" thickBot="1">
      <c r="A4" s="206"/>
      <c r="B4" s="217"/>
      <c r="C4" s="208"/>
      <c r="D4" s="208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208"/>
      <c r="M4" s="208"/>
      <c r="N4" s="210"/>
    </row>
    <row r="5" spans="2:13" ht="15.75">
      <c r="B5" s="211" t="s">
        <v>35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4" ht="12.75">
      <c r="A6" s="32">
        <v>1</v>
      </c>
      <c r="B6" s="25" t="s">
        <v>359</v>
      </c>
      <c r="C6" s="25" t="s">
        <v>360</v>
      </c>
      <c r="D6" s="25" t="s">
        <v>451</v>
      </c>
      <c r="E6" s="25" t="str">
        <f>"0,6759"</f>
        <v>0,6759</v>
      </c>
      <c r="F6" s="25" t="s">
        <v>19</v>
      </c>
      <c r="G6" s="25" t="s">
        <v>450</v>
      </c>
      <c r="H6" s="36" t="s">
        <v>99</v>
      </c>
      <c r="I6" s="36" t="s">
        <v>93</v>
      </c>
      <c r="J6" s="37" t="s">
        <v>73</v>
      </c>
      <c r="K6" s="34"/>
      <c r="L6" s="33" t="s">
        <v>93</v>
      </c>
      <c r="M6" s="33" t="str">
        <f>"128,4210"</f>
        <v>128,4210</v>
      </c>
      <c r="N6" s="25" t="s">
        <v>452</v>
      </c>
    </row>
  </sheetData>
  <sheetProtection/>
  <mergeCells count="13">
    <mergeCell ref="A3:A4"/>
    <mergeCell ref="G3:G4"/>
    <mergeCell ref="L3:L4"/>
    <mergeCell ref="M3:M4"/>
    <mergeCell ref="N3:N4"/>
    <mergeCell ref="B5:M5"/>
    <mergeCell ref="B1:N2"/>
    <mergeCell ref="E3:E4"/>
    <mergeCell ref="F3:F4"/>
    <mergeCell ref="H3:K3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C18" sqref="C18"/>
    </sheetView>
  </sheetViews>
  <sheetFormatPr defaultColWidth="8.75390625" defaultRowHeight="12.75"/>
  <cols>
    <col min="1" max="1" width="7.25390625" style="0" customWidth="1"/>
    <col min="2" max="2" width="19.75390625" style="18" customWidth="1"/>
    <col min="3" max="3" width="25.25390625" style="18" customWidth="1"/>
    <col min="4" max="4" width="10.625" style="18" bestFit="1" customWidth="1"/>
    <col min="5" max="5" width="8.375" style="18" bestFit="1" customWidth="1"/>
    <col min="6" max="6" width="22.75390625" style="18" bestFit="1" customWidth="1"/>
    <col min="7" max="7" width="36.25390625" style="18" customWidth="1"/>
    <col min="8" max="10" width="5.625" style="18" bestFit="1" customWidth="1"/>
    <col min="11" max="11" width="4.625" style="18" bestFit="1" customWidth="1"/>
    <col min="12" max="12" width="11.25390625" style="18" customWidth="1"/>
    <col min="13" max="13" width="8.625" style="18" bestFit="1" customWidth="1"/>
    <col min="14" max="14" width="15.375" style="18" bestFit="1" customWidth="1"/>
  </cols>
  <sheetData>
    <row r="1" spans="2:14" s="1" customFormat="1" ht="15" customHeight="1">
      <c r="B1" s="212" t="s">
        <v>748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2:14" s="1" customFormat="1" ht="105" customHeight="1" thickBot="1"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2" customFormat="1" ht="12.75" customHeight="1">
      <c r="A3" s="205" t="s">
        <v>446</v>
      </c>
      <c r="B3" s="216" t="s">
        <v>0</v>
      </c>
      <c r="C3" s="220" t="s">
        <v>447</v>
      </c>
      <c r="D3" s="220" t="s">
        <v>448</v>
      </c>
      <c r="E3" s="207" t="s">
        <v>9</v>
      </c>
      <c r="F3" s="207" t="s">
        <v>7</v>
      </c>
      <c r="G3" s="218" t="s">
        <v>449</v>
      </c>
      <c r="H3" s="207" t="s">
        <v>1</v>
      </c>
      <c r="I3" s="207"/>
      <c r="J3" s="207"/>
      <c r="K3" s="207"/>
      <c r="L3" s="207" t="s">
        <v>453</v>
      </c>
      <c r="M3" s="207" t="s">
        <v>6</v>
      </c>
      <c r="N3" s="209" t="s">
        <v>5</v>
      </c>
    </row>
    <row r="4" spans="1:14" s="2" customFormat="1" ht="21" customHeight="1" thickBot="1">
      <c r="A4" s="206"/>
      <c r="B4" s="217"/>
      <c r="C4" s="208"/>
      <c r="D4" s="208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208"/>
      <c r="M4" s="208"/>
      <c r="N4" s="210"/>
    </row>
    <row r="5" spans="2:13" ht="15.75">
      <c r="B5" s="211" t="s">
        <v>10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4" ht="12.75">
      <c r="A6" s="32">
        <v>1</v>
      </c>
      <c r="B6" s="25" t="s">
        <v>310</v>
      </c>
      <c r="C6" s="25" t="s">
        <v>311</v>
      </c>
      <c r="D6" s="25" t="s">
        <v>457</v>
      </c>
      <c r="E6" s="25" t="str">
        <f>"1,0217"</f>
        <v>1,0217</v>
      </c>
      <c r="F6" s="25" t="s">
        <v>19</v>
      </c>
      <c r="G6" s="25" t="s">
        <v>450</v>
      </c>
      <c r="H6" s="36" t="s">
        <v>26</v>
      </c>
      <c r="I6" s="36" t="s">
        <v>27</v>
      </c>
      <c r="J6" s="36" t="s">
        <v>85</v>
      </c>
      <c r="K6" s="34"/>
      <c r="L6" s="33" t="s">
        <v>85</v>
      </c>
      <c r="M6" s="33" t="str">
        <f>"122,6040"</f>
        <v>122,6040</v>
      </c>
      <c r="N6" s="25" t="s">
        <v>64</v>
      </c>
    </row>
  </sheetData>
  <sheetProtection/>
  <mergeCells count="13"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</mergeCells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D31" sqref="D31"/>
    </sheetView>
  </sheetViews>
  <sheetFormatPr defaultColWidth="8.75390625" defaultRowHeight="12.75"/>
  <cols>
    <col min="1" max="1" width="7.625" style="32" customWidth="1"/>
    <col min="2" max="2" width="15.00390625" style="18" customWidth="1"/>
    <col min="3" max="3" width="26.875" style="18" bestFit="1" customWidth="1"/>
    <col min="4" max="4" width="10.625" style="18" bestFit="1" customWidth="1"/>
    <col min="5" max="5" width="8.375" style="18" bestFit="1" customWidth="1"/>
    <col min="6" max="6" width="15.75390625" style="18" customWidth="1"/>
    <col min="7" max="7" width="35.75390625" style="18" customWidth="1"/>
    <col min="8" max="10" width="5.625" style="18" bestFit="1" customWidth="1"/>
    <col min="11" max="11" width="4.625" style="18" bestFit="1" customWidth="1"/>
    <col min="12" max="12" width="11.375" style="18" customWidth="1"/>
    <col min="13" max="13" width="8.625" style="18" bestFit="1" customWidth="1"/>
    <col min="14" max="14" width="15.75390625" style="18" bestFit="1" customWidth="1"/>
  </cols>
  <sheetData>
    <row r="1" spans="1:14" s="1" customFormat="1" ht="15" customHeight="1">
      <c r="A1" s="43"/>
      <c r="B1" s="212" t="s">
        <v>747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1" customFormat="1" ht="97.5" customHeight="1" thickBot="1">
      <c r="A2" s="43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2" customFormat="1" ht="12.75" customHeight="1">
      <c r="A3" s="205" t="s">
        <v>446</v>
      </c>
      <c r="B3" s="216" t="s">
        <v>0</v>
      </c>
      <c r="C3" s="220" t="s">
        <v>447</v>
      </c>
      <c r="D3" s="220" t="s">
        <v>448</v>
      </c>
      <c r="E3" s="207" t="s">
        <v>9</v>
      </c>
      <c r="F3" s="207" t="s">
        <v>7</v>
      </c>
      <c r="G3" s="218" t="s">
        <v>449</v>
      </c>
      <c r="H3" s="207" t="s">
        <v>1</v>
      </c>
      <c r="I3" s="207"/>
      <c r="J3" s="207"/>
      <c r="K3" s="207"/>
      <c r="L3" s="207" t="s">
        <v>453</v>
      </c>
      <c r="M3" s="207" t="s">
        <v>6</v>
      </c>
      <c r="N3" s="209" t="s">
        <v>5</v>
      </c>
    </row>
    <row r="4" spans="1:14" s="2" customFormat="1" ht="21" customHeight="1" thickBot="1">
      <c r="A4" s="206"/>
      <c r="B4" s="217"/>
      <c r="C4" s="208"/>
      <c r="D4" s="208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208"/>
      <c r="M4" s="208"/>
      <c r="N4" s="210"/>
    </row>
    <row r="5" spans="2:13" ht="15.75">
      <c r="B5" s="211" t="s">
        <v>16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4" ht="12.75">
      <c r="A6" s="32">
        <v>1</v>
      </c>
      <c r="B6" s="25" t="s">
        <v>279</v>
      </c>
      <c r="C6" s="25" t="s">
        <v>280</v>
      </c>
      <c r="D6" s="25" t="s">
        <v>454</v>
      </c>
      <c r="E6" s="25" t="str">
        <f>"0,6475"</f>
        <v>0,6475</v>
      </c>
      <c r="F6" s="25" t="s">
        <v>19</v>
      </c>
      <c r="G6" s="25" t="s">
        <v>450</v>
      </c>
      <c r="H6" s="37" t="s">
        <v>61</v>
      </c>
      <c r="I6" s="36" t="s">
        <v>61</v>
      </c>
      <c r="J6" s="36" t="s">
        <v>20</v>
      </c>
      <c r="K6" s="34"/>
      <c r="L6" s="33" t="s">
        <v>20</v>
      </c>
      <c r="M6" s="33" t="str">
        <f>"97,1250"</f>
        <v>97,1250</v>
      </c>
      <c r="N6" s="25" t="s">
        <v>64</v>
      </c>
    </row>
    <row r="8" spans="2:13" ht="15.75">
      <c r="B8" s="204" t="s">
        <v>65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</row>
    <row r="9" spans="1:14" ht="12.75">
      <c r="A9" s="32">
        <v>1</v>
      </c>
      <c r="B9" s="25" t="s">
        <v>391</v>
      </c>
      <c r="C9" s="25" t="s">
        <v>392</v>
      </c>
      <c r="D9" s="25" t="s">
        <v>455</v>
      </c>
      <c r="E9" s="25" t="str">
        <f>"0,6276"</f>
        <v>0,6276</v>
      </c>
      <c r="F9" s="25" t="s">
        <v>19</v>
      </c>
      <c r="G9" s="25" t="s">
        <v>450</v>
      </c>
      <c r="H9" s="36" t="s">
        <v>54</v>
      </c>
      <c r="I9" s="36" t="s">
        <v>99</v>
      </c>
      <c r="J9" s="36" t="s">
        <v>93</v>
      </c>
      <c r="K9" s="34"/>
      <c r="L9" s="33" t="s">
        <v>93</v>
      </c>
      <c r="M9" s="33" t="str">
        <f>"146,4316"</f>
        <v>146,4316</v>
      </c>
      <c r="N9" s="25" t="s">
        <v>64</v>
      </c>
    </row>
    <row r="11" spans="2:13" ht="15.75">
      <c r="B11" s="204" t="s">
        <v>296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</row>
    <row r="12" spans="1:14" ht="12.75">
      <c r="A12" s="32">
        <v>1</v>
      </c>
      <c r="B12" s="25" t="s">
        <v>297</v>
      </c>
      <c r="C12" s="25" t="s">
        <v>298</v>
      </c>
      <c r="D12" s="25" t="s">
        <v>456</v>
      </c>
      <c r="E12" s="25" t="str">
        <f>"0,5491"</f>
        <v>0,5491</v>
      </c>
      <c r="F12" s="25" t="s">
        <v>19</v>
      </c>
      <c r="G12" s="25" t="s">
        <v>450</v>
      </c>
      <c r="H12" s="36" t="s">
        <v>117</v>
      </c>
      <c r="I12" s="36" t="s">
        <v>265</v>
      </c>
      <c r="J12" s="37" t="s">
        <v>299</v>
      </c>
      <c r="K12" s="34"/>
      <c r="L12" s="33" t="s">
        <v>265</v>
      </c>
      <c r="M12" s="33" t="str">
        <f>"123,5475"</f>
        <v>123,5475</v>
      </c>
      <c r="N12" s="25" t="s">
        <v>64</v>
      </c>
    </row>
  </sheetData>
  <sheetProtection/>
  <mergeCells count="15">
    <mergeCell ref="L3:L4"/>
    <mergeCell ref="M3:M4"/>
    <mergeCell ref="N3:N4"/>
    <mergeCell ref="B5:M5"/>
    <mergeCell ref="B8:M8"/>
    <mergeCell ref="B11:M11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G41" sqref="G41"/>
    </sheetView>
  </sheetViews>
  <sheetFormatPr defaultColWidth="8.75390625" defaultRowHeight="12.75"/>
  <cols>
    <col min="1" max="1" width="7.875" style="32" customWidth="1"/>
    <col min="2" max="2" width="17.25390625" style="18" customWidth="1"/>
    <col min="3" max="3" width="27.125" style="18" bestFit="1" customWidth="1"/>
    <col min="4" max="4" width="10.625" style="18" bestFit="1" customWidth="1"/>
    <col min="5" max="5" width="8.375" style="18" bestFit="1" customWidth="1"/>
    <col min="6" max="6" width="20.125" style="18" customWidth="1"/>
    <col min="7" max="7" width="36.375" style="18" customWidth="1"/>
    <col min="8" max="10" width="5.625" style="18" bestFit="1" customWidth="1"/>
    <col min="11" max="11" width="4.625" style="18" bestFit="1" customWidth="1"/>
    <col min="12" max="14" width="5.625" style="18" bestFit="1" customWidth="1"/>
    <col min="15" max="15" width="4.625" style="18" bestFit="1" customWidth="1"/>
    <col min="16" max="16" width="7.875" style="18" bestFit="1" customWidth="1"/>
    <col min="17" max="17" width="8.625" style="18" bestFit="1" customWidth="1"/>
    <col min="18" max="18" width="15.75390625" style="18" customWidth="1"/>
  </cols>
  <sheetData>
    <row r="1" spans="1:18" s="1" customFormat="1" ht="15" customHeight="1">
      <c r="A1" s="43"/>
      <c r="B1" s="212" t="s">
        <v>746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</row>
    <row r="2" spans="1:18" s="1" customFormat="1" ht="109.5" customHeight="1" thickBot="1">
      <c r="A2" s="43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8" s="2" customFormat="1" ht="12.75" customHeight="1">
      <c r="A3" s="205" t="s">
        <v>446</v>
      </c>
      <c r="B3" s="216" t="s">
        <v>0</v>
      </c>
      <c r="C3" s="220" t="s">
        <v>447</v>
      </c>
      <c r="D3" s="220" t="s">
        <v>448</v>
      </c>
      <c r="E3" s="207" t="s">
        <v>9</v>
      </c>
      <c r="F3" s="207" t="s">
        <v>7</v>
      </c>
      <c r="G3" s="218" t="s">
        <v>449</v>
      </c>
      <c r="H3" s="207" t="s">
        <v>2</v>
      </c>
      <c r="I3" s="207"/>
      <c r="J3" s="207"/>
      <c r="K3" s="207"/>
      <c r="L3" s="207" t="s">
        <v>3</v>
      </c>
      <c r="M3" s="207"/>
      <c r="N3" s="207"/>
      <c r="O3" s="207"/>
      <c r="P3" s="207" t="s">
        <v>4</v>
      </c>
      <c r="Q3" s="207" t="s">
        <v>6</v>
      </c>
      <c r="R3" s="209" t="s">
        <v>5</v>
      </c>
    </row>
    <row r="4" spans="1:18" s="2" customFormat="1" ht="21" customHeight="1" thickBot="1">
      <c r="A4" s="206"/>
      <c r="B4" s="217"/>
      <c r="C4" s="208"/>
      <c r="D4" s="208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208"/>
      <c r="Q4" s="208"/>
      <c r="R4" s="210"/>
    </row>
    <row r="5" spans="2:17" ht="15.75">
      <c r="B5" s="211" t="s">
        <v>16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</row>
    <row r="6" spans="1:18" ht="12.75">
      <c r="A6" s="32">
        <v>1</v>
      </c>
      <c r="B6" s="25" t="s">
        <v>348</v>
      </c>
      <c r="C6" s="25" t="s">
        <v>349</v>
      </c>
      <c r="D6" s="25" t="s">
        <v>461</v>
      </c>
      <c r="E6" s="25" t="str">
        <f>"0,6428"</f>
        <v>0,6428</v>
      </c>
      <c r="F6" s="25" t="s">
        <v>19</v>
      </c>
      <c r="G6" s="25" t="s">
        <v>450</v>
      </c>
      <c r="H6" s="37" t="s">
        <v>26</v>
      </c>
      <c r="I6" s="37" t="s">
        <v>27</v>
      </c>
      <c r="J6" s="36" t="s">
        <v>27</v>
      </c>
      <c r="K6" s="34"/>
      <c r="L6" s="37" t="s">
        <v>54</v>
      </c>
      <c r="M6" s="36" t="s">
        <v>54</v>
      </c>
      <c r="N6" s="36" t="s">
        <v>99</v>
      </c>
      <c r="O6" s="34"/>
      <c r="P6" s="33" t="s">
        <v>445</v>
      </c>
      <c r="Q6" s="33" t="str">
        <f>"189,6260"</f>
        <v>189,6260</v>
      </c>
      <c r="R6" s="25" t="s">
        <v>458</v>
      </c>
    </row>
    <row r="8" spans="2:17" ht="15.75">
      <c r="B8" s="204" t="s">
        <v>65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</row>
    <row r="9" spans="1:18" ht="12.75">
      <c r="A9" s="32">
        <v>1</v>
      </c>
      <c r="B9" s="25" t="s">
        <v>228</v>
      </c>
      <c r="C9" s="25" t="s">
        <v>350</v>
      </c>
      <c r="D9" s="25" t="s">
        <v>462</v>
      </c>
      <c r="E9" s="25" t="str">
        <f>"0,6301"</f>
        <v>0,6301</v>
      </c>
      <c r="F9" s="25" t="s">
        <v>110</v>
      </c>
      <c r="G9" s="25" t="s">
        <v>459</v>
      </c>
      <c r="H9" s="36" t="s">
        <v>325</v>
      </c>
      <c r="I9" s="36" t="s">
        <v>305</v>
      </c>
      <c r="J9" s="37" t="s">
        <v>14</v>
      </c>
      <c r="K9" s="34"/>
      <c r="L9" s="36" t="s">
        <v>26</v>
      </c>
      <c r="M9" s="36" t="s">
        <v>85</v>
      </c>
      <c r="N9" s="36" t="s">
        <v>87</v>
      </c>
      <c r="O9" s="34"/>
      <c r="P9" s="33" t="s">
        <v>337</v>
      </c>
      <c r="Q9" s="33" t="str">
        <f>"129,1705"</f>
        <v>129,1705</v>
      </c>
      <c r="R9" s="25" t="s">
        <v>64</v>
      </c>
    </row>
  </sheetData>
  <sheetProtection/>
  <mergeCells count="15">
    <mergeCell ref="A3:A4"/>
    <mergeCell ref="P3:P4"/>
    <mergeCell ref="Q3:Q4"/>
    <mergeCell ref="R3:R4"/>
    <mergeCell ref="B5:Q5"/>
    <mergeCell ref="B8:Q8"/>
    <mergeCell ref="B1:R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G21" sqref="G21"/>
    </sheetView>
  </sheetViews>
  <sheetFormatPr defaultColWidth="8.75390625" defaultRowHeight="12.75"/>
  <cols>
    <col min="1" max="1" width="7.25390625" style="32" customWidth="1"/>
    <col min="2" max="2" width="18.875" style="18" customWidth="1"/>
    <col min="3" max="3" width="26.125" style="18" customWidth="1"/>
    <col min="4" max="4" width="10.625" style="18" bestFit="1" customWidth="1"/>
    <col min="5" max="5" width="8.375" style="18" bestFit="1" customWidth="1"/>
    <col min="6" max="6" width="19.125" style="18" customWidth="1"/>
    <col min="7" max="7" width="37.00390625" style="18" customWidth="1"/>
    <col min="8" max="9" width="4.625" style="18" bestFit="1" customWidth="1"/>
    <col min="10" max="10" width="5.625" style="18" bestFit="1" customWidth="1"/>
    <col min="11" max="15" width="4.625" style="18" bestFit="1" customWidth="1"/>
    <col min="16" max="16" width="7.875" style="18" bestFit="1" customWidth="1"/>
    <col min="17" max="17" width="7.625" style="18" bestFit="1" customWidth="1"/>
    <col min="18" max="18" width="18.25390625" style="18" customWidth="1"/>
  </cols>
  <sheetData>
    <row r="1" spans="1:18" s="1" customFormat="1" ht="15" customHeight="1">
      <c r="A1" s="43"/>
      <c r="B1" s="212" t="s">
        <v>726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</row>
    <row r="2" spans="1:18" s="1" customFormat="1" ht="111.75" customHeight="1" thickBot="1">
      <c r="A2" s="43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8" s="2" customFormat="1" ht="12.75" customHeight="1">
      <c r="A3" s="205" t="s">
        <v>446</v>
      </c>
      <c r="B3" s="216" t="s">
        <v>0</v>
      </c>
      <c r="C3" s="188" t="s">
        <v>447</v>
      </c>
      <c r="D3" s="188" t="s">
        <v>448</v>
      </c>
      <c r="E3" s="207" t="s">
        <v>617</v>
      </c>
      <c r="F3" s="207" t="s">
        <v>7</v>
      </c>
      <c r="G3" s="218" t="s">
        <v>449</v>
      </c>
      <c r="H3" s="207" t="s">
        <v>688</v>
      </c>
      <c r="I3" s="207"/>
      <c r="J3" s="207"/>
      <c r="K3" s="207"/>
      <c r="L3" s="207" t="s">
        <v>689</v>
      </c>
      <c r="M3" s="207"/>
      <c r="N3" s="207"/>
      <c r="O3" s="207"/>
      <c r="P3" s="207" t="s">
        <v>4</v>
      </c>
      <c r="Q3" s="207" t="s">
        <v>6</v>
      </c>
      <c r="R3" s="209" t="s">
        <v>5</v>
      </c>
    </row>
    <row r="4" spans="1:18" s="2" customFormat="1" ht="21" customHeight="1" thickBot="1">
      <c r="A4" s="206"/>
      <c r="B4" s="217"/>
      <c r="C4" s="174"/>
      <c r="D4" s="174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208"/>
      <c r="Q4" s="208"/>
      <c r="R4" s="210"/>
    </row>
    <row r="5" spans="2:17" ht="15.75">
      <c r="B5" s="211" t="s">
        <v>10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</row>
    <row r="6" spans="1:18" ht="12.75">
      <c r="A6" s="32">
        <v>1</v>
      </c>
      <c r="B6" s="25" t="s">
        <v>423</v>
      </c>
      <c r="C6" s="25" t="s">
        <v>424</v>
      </c>
      <c r="D6" s="25" t="s">
        <v>457</v>
      </c>
      <c r="E6" s="25" t="str">
        <f>"0,7494"</f>
        <v>0,7494</v>
      </c>
      <c r="F6" s="25" t="s">
        <v>323</v>
      </c>
      <c r="G6" s="25" t="s">
        <v>173</v>
      </c>
      <c r="H6" s="37" t="s">
        <v>324</v>
      </c>
      <c r="I6" s="37" t="s">
        <v>162</v>
      </c>
      <c r="J6" s="36" t="s">
        <v>162</v>
      </c>
      <c r="K6" s="34"/>
      <c r="L6" s="36" t="s">
        <v>147</v>
      </c>
      <c r="M6" s="36" t="s">
        <v>312</v>
      </c>
      <c r="N6" s="37" t="s">
        <v>324</v>
      </c>
      <c r="O6" s="34"/>
      <c r="P6" s="59">
        <v>120</v>
      </c>
      <c r="Q6" s="33" t="str">
        <f>"89,9220"</f>
        <v>89,9220</v>
      </c>
      <c r="R6" s="25" t="s">
        <v>64</v>
      </c>
    </row>
    <row r="8" spans="2:17" ht="15.75">
      <c r="B8" s="204" t="s">
        <v>30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</row>
    <row r="9" spans="1:18" ht="12.75">
      <c r="A9" s="32">
        <v>1</v>
      </c>
      <c r="B9" s="19" t="s">
        <v>174</v>
      </c>
      <c r="C9" s="19" t="s">
        <v>671</v>
      </c>
      <c r="D9" s="19" t="s">
        <v>470</v>
      </c>
      <c r="E9" s="19" t="str">
        <f>"0,6955"</f>
        <v>0,6955</v>
      </c>
      <c r="F9" s="19" t="s">
        <v>19</v>
      </c>
      <c r="G9" s="19" t="s">
        <v>176</v>
      </c>
      <c r="H9" s="51" t="s">
        <v>162</v>
      </c>
      <c r="I9" s="51" t="s">
        <v>163</v>
      </c>
      <c r="J9" s="56" t="s">
        <v>325</v>
      </c>
      <c r="K9" s="46"/>
      <c r="L9" s="51" t="s">
        <v>141</v>
      </c>
      <c r="M9" s="56" t="s">
        <v>317</v>
      </c>
      <c r="N9" s="51" t="s">
        <v>317</v>
      </c>
      <c r="O9" s="46"/>
      <c r="P9" s="57">
        <v>115</v>
      </c>
      <c r="Q9" s="38" t="str">
        <f>"79,9768"</f>
        <v>79,9768</v>
      </c>
      <c r="R9" s="19" t="s">
        <v>64</v>
      </c>
    </row>
    <row r="10" spans="1:18" ht="12.75">
      <c r="A10" s="32">
        <v>1</v>
      </c>
      <c r="B10" s="23" t="s">
        <v>189</v>
      </c>
      <c r="C10" s="23" t="s">
        <v>190</v>
      </c>
      <c r="D10" s="23" t="s">
        <v>514</v>
      </c>
      <c r="E10" s="23" t="str">
        <f>"0,6969"</f>
        <v>0,6969</v>
      </c>
      <c r="F10" s="23" t="s">
        <v>19</v>
      </c>
      <c r="G10" s="23" t="s">
        <v>176</v>
      </c>
      <c r="H10" s="52" t="s">
        <v>410</v>
      </c>
      <c r="I10" s="52" t="s">
        <v>305</v>
      </c>
      <c r="J10" s="48"/>
      <c r="K10" s="48"/>
      <c r="L10" s="55" t="s">
        <v>312</v>
      </c>
      <c r="M10" s="52" t="s">
        <v>312</v>
      </c>
      <c r="N10" s="55" t="s">
        <v>324</v>
      </c>
      <c r="O10" s="48"/>
      <c r="P10" s="58">
        <v>130</v>
      </c>
      <c r="Q10" s="47" t="str">
        <f>"90,5905"</f>
        <v>90,5905</v>
      </c>
      <c r="R10" s="23" t="s">
        <v>64</v>
      </c>
    </row>
    <row r="12" spans="2:17" ht="15.75">
      <c r="B12" s="204" t="s">
        <v>35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</row>
    <row r="13" spans="1:18" ht="12.75">
      <c r="A13" s="32">
        <v>1</v>
      </c>
      <c r="B13" s="19" t="s">
        <v>183</v>
      </c>
      <c r="C13" s="19" t="s">
        <v>195</v>
      </c>
      <c r="D13" s="19" t="s">
        <v>471</v>
      </c>
      <c r="E13" s="19" t="str">
        <f>"0,6482"</f>
        <v>0,6482</v>
      </c>
      <c r="F13" s="19" t="s">
        <v>110</v>
      </c>
      <c r="G13" s="19" t="s">
        <v>459</v>
      </c>
      <c r="H13" s="51" t="s">
        <v>325</v>
      </c>
      <c r="I13" s="51" t="s">
        <v>14</v>
      </c>
      <c r="J13" s="51" t="s">
        <v>309</v>
      </c>
      <c r="K13" s="46"/>
      <c r="L13" s="51" t="s">
        <v>147</v>
      </c>
      <c r="M13" s="51" t="s">
        <v>324</v>
      </c>
      <c r="N13" s="100" t="s">
        <v>690</v>
      </c>
      <c r="O13" s="46"/>
      <c r="P13" s="57">
        <v>145</v>
      </c>
      <c r="Q13" s="38" t="str">
        <f>"93,9890"</f>
        <v>93,9890</v>
      </c>
      <c r="R13" s="19" t="s">
        <v>539</v>
      </c>
    </row>
    <row r="14" spans="1:18" ht="12.75">
      <c r="A14" s="32">
        <v>2</v>
      </c>
      <c r="B14" s="23" t="s">
        <v>691</v>
      </c>
      <c r="C14" s="23" t="s">
        <v>692</v>
      </c>
      <c r="D14" s="23" t="s">
        <v>587</v>
      </c>
      <c r="E14" s="23" t="str">
        <f>"0,6550"</f>
        <v>0,6550</v>
      </c>
      <c r="F14" s="23" t="s">
        <v>19</v>
      </c>
      <c r="G14" s="23" t="s">
        <v>698</v>
      </c>
      <c r="H14" s="52" t="s">
        <v>690</v>
      </c>
      <c r="I14" s="52" t="s">
        <v>163</v>
      </c>
      <c r="J14" s="55" t="s">
        <v>325</v>
      </c>
      <c r="K14" s="48"/>
      <c r="L14" s="52" t="s">
        <v>144</v>
      </c>
      <c r="M14" s="52" t="s">
        <v>313</v>
      </c>
      <c r="N14" s="55" t="s">
        <v>324</v>
      </c>
      <c r="O14" s="48"/>
      <c r="P14" s="58">
        <v>125</v>
      </c>
      <c r="Q14" s="47" t="str">
        <f>"81,8812"</f>
        <v>81,8812</v>
      </c>
      <c r="R14" s="23" t="s">
        <v>64</v>
      </c>
    </row>
    <row r="16" spans="2:17" ht="15.75">
      <c r="B16" s="204" t="s">
        <v>65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</row>
    <row r="17" spans="1:18" ht="12.75">
      <c r="A17" s="32">
        <v>1</v>
      </c>
      <c r="B17" s="19" t="s">
        <v>221</v>
      </c>
      <c r="C17" s="19" t="s">
        <v>222</v>
      </c>
      <c r="D17" s="19" t="s">
        <v>568</v>
      </c>
      <c r="E17" s="19" t="str">
        <f>"0,5922"</f>
        <v>0,5922</v>
      </c>
      <c r="F17" s="19" t="s">
        <v>19</v>
      </c>
      <c r="G17" s="19" t="s">
        <v>450</v>
      </c>
      <c r="H17" s="51" t="s">
        <v>147</v>
      </c>
      <c r="I17" s="51" t="s">
        <v>690</v>
      </c>
      <c r="J17" s="51" t="s">
        <v>305</v>
      </c>
      <c r="K17" s="46"/>
      <c r="L17" s="51" t="s">
        <v>147</v>
      </c>
      <c r="M17" s="51" t="s">
        <v>312</v>
      </c>
      <c r="N17" s="56" t="s">
        <v>324</v>
      </c>
      <c r="O17" s="46"/>
      <c r="P17" s="57">
        <v>130</v>
      </c>
      <c r="Q17" s="38" t="str">
        <f>"76,9925"</f>
        <v>76,9925</v>
      </c>
      <c r="R17" s="19" t="s">
        <v>543</v>
      </c>
    </row>
    <row r="18" spans="1:18" ht="12.75">
      <c r="A18" s="32">
        <v>2</v>
      </c>
      <c r="B18" s="23" t="s">
        <v>693</v>
      </c>
      <c r="C18" s="23" t="s">
        <v>369</v>
      </c>
      <c r="D18" s="23" t="s">
        <v>700</v>
      </c>
      <c r="E18" s="23" t="str">
        <f>"0,5905"</f>
        <v>0,5905</v>
      </c>
      <c r="F18" s="23" t="s">
        <v>79</v>
      </c>
      <c r="G18" s="23" t="s">
        <v>450</v>
      </c>
      <c r="H18" s="52" t="s">
        <v>147</v>
      </c>
      <c r="I18" s="52" t="s">
        <v>324</v>
      </c>
      <c r="J18" s="55" t="s">
        <v>305</v>
      </c>
      <c r="K18" s="48"/>
      <c r="L18" s="52" t="s">
        <v>152</v>
      </c>
      <c r="M18" s="52" t="s">
        <v>141</v>
      </c>
      <c r="N18" s="55" t="s">
        <v>147</v>
      </c>
      <c r="O18" s="48"/>
      <c r="P18" s="58">
        <v>105</v>
      </c>
      <c r="Q18" s="47" t="str">
        <f>"62,0025"</f>
        <v>62,0025</v>
      </c>
      <c r="R18" s="23" t="s">
        <v>482</v>
      </c>
    </row>
    <row r="20" spans="2:17" ht="15.75">
      <c r="B20" s="204" t="s">
        <v>89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</row>
    <row r="21" spans="1:18" ht="12.75">
      <c r="A21" s="32">
        <v>1</v>
      </c>
      <c r="B21" s="25" t="s">
        <v>236</v>
      </c>
      <c r="C21" s="25" t="s">
        <v>237</v>
      </c>
      <c r="D21" s="25" t="s">
        <v>573</v>
      </c>
      <c r="E21" s="25" t="str">
        <f>"0,5656"</f>
        <v>0,5656</v>
      </c>
      <c r="F21" s="25" t="s">
        <v>19</v>
      </c>
      <c r="G21" s="25" t="s">
        <v>450</v>
      </c>
      <c r="H21" s="36" t="s">
        <v>14</v>
      </c>
      <c r="I21" s="36" t="s">
        <v>316</v>
      </c>
      <c r="J21" s="37" t="s">
        <v>33</v>
      </c>
      <c r="K21" s="34"/>
      <c r="L21" s="36" t="s">
        <v>324</v>
      </c>
      <c r="M21" s="36" t="s">
        <v>325</v>
      </c>
      <c r="N21" s="36" t="s">
        <v>305</v>
      </c>
      <c r="O21" s="34"/>
      <c r="P21" s="59">
        <v>165</v>
      </c>
      <c r="Q21" s="33" t="str">
        <f>"93,3322"</f>
        <v>93,3322</v>
      </c>
      <c r="R21" s="25" t="s">
        <v>64</v>
      </c>
    </row>
    <row r="23" spans="2:3" ht="18">
      <c r="B23" s="27" t="s">
        <v>124</v>
      </c>
      <c r="C23" s="27"/>
    </row>
    <row r="24" spans="2:3" ht="13.5">
      <c r="B24" s="29"/>
      <c r="C24" s="30"/>
    </row>
    <row r="25" spans="2:6" ht="13.5">
      <c r="B25" s="31" t="s">
        <v>126</v>
      </c>
      <c r="C25" s="31" t="s">
        <v>127</v>
      </c>
      <c r="D25" s="31" t="s">
        <v>128</v>
      </c>
      <c r="E25" s="31" t="s">
        <v>129</v>
      </c>
      <c r="F25" s="31" t="s">
        <v>639</v>
      </c>
    </row>
    <row r="26" spans="1:6" ht="12.75">
      <c r="A26" s="32">
        <v>1</v>
      </c>
      <c r="B26" s="28" t="s">
        <v>183</v>
      </c>
      <c r="C26" s="44" t="s">
        <v>125</v>
      </c>
      <c r="D26" s="35" t="s">
        <v>309</v>
      </c>
      <c r="E26" s="35" t="s">
        <v>58</v>
      </c>
      <c r="F26" s="35" t="s">
        <v>694</v>
      </c>
    </row>
    <row r="27" spans="1:6" ht="12.75">
      <c r="A27" s="32">
        <v>2</v>
      </c>
      <c r="B27" s="28" t="s">
        <v>236</v>
      </c>
      <c r="C27" s="44" t="s">
        <v>125</v>
      </c>
      <c r="D27" s="35" t="s">
        <v>26</v>
      </c>
      <c r="E27" s="35" t="s">
        <v>50</v>
      </c>
      <c r="F27" s="35" t="s">
        <v>695</v>
      </c>
    </row>
    <row r="28" spans="1:6" ht="12.75">
      <c r="A28" s="32">
        <v>3</v>
      </c>
      <c r="B28" s="28" t="s">
        <v>189</v>
      </c>
      <c r="C28" s="44" t="s">
        <v>125</v>
      </c>
      <c r="D28" s="35" t="s">
        <v>697</v>
      </c>
      <c r="E28" s="35" t="s">
        <v>87</v>
      </c>
      <c r="F28" s="35" t="s">
        <v>696</v>
      </c>
    </row>
  </sheetData>
  <sheetProtection/>
  <mergeCells count="18"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B20:Q20"/>
    <mergeCell ref="A3:A4"/>
    <mergeCell ref="Q3:Q4"/>
    <mergeCell ref="R3:R4"/>
    <mergeCell ref="B5:Q5"/>
    <mergeCell ref="B8:Q8"/>
    <mergeCell ref="B12:Q12"/>
    <mergeCell ref="B16:Q16"/>
  </mergeCells>
  <printOptions/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selection activeCell="B5" sqref="B5:U5"/>
    </sheetView>
  </sheetViews>
  <sheetFormatPr defaultColWidth="8.75390625" defaultRowHeight="12.75"/>
  <cols>
    <col min="1" max="1" width="7.25390625" style="0" customWidth="1"/>
    <col min="2" max="2" width="16.75390625" style="18" customWidth="1"/>
    <col min="3" max="3" width="26.25390625" style="18" customWidth="1"/>
    <col min="4" max="4" width="10.625" style="18" bestFit="1" customWidth="1"/>
    <col min="5" max="5" width="8.375" style="18" bestFit="1" customWidth="1"/>
    <col min="6" max="6" width="22.75390625" style="18" bestFit="1" customWidth="1"/>
    <col min="7" max="7" width="21.75390625" style="18" bestFit="1" customWidth="1"/>
    <col min="8" max="10" width="5.625" style="18" bestFit="1" customWidth="1"/>
    <col min="11" max="11" width="4.625" style="18" bestFit="1" customWidth="1"/>
    <col min="12" max="14" width="5.625" style="18" bestFit="1" customWidth="1"/>
    <col min="15" max="15" width="4.625" style="18" bestFit="1" customWidth="1"/>
    <col min="16" max="18" width="5.625" style="18" bestFit="1" customWidth="1"/>
    <col min="19" max="19" width="4.625" style="18" bestFit="1" customWidth="1"/>
    <col min="20" max="20" width="7.875" style="18" bestFit="1" customWidth="1"/>
    <col min="21" max="21" width="8.625" style="18" bestFit="1" customWidth="1"/>
    <col min="22" max="22" width="15.375" style="18" bestFit="1" customWidth="1"/>
  </cols>
  <sheetData>
    <row r="1" spans="2:22" s="1" customFormat="1" ht="15" customHeight="1">
      <c r="B1" s="212" t="s">
        <v>738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3"/>
    </row>
    <row r="2" spans="2:22" s="1" customFormat="1" ht="106.5" customHeight="1" thickBot="1"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</row>
    <row r="3" spans="1:22" s="2" customFormat="1" ht="12.75" customHeight="1">
      <c r="A3" s="205" t="s">
        <v>446</v>
      </c>
      <c r="B3" s="216" t="s">
        <v>0</v>
      </c>
      <c r="C3" s="220" t="s">
        <v>447</v>
      </c>
      <c r="D3" s="220" t="s">
        <v>448</v>
      </c>
      <c r="E3" s="207" t="s">
        <v>9</v>
      </c>
      <c r="F3" s="207" t="s">
        <v>7</v>
      </c>
      <c r="G3" s="218" t="s">
        <v>449</v>
      </c>
      <c r="H3" s="207" t="s">
        <v>1</v>
      </c>
      <c r="I3" s="207"/>
      <c r="J3" s="207"/>
      <c r="K3" s="207"/>
      <c r="L3" s="207" t="s">
        <v>2</v>
      </c>
      <c r="M3" s="207"/>
      <c r="N3" s="207"/>
      <c r="O3" s="207"/>
      <c r="P3" s="207" t="s">
        <v>3</v>
      </c>
      <c r="Q3" s="207"/>
      <c r="R3" s="207"/>
      <c r="S3" s="207"/>
      <c r="T3" s="207" t="s">
        <v>4</v>
      </c>
      <c r="U3" s="207" t="s">
        <v>6</v>
      </c>
      <c r="V3" s="209" t="s">
        <v>5</v>
      </c>
    </row>
    <row r="4" spans="1:22" s="2" customFormat="1" ht="21" customHeight="1" thickBot="1">
      <c r="A4" s="206"/>
      <c r="B4" s="217"/>
      <c r="C4" s="208"/>
      <c r="D4" s="208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208"/>
      <c r="U4" s="208"/>
      <c r="V4" s="210"/>
    </row>
    <row r="5" spans="2:21" ht="15.75">
      <c r="B5" s="211" t="s">
        <v>89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1:22" ht="12.75">
      <c r="A6" s="32">
        <v>1</v>
      </c>
      <c r="B6" s="25" t="s">
        <v>260</v>
      </c>
      <c r="C6" s="25" t="s">
        <v>261</v>
      </c>
      <c r="D6" s="25" t="s">
        <v>460</v>
      </c>
      <c r="E6" s="25" t="str">
        <f>"0,5958"</f>
        <v>0,5958</v>
      </c>
      <c r="F6" s="25" t="s">
        <v>19</v>
      </c>
      <c r="G6" s="25" t="s">
        <v>49</v>
      </c>
      <c r="H6" s="36" t="s">
        <v>262</v>
      </c>
      <c r="I6" s="37" t="s">
        <v>263</v>
      </c>
      <c r="J6" s="36" t="s">
        <v>264</v>
      </c>
      <c r="K6" s="34"/>
      <c r="L6" s="36" t="s">
        <v>265</v>
      </c>
      <c r="M6" s="36" t="s">
        <v>256</v>
      </c>
      <c r="N6" s="36" t="s">
        <v>259</v>
      </c>
      <c r="O6" s="34"/>
      <c r="P6" s="36" t="s">
        <v>262</v>
      </c>
      <c r="Q6" s="36" t="s">
        <v>263</v>
      </c>
      <c r="R6" s="36" t="s">
        <v>264</v>
      </c>
      <c r="S6" s="34"/>
      <c r="T6" s="33" t="s">
        <v>266</v>
      </c>
      <c r="U6" s="33" t="str">
        <f>"536,2200"</f>
        <v>536,2200</v>
      </c>
      <c r="V6" s="25" t="s">
        <v>64</v>
      </c>
    </row>
  </sheetData>
  <sheetProtection/>
  <mergeCells count="15">
    <mergeCell ref="T3:T4"/>
    <mergeCell ref="U3:U4"/>
    <mergeCell ref="V3:V4"/>
    <mergeCell ref="B5:U5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</mergeCells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3">
      <selection activeCell="E13" sqref="E13:E14"/>
    </sheetView>
  </sheetViews>
  <sheetFormatPr defaultColWidth="8.75390625" defaultRowHeight="12.75"/>
  <cols>
    <col min="1" max="1" width="7.75390625" style="0" customWidth="1"/>
    <col min="2" max="2" width="19.375" style="18" customWidth="1"/>
    <col min="3" max="3" width="25.75390625" style="18" customWidth="1"/>
    <col min="4" max="4" width="10.625" style="18" bestFit="1" customWidth="1"/>
    <col min="5" max="5" width="8.375" style="18" bestFit="1" customWidth="1"/>
    <col min="6" max="6" width="16.25390625" style="18" customWidth="1"/>
    <col min="7" max="7" width="36.75390625" style="18" customWidth="1"/>
    <col min="8" max="10" width="5.625" style="18" bestFit="1" customWidth="1"/>
    <col min="11" max="12" width="4.625" style="18" bestFit="1" customWidth="1"/>
    <col min="13" max="14" width="5.625" style="18" bestFit="1" customWidth="1"/>
    <col min="15" max="15" width="4.625" style="18" bestFit="1" customWidth="1"/>
    <col min="16" max="18" width="5.625" style="18" bestFit="1" customWidth="1"/>
    <col min="19" max="19" width="4.625" style="18" bestFit="1" customWidth="1"/>
    <col min="20" max="20" width="7.875" style="18" bestFit="1" customWidth="1"/>
    <col min="21" max="21" width="8.625" style="18" bestFit="1" customWidth="1"/>
    <col min="22" max="22" width="17.375" style="18" bestFit="1" customWidth="1"/>
  </cols>
  <sheetData>
    <row r="1" spans="2:22" s="1" customFormat="1" ht="15" customHeight="1">
      <c r="B1" s="212" t="s">
        <v>742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3"/>
    </row>
    <row r="2" spans="2:22" s="1" customFormat="1" ht="108.75" customHeight="1" thickBot="1"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</row>
    <row r="3" spans="1:22" s="2" customFormat="1" ht="12.75" customHeight="1">
      <c r="A3" s="205" t="s">
        <v>446</v>
      </c>
      <c r="B3" s="216" t="s">
        <v>0</v>
      </c>
      <c r="C3" s="220" t="s">
        <v>447</v>
      </c>
      <c r="D3" s="220" t="s">
        <v>448</v>
      </c>
      <c r="E3" s="207" t="s">
        <v>9</v>
      </c>
      <c r="F3" s="207" t="s">
        <v>7</v>
      </c>
      <c r="G3" s="218" t="s">
        <v>449</v>
      </c>
      <c r="H3" s="207" t="s">
        <v>1</v>
      </c>
      <c r="I3" s="207"/>
      <c r="J3" s="207"/>
      <c r="K3" s="207"/>
      <c r="L3" s="207" t="s">
        <v>2</v>
      </c>
      <c r="M3" s="207"/>
      <c r="N3" s="207"/>
      <c r="O3" s="207"/>
      <c r="P3" s="207" t="s">
        <v>3</v>
      </c>
      <c r="Q3" s="207"/>
      <c r="R3" s="207"/>
      <c r="S3" s="207"/>
      <c r="T3" s="207" t="s">
        <v>4</v>
      </c>
      <c r="U3" s="207" t="s">
        <v>6</v>
      </c>
      <c r="V3" s="209" t="s">
        <v>5</v>
      </c>
    </row>
    <row r="4" spans="1:22" s="2" customFormat="1" ht="21" customHeight="1" thickBot="1">
      <c r="A4" s="206"/>
      <c r="B4" s="217"/>
      <c r="C4" s="208"/>
      <c r="D4" s="208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208"/>
      <c r="U4" s="208"/>
      <c r="V4" s="210"/>
    </row>
    <row r="5" spans="2:21" ht="15.75">
      <c r="B5" s="211" t="s">
        <v>16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1:22" ht="12.75">
      <c r="A6" s="32">
        <v>1</v>
      </c>
      <c r="B6" s="25" t="s">
        <v>371</v>
      </c>
      <c r="C6" s="25" t="s">
        <v>372</v>
      </c>
      <c r="D6" s="25" t="s">
        <v>454</v>
      </c>
      <c r="E6" s="25" t="str">
        <f>"0,6475"</f>
        <v>0,6475</v>
      </c>
      <c r="F6" s="25" t="s">
        <v>373</v>
      </c>
      <c r="G6" s="25" t="s">
        <v>450</v>
      </c>
      <c r="H6" s="36" t="s">
        <v>71</v>
      </c>
      <c r="I6" s="36" t="s">
        <v>73</v>
      </c>
      <c r="J6" s="36" t="s">
        <v>284</v>
      </c>
      <c r="K6" s="34"/>
      <c r="L6" s="36" t="s">
        <v>316</v>
      </c>
      <c r="M6" s="36" t="s">
        <v>33</v>
      </c>
      <c r="N6" s="36" t="s">
        <v>197</v>
      </c>
      <c r="O6" s="34"/>
      <c r="P6" s="36" t="s">
        <v>93</v>
      </c>
      <c r="Q6" s="36" t="s">
        <v>284</v>
      </c>
      <c r="R6" s="36" t="s">
        <v>265</v>
      </c>
      <c r="S6" s="34"/>
      <c r="T6" s="33">
        <v>537.5</v>
      </c>
      <c r="U6" s="33" t="str">
        <f>"348,0312"</f>
        <v>348,0312</v>
      </c>
      <c r="V6" s="25" t="s">
        <v>501</v>
      </c>
    </row>
  </sheetData>
  <sheetProtection/>
  <mergeCells count="15">
    <mergeCell ref="T3:T4"/>
    <mergeCell ref="U3:U4"/>
    <mergeCell ref="V3:V4"/>
    <mergeCell ref="B5:U5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</mergeCells>
  <printOptions/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B15" sqref="B15:U15"/>
    </sheetView>
  </sheetViews>
  <sheetFormatPr defaultColWidth="8.75390625" defaultRowHeight="12.75"/>
  <cols>
    <col min="1" max="1" width="7.25390625" style="32" customWidth="1"/>
    <col min="2" max="2" width="18.875" style="18" customWidth="1"/>
    <col min="3" max="3" width="24.75390625" style="18" customWidth="1"/>
    <col min="4" max="4" width="10.625" style="18" bestFit="1" customWidth="1"/>
    <col min="5" max="5" width="8.375" style="18" bestFit="1" customWidth="1"/>
    <col min="6" max="6" width="19.375" style="18" customWidth="1"/>
    <col min="7" max="7" width="36.25390625" style="18" customWidth="1"/>
    <col min="8" max="18" width="5.625" style="18" bestFit="1" customWidth="1"/>
    <col min="19" max="19" width="4.625" style="18" bestFit="1" customWidth="1"/>
    <col min="20" max="20" width="7.875" style="18" bestFit="1" customWidth="1"/>
    <col min="21" max="21" width="8.625" style="18" bestFit="1" customWidth="1"/>
    <col min="22" max="22" width="15.25390625" style="18" customWidth="1"/>
  </cols>
  <sheetData>
    <row r="1" spans="1:22" s="1" customFormat="1" ht="15" customHeight="1">
      <c r="A1" s="43"/>
      <c r="B1" s="212" t="s">
        <v>741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3"/>
    </row>
    <row r="2" spans="1:22" s="1" customFormat="1" ht="108" customHeight="1" thickBot="1">
      <c r="A2" s="43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</row>
    <row r="3" spans="1:22" s="2" customFormat="1" ht="12.75" customHeight="1">
      <c r="A3" s="205" t="s">
        <v>446</v>
      </c>
      <c r="B3" s="216" t="s">
        <v>0</v>
      </c>
      <c r="C3" s="220" t="s">
        <v>447</v>
      </c>
      <c r="D3" s="220" t="s">
        <v>448</v>
      </c>
      <c r="E3" s="207" t="s">
        <v>9</v>
      </c>
      <c r="F3" s="207" t="s">
        <v>7</v>
      </c>
      <c r="G3" s="218" t="s">
        <v>449</v>
      </c>
      <c r="H3" s="207" t="s">
        <v>1</v>
      </c>
      <c r="I3" s="207"/>
      <c r="J3" s="207"/>
      <c r="K3" s="207"/>
      <c r="L3" s="207" t="s">
        <v>2</v>
      </c>
      <c r="M3" s="207"/>
      <c r="N3" s="207"/>
      <c r="O3" s="207"/>
      <c r="P3" s="207" t="s">
        <v>3</v>
      </c>
      <c r="Q3" s="207"/>
      <c r="R3" s="207"/>
      <c r="S3" s="207"/>
      <c r="T3" s="207" t="s">
        <v>4</v>
      </c>
      <c r="U3" s="207" t="s">
        <v>6</v>
      </c>
      <c r="V3" s="209" t="s">
        <v>5</v>
      </c>
    </row>
    <row r="4" spans="1:22" s="2" customFormat="1" ht="21" customHeight="1" thickBot="1">
      <c r="A4" s="206"/>
      <c r="B4" s="217"/>
      <c r="C4" s="208"/>
      <c r="D4" s="208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208"/>
      <c r="U4" s="208"/>
      <c r="V4" s="210"/>
    </row>
    <row r="5" spans="2:21" ht="15.75">
      <c r="B5" s="211" t="s">
        <v>35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1:22" ht="12.75">
      <c r="A6" s="32">
        <v>1</v>
      </c>
      <c r="B6" s="25" t="s">
        <v>359</v>
      </c>
      <c r="C6" s="25" t="s">
        <v>360</v>
      </c>
      <c r="D6" s="25" t="s">
        <v>494</v>
      </c>
      <c r="E6" s="25" t="str">
        <f>"0,6759"</f>
        <v>0,6759</v>
      </c>
      <c r="F6" s="25" t="s">
        <v>19</v>
      </c>
      <c r="G6" s="25" t="s">
        <v>450</v>
      </c>
      <c r="H6" s="69" t="s">
        <v>99</v>
      </c>
      <c r="I6" s="69" t="s">
        <v>93</v>
      </c>
      <c r="J6" s="73" t="s">
        <v>73</v>
      </c>
      <c r="K6" s="64"/>
      <c r="L6" s="69" t="s">
        <v>26</v>
      </c>
      <c r="M6" s="69" t="s">
        <v>85</v>
      </c>
      <c r="N6" s="73" t="s">
        <v>111</v>
      </c>
      <c r="O6" s="64"/>
      <c r="P6" s="69" t="s">
        <v>54</v>
      </c>
      <c r="Q6" s="69" t="s">
        <v>71</v>
      </c>
      <c r="R6" s="69" t="s">
        <v>73</v>
      </c>
      <c r="S6" s="64"/>
      <c r="T6" s="59">
        <v>510</v>
      </c>
      <c r="U6" s="59" t="str">
        <f>"344,7090"</f>
        <v>344,7090</v>
      </c>
      <c r="V6" s="25" t="s">
        <v>507</v>
      </c>
    </row>
    <row r="8" spans="2:21" ht="15.75">
      <c r="B8" s="204" t="s">
        <v>16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</row>
    <row r="9" spans="1:22" ht="12.75">
      <c r="A9" s="32">
        <v>1</v>
      </c>
      <c r="B9" s="19" t="s">
        <v>361</v>
      </c>
      <c r="C9" s="19" t="s">
        <v>362</v>
      </c>
      <c r="D9" s="19" t="s">
        <v>502</v>
      </c>
      <c r="E9" s="19" t="str">
        <f>"0,6459"</f>
        <v>0,6459</v>
      </c>
      <c r="F9" s="19" t="s">
        <v>110</v>
      </c>
      <c r="G9" s="19" t="s">
        <v>487</v>
      </c>
      <c r="H9" s="66" t="s">
        <v>99</v>
      </c>
      <c r="I9" s="70" t="s">
        <v>93</v>
      </c>
      <c r="J9" s="66" t="s">
        <v>73</v>
      </c>
      <c r="K9" s="70" t="s">
        <v>337</v>
      </c>
      <c r="L9" s="66" t="s">
        <v>34</v>
      </c>
      <c r="M9" s="70" t="s">
        <v>27</v>
      </c>
      <c r="N9" s="66" t="s">
        <v>27</v>
      </c>
      <c r="O9" s="70" t="s">
        <v>85</v>
      </c>
      <c r="P9" s="70" t="s">
        <v>71</v>
      </c>
      <c r="Q9" s="66" t="s">
        <v>93</v>
      </c>
      <c r="R9" s="66" t="s">
        <v>244</v>
      </c>
      <c r="S9" s="61"/>
      <c r="T9" s="57">
        <v>522.5</v>
      </c>
      <c r="U9" s="57" t="str">
        <f>"337,4828"</f>
        <v>337,4828</v>
      </c>
      <c r="V9" s="19" t="s">
        <v>508</v>
      </c>
    </row>
    <row r="10" spans="1:22" ht="12.75">
      <c r="A10" s="32">
        <v>1</v>
      </c>
      <c r="B10" s="23" t="s">
        <v>363</v>
      </c>
      <c r="C10" s="23" t="s">
        <v>364</v>
      </c>
      <c r="D10" s="23" t="s">
        <v>503</v>
      </c>
      <c r="E10" s="23" t="str">
        <f>"0,6647"</f>
        <v>0,6647</v>
      </c>
      <c r="F10" s="23" t="s">
        <v>19</v>
      </c>
      <c r="G10" s="23" t="s">
        <v>487</v>
      </c>
      <c r="H10" s="67" t="s">
        <v>99</v>
      </c>
      <c r="I10" s="67" t="s">
        <v>93</v>
      </c>
      <c r="J10" s="67" t="s">
        <v>73</v>
      </c>
      <c r="K10" s="62"/>
      <c r="L10" s="67" t="s">
        <v>85</v>
      </c>
      <c r="M10" s="67" t="s">
        <v>87</v>
      </c>
      <c r="N10" s="72" t="s">
        <v>182</v>
      </c>
      <c r="O10" s="62"/>
      <c r="P10" s="67" t="s">
        <v>99</v>
      </c>
      <c r="Q10" s="67" t="s">
        <v>71</v>
      </c>
      <c r="R10" s="72" t="s">
        <v>93</v>
      </c>
      <c r="S10" s="62"/>
      <c r="T10" s="58">
        <v>515</v>
      </c>
      <c r="U10" s="58" t="str">
        <f>"342,3205"</f>
        <v>342,3205</v>
      </c>
      <c r="V10" s="23" t="s">
        <v>64</v>
      </c>
    </row>
    <row r="12" spans="2:21" ht="15.75">
      <c r="B12" s="204" t="s">
        <v>65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</row>
    <row r="13" spans="1:22" ht="12.75">
      <c r="A13" s="32">
        <v>1</v>
      </c>
      <c r="B13" s="25" t="s">
        <v>365</v>
      </c>
      <c r="C13" s="25" t="s">
        <v>366</v>
      </c>
      <c r="D13" s="25" t="s">
        <v>504</v>
      </c>
      <c r="E13" s="25" t="str">
        <f>"0,6144"</f>
        <v>0,6144</v>
      </c>
      <c r="F13" s="25" t="s">
        <v>19</v>
      </c>
      <c r="G13" s="25" t="s">
        <v>176</v>
      </c>
      <c r="H13" s="69" t="s">
        <v>287</v>
      </c>
      <c r="I13" s="73" t="s">
        <v>367</v>
      </c>
      <c r="J13" s="73" t="s">
        <v>367</v>
      </c>
      <c r="K13" s="64"/>
      <c r="L13" s="69" t="s">
        <v>61</v>
      </c>
      <c r="M13" s="69" t="s">
        <v>20</v>
      </c>
      <c r="N13" s="69" t="s">
        <v>21</v>
      </c>
      <c r="O13" s="64"/>
      <c r="P13" s="73" t="s">
        <v>358</v>
      </c>
      <c r="Q13" s="69" t="s">
        <v>358</v>
      </c>
      <c r="R13" s="73" t="s">
        <v>292</v>
      </c>
      <c r="S13" s="64"/>
      <c r="T13" s="59">
        <v>685</v>
      </c>
      <c r="U13" s="59" t="str">
        <f>"420,8640"</f>
        <v>420,8640</v>
      </c>
      <c r="V13" s="25" t="s">
        <v>64</v>
      </c>
    </row>
    <row r="15" spans="2:21" ht="15.75">
      <c r="B15" s="204" t="s">
        <v>112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</row>
    <row r="16" spans="1:22" ht="12.75">
      <c r="A16" s="32">
        <v>1</v>
      </c>
      <c r="B16" s="25" t="s">
        <v>368</v>
      </c>
      <c r="C16" s="25" t="s">
        <v>369</v>
      </c>
      <c r="D16" s="25" t="s">
        <v>505</v>
      </c>
      <c r="E16" s="25" t="str">
        <f>"0,5716"</f>
        <v>0,5716</v>
      </c>
      <c r="F16" s="25" t="s">
        <v>19</v>
      </c>
      <c r="G16" s="25" t="s">
        <v>506</v>
      </c>
      <c r="H16" s="69" t="s">
        <v>292</v>
      </c>
      <c r="I16" s="69" t="s">
        <v>367</v>
      </c>
      <c r="J16" s="73" t="s">
        <v>370</v>
      </c>
      <c r="K16" s="64"/>
      <c r="L16" s="69" t="s">
        <v>38</v>
      </c>
      <c r="M16" s="69" t="s">
        <v>54</v>
      </c>
      <c r="N16" s="73" t="s">
        <v>51</v>
      </c>
      <c r="O16" s="64"/>
      <c r="P16" s="69" t="s">
        <v>259</v>
      </c>
      <c r="Q16" s="69" t="s">
        <v>292</v>
      </c>
      <c r="R16" s="69" t="s">
        <v>287</v>
      </c>
      <c r="S16" s="64"/>
      <c r="T16" s="59">
        <v>720</v>
      </c>
      <c r="U16" s="59" t="str">
        <f>"411,5520"</f>
        <v>411,5520</v>
      </c>
      <c r="V16" s="25" t="s">
        <v>64</v>
      </c>
    </row>
  </sheetData>
  <sheetProtection/>
  <mergeCells count="18"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B15:U15"/>
    <mergeCell ref="T3:T4"/>
    <mergeCell ref="U3:U4"/>
    <mergeCell ref="V3:V4"/>
    <mergeCell ref="B5:U5"/>
    <mergeCell ref="B8:U8"/>
    <mergeCell ref="B12:U12"/>
  </mergeCells>
  <printOptions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G47" sqref="G47"/>
    </sheetView>
  </sheetViews>
  <sheetFormatPr defaultColWidth="8.75390625" defaultRowHeight="12.75"/>
  <cols>
    <col min="1" max="1" width="7.875" style="32" customWidth="1"/>
    <col min="2" max="2" width="18.875" style="18" customWidth="1"/>
    <col min="3" max="3" width="23.25390625" style="18" customWidth="1"/>
    <col min="4" max="4" width="10.625" style="18" bestFit="1" customWidth="1"/>
    <col min="5" max="5" width="8.375" style="18" bestFit="1" customWidth="1"/>
    <col min="6" max="6" width="19.125" style="18" customWidth="1"/>
    <col min="7" max="7" width="36.00390625" style="18" customWidth="1"/>
    <col min="8" max="10" width="5.625" style="18" bestFit="1" customWidth="1"/>
    <col min="11" max="11" width="4.625" style="18" bestFit="1" customWidth="1"/>
    <col min="12" max="14" width="5.625" style="18" bestFit="1" customWidth="1"/>
    <col min="15" max="15" width="4.625" style="18" bestFit="1" customWidth="1"/>
    <col min="16" max="18" width="5.625" style="18" bestFit="1" customWidth="1"/>
    <col min="19" max="19" width="4.625" style="18" bestFit="1" customWidth="1"/>
    <col min="20" max="20" width="7.875" style="18" bestFit="1" customWidth="1"/>
    <col min="21" max="21" width="8.625" style="18" bestFit="1" customWidth="1"/>
    <col min="22" max="22" width="15.375" style="18" customWidth="1"/>
  </cols>
  <sheetData>
    <row r="1" spans="1:22" s="1" customFormat="1" ht="15" customHeight="1">
      <c r="A1" s="43"/>
      <c r="B1" s="212" t="s">
        <v>740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3"/>
    </row>
    <row r="2" spans="1:22" s="1" customFormat="1" ht="108.75" customHeight="1" thickBot="1">
      <c r="A2" s="43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</row>
    <row r="3" spans="1:22" s="2" customFormat="1" ht="12.75" customHeight="1">
      <c r="A3" s="205" t="s">
        <v>446</v>
      </c>
      <c r="B3" s="216" t="s">
        <v>0</v>
      </c>
      <c r="C3" s="220" t="s">
        <v>447</v>
      </c>
      <c r="D3" s="220" t="s">
        <v>448</v>
      </c>
      <c r="E3" s="207" t="s">
        <v>9</v>
      </c>
      <c r="F3" s="207" t="s">
        <v>7</v>
      </c>
      <c r="G3" s="218" t="s">
        <v>449</v>
      </c>
      <c r="H3" s="207" t="s">
        <v>1</v>
      </c>
      <c r="I3" s="207"/>
      <c r="J3" s="207"/>
      <c r="K3" s="207"/>
      <c r="L3" s="207" t="s">
        <v>2</v>
      </c>
      <c r="M3" s="207"/>
      <c r="N3" s="207"/>
      <c r="O3" s="207"/>
      <c r="P3" s="207" t="s">
        <v>3</v>
      </c>
      <c r="Q3" s="207"/>
      <c r="R3" s="207"/>
      <c r="S3" s="207"/>
      <c r="T3" s="207" t="s">
        <v>4</v>
      </c>
      <c r="U3" s="207" t="s">
        <v>6</v>
      </c>
      <c r="V3" s="209" t="s">
        <v>5</v>
      </c>
    </row>
    <row r="4" spans="1:22" s="2" customFormat="1" ht="21" customHeight="1" thickBot="1">
      <c r="A4" s="206"/>
      <c r="B4" s="217"/>
      <c r="C4" s="208"/>
      <c r="D4" s="208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208"/>
      <c r="U4" s="208"/>
      <c r="V4" s="210"/>
    </row>
    <row r="5" spans="2:21" ht="15.75">
      <c r="B5" s="211" t="s">
        <v>156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1:22" ht="12.75">
      <c r="A6" s="32">
        <v>1</v>
      </c>
      <c r="B6" s="25" t="s">
        <v>303</v>
      </c>
      <c r="C6" s="25" t="s">
        <v>304</v>
      </c>
      <c r="D6" s="25" t="s">
        <v>509</v>
      </c>
      <c r="E6" s="25" t="str">
        <f>"1,1883"</f>
        <v>1,1883</v>
      </c>
      <c r="F6" s="25" t="s">
        <v>19</v>
      </c>
      <c r="G6" s="25" t="s">
        <v>450</v>
      </c>
      <c r="H6" s="69" t="s">
        <v>305</v>
      </c>
      <c r="I6" s="69" t="s">
        <v>14</v>
      </c>
      <c r="J6" s="73" t="s">
        <v>306</v>
      </c>
      <c r="K6" s="64"/>
      <c r="L6" s="73" t="s">
        <v>155</v>
      </c>
      <c r="M6" s="69" t="s">
        <v>151</v>
      </c>
      <c r="N6" s="73" t="s">
        <v>152</v>
      </c>
      <c r="O6" s="64"/>
      <c r="P6" s="69" t="s">
        <v>225</v>
      </c>
      <c r="Q6" s="69" t="s">
        <v>33</v>
      </c>
      <c r="R6" s="69" t="s">
        <v>34</v>
      </c>
      <c r="S6" s="64"/>
      <c r="T6" s="59">
        <v>220</v>
      </c>
      <c r="U6" s="59" t="str">
        <f>"261,4260"</f>
        <v>261,4260</v>
      </c>
      <c r="V6" s="25" t="s">
        <v>519</v>
      </c>
    </row>
    <row r="8" spans="2:21" ht="15.75">
      <c r="B8" s="204" t="s">
        <v>159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</row>
    <row r="9" spans="1:22" ht="12.75">
      <c r="A9" s="32">
        <v>1</v>
      </c>
      <c r="B9" s="25" t="s">
        <v>307</v>
      </c>
      <c r="C9" s="25" t="s">
        <v>308</v>
      </c>
      <c r="D9" s="25" t="s">
        <v>510</v>
      </c>
      <c r="E9" s="25" t="str">
        <f>"1,1432"</f>
        <v>1,1432</v>
      </c>
      <c r="F9" s="25" t="s">
        <v>19</v>
      </c>
      <c r="G9" s="25" t="s">
        <v>450</v>
      </c>
      <c r="H9" s="69" t="s">
        <v>305</v>
      </c>
      <c r="I9" s="69" t="s">
        <v>14</v>
      </c>
      <c r="J9" s="69" t="s">
        <v>309</v>
      </c>
      <c r="K9" s="64"/>
      <c r="L9" s="73" t="s">
        <v>141</v>
      </c>
      <c r="M9" s="69" t="s">
        <v>141</v>
      </c>
      <c r="N9" s="69" t="s">
        <v>147</v>
      </c>
      <c r="O9" s="64"/>
      <c r="P9" s="69" t="s">
        <v>225</v>
      </c>
      <c r="Q9" s="69" t="s">
        <v>33</v>
      </c>
      <c r="R9" s="69" t="s">
        <v>34</v>
      </c>
      <c r="S9" s="64"/>
      <c r="T9" s="59">
        <v>237.5</v>
      </c>
      <c r="U9" s="59" t="str">
        <f>"271,5100"</f>
        <v>271,5100</v>
      </c>
      <c r="V9" s="25" t="s">
        <v>64</v>
      </c>
    </row>
    <row r="11" spans="2:21" ht="15.75">
      <c r="B11" s="204" t="s">
        <v>10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</row>
    <row r="12" spans="1:22" ht="12.75">
      <c r="A12" s="32">
        <v>1</v>
      </c>
      <c r="B12" s="25" t="s">
        <v>310</v>
      </c>
      <c r="C12" s="25" t="s">
        <v>311</v>
      </c>
      <c r="D12" s="25" t="s">
        <v>457</v>
      </c>
      <c r="E12" s="25" t="str">
        <f>"1,0217"</f>
        <v>1,0217</v>
      </c>
      <c r="F12" s="25" t="s">
        <v>19</v>
      </c>
      <c r="G12" s="25" t="s">
        <v>450</v>
      </c>
      <c r="H12" s="69" t="s">
        <v>26</v>
      </c>
      <c r="I12" s="69" t="s">
        <v>27</v>
      </c>
      <c r="J12" s="69" t="s">
        <v>85</v>
      </c>
      <c r="K12" s="64"/>
      <c r="L12" s="69" t="s">
        <v>144</v>
      </c>
      <c r="M12" s="69" t="s">
        <v>312</v>
      </c>
      <c r="N12" s="69" t="s">
        <v>313</v>
      </c>
      <c r="O12" s="64"/>
      <c r="P12" s="69" t="s">
        <v>33</v>
      </c>
      <c r="Q12" s="69" t="s">
        <v>34</v>
      </c>
      <c r="R12" s="69" t="s">
        <v>198</v>
      </c>
      <c r="S12" s="64"/>
      <c r="T12" s="59">
        <v>285</v>
      </c>
      <c r="U12" s="59" t="str">
        <f>"291,1845"</f>
        <v>291,1845</v>
      </c>
      <c r="V12" s="25" t="s">
        <v>64</v>
      </c>
    </row>
    <row r="14" spans="2:21" ht="15.75">
      <c r="B14" s="204" t="s">
        <v>30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</row>
    <row r="15" spans="1:22" ht="12.75">
      <c r="A15" s="32">
        <v>1</v>
      </c>
      <c r="B15" s="19" t="s">
        <v>314</v>
      </c>
      <c r="C15" s="19" t="s">
        <v>315</v>
      </c>
      <c r="D15" s="19" t="s">
        <v>470</v>
      </c>
      <c r="E15" s="19" t="str">
        <f>"0,9587"</f>
        <v>0,9587</v>
      </c>
      <c r="F15" s="19" t="s">
        <v>79</v>
      </c>
      <c r="G15" s="19" t="s">
        <v>487</v>
      </c>
      <c r="H15" s="66" t="s">
        <v>316</v>
      </c>
      <c r="I15" s="66" t="s">
        <v>33</v>
      </c>
      <c r="J15" s="70" t="s">
        <v>34</v>
      </c>
      <c r="K15" s="61"/>
      <c r="L15" s="66" t="s">
        <v>141</v>
      </c>
      <c r="M15" s="66" t="s">
        <v>317</v>
      </c>
      <c r="N15" s="70" t="s">
        <v>147</v>
      </c>
      <c r="O15" s="61"/>
      <c r="P15" s="66" t="s">
        <v>27</v>
      </c>
      <c r="Q15" s="66" t="s">
        <v>111</v>
      </c>
      <c r="R15" s="66" t="s">
        <v>87</v>
      </c>
      <c r="S15" s="61"/>
      <c r="T15" s="57">
        <v>277.5</v>
      </c>
      <c r="U15" s="57" t="str">
        <f>"266,0393"</f>
        <v>266,0393</v>
      </c>
      <c r="V15" s="19" t="s">
        <v>482</v>
      </c>
    </row>
    <row r="16" spans="1:22" ht="12.75">
      <c r="A16" s="32">
        <v>2</v>
      </c>
      <c r="B16" s="23" t="s">
        <v>319</v>
      </c>
      <c r="C16" s="23" t="s">
        <v>320</v>
      </c>
      <c r="D16" s="23" t="s">
        <v>511</v>
      </c>
      <c r="E16" s="23" t="str">
        <f>"0,9579"</f>
        <v>0,9579</v>
      </c>
      <c r="F16" s="23" t="s">
        <v>19</v>
      </c>
      <c r="G16" s="23" t="s">
        <v>487</v>
      </c>
      <c r="H16" s="72" t="s">
        <v>306</v>
      </c>
      <c r="I16" s="67" t="s">
        <v>306</v>
      </c>
      <c r="J16" s="67" t="s">
        <v>316</v>
      </c>
      <c r="K16" s="62"/>
      <c r="L16" s="67" t="s">
        <v>140</v>
      </c>
      <c r="M16" s="67" t="s">
        <v>147</v>
      </c>
      <c r="N16" s="72" t="s">
        <v>313</v>
      </c>
      <c r="O16" s="62"/>
      <c r="P16" s="67" t="s">
        <v>316</v>
      </c>
      <c r="Q16" s="67" t="s">
        <v>33</v>
      </c>
      <c r="R16" s="67" t="s">
        <v>27</v>
      </c>
      <c r="S16" s="62"/>
      <c r="T16" s="58">
        <v>255</v>
      </c>
      <c r="U16" s="58" t="str">
        <f>"244,2645"</f>
        <v>244,2645</v>
      </c>
      <c r="V16" s="23" t="s">
        <v>486</v>
      </c>
    </row>
    <row r="18" spans="2:21" ht="15.75">
      <c r="B18" s="204" t="s">
        <v>136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</row>
    <row r="19" spans="1:22" ht="12.75">
      <c r="A19" s="32">
        <v>1</v>
      </c>
      <c r="B19" s="25" t="s">
        <v>321</v>
      </c>
      <c r="C19" s="25" t="s">
        <v>322</v>
      </c>
      <c r="D19" s="25" t="s">
        <v>512</v>
      </c>
      <c r="E19" s="25" t="str">
        <f>"1,1070"</f>
        <v>1,1070</v>
      </c>
      <c r="F19" s="25" t="s">
        <v>722</v>
      </c>
      <c r="G19" s="25" t="s">
        <v>518</v>
      </c>
      <c r="H19" s="69" t="s">
        <v>324</v>
      </c>
      <c r="I19" s="73" t="s">
        <v>163</v>
      </c>
      <c r="J19" s="73" t="s">
        <v>163</v>
      </c>
      <c r="K19" s="64"/>
      <c r="L19" s="69" t="s">
        <v>155</v>
      </c>
      <c r="M19" s="69" t="s">
        <v>151</v>
      </c>
      <c r="N19" s="69" t="s">
        <v>152</v>
      </c>
      <c r="O19" s="64"/>
      <c r="P19" s="69" t="s">
        <v>325</v>
      </c>
      <c r="Q19" s="69" t="s">
        <v>326</v>
      </c>
      <c r="R19" s="69" t="s">
        <v>309</v>
      </c>
      <c r="S19" s="64"/>
      <c r="T19" s="59">
        <v>180</v>
      </c>
      <c r="U19" s="59" t="str">
        <f>"199,2600"</f>
        <v>199,2600</v>
      </c>
      <c r="V19" s="25" t="s">
        <v>520</v>
      </c>
    </row>
    <row r="21" spans="2:21" ht="15.75">
      <c r="B21" s="204" t="s">
        <v>30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</row>
    <row r="22" spans="1:22" ht="12.75">
      <c r="A22" s="32">
        <v>1</v>
      </c>
      <c r="B22" s="19" t="s">
        <v>327</v>
      </c>
      <c r="C22" s="19" t="s">
        <v>328</v>
      </c>
      <c r="D22" s="19" t="s">
        <v>513</v>
      </c>
      <c r="E22" s="19" t="str">
        <f>"0,7638"</f>
        <v>0,7638</v>
      </c>
      <c r="F22" s="19" t="s">
        <v>19</v>
      </c>
      <c r="G22" s="19" t="s">
        <v>487</v>
      </c>
      <c r="H22" s="66" t="s">
        <v>61</v>
      </c>
      <c r="I22" s="66" t="s">
        <v>20</v>
      </c>
      <c r="J22" s="66" t="s">
        <v>38</v>
      </c>
      <c r="K22" s="61"/>
      <c r="L22" s="66" t="s">
        <v>316</v>
      </c>
      <c r="M22" s="66" t="s">
        <v>225</v>
      </c>
      <c r="N22" s="70" t="s">
        <v>33</v>
      </c>
      <c r="O22" s="61"/>
      <c r="P22" s="66" t="s">
        <v>54</v>
      </c>
      <c r="Q22" s="66" t="s">
        <v>99</v>
      </c>
      <c r="R22" s="66" t="s">
        <v>71</v>
      </c>
      <c r="S22" s="61"/>
      <c r="T22" s="57">
        <v>435</v>
      </c>
      <c r="U22" s="57" t="str">
        <f>"332,2530"</f>
        <v>332,2530</v>
      </c>
      <c r="V22" s="19" t="s">
        <v>521</v>
      </c>
    </row>
    <row r="23" spans="1:22" ht="12.75">
      <c r="A23" s="32">
        <v>1</v>
      </c>
      <c r="B23" s="23" t="s">
        <v>329</v>
      </c>
      <c r="C23" s="23" t="s">
        <v>330</v>
      </c>
      <c r="D23" s="23" t="s">
        <v>514</v>
      </c>
      <c r="E23" s="23" t="str">
        <f>"0,7207"</f>
        <v>0,7207</v>
      </c>
      <c r="F23" s="23" t="s">
        <v>19</v>
      </c>
      <c r="G23" s="23" t="s">
        <v>487</v>
      </c>
      <c r="H23" s="67" t="s">
        <v>71</v>
      </c>
      <c r="I23" s="67" t="s">
        <v>96</v>
      </c>
      <c r="J23" s="72" t="s">
        <v>331</v>
      </c>
      <c r="K23" s="62"/>
      <c r="L23" s="67" t="s">
        <v>182</v>
      </c>
      <c r="M23" s="67" t="s">
        <v>61</v>
      </c>
      <c r="N23" s="67" t="s">
        <v>41</v>
      </c>
      <c r="O23" s="62"/>
      <c r="P23" s="67" t="s">
        <v>72</v>
      </c>
      <c r="Q23" s="67" t="s">
        <v>243</v>
      </c>
      <c r="R23" s="67" t="s">
        <v>332</v>
      </c>
      <c r="S23" s="62"/>
      <c r="T23" s="58">
        <v>547.5</v>
      </c>
      <c r="U23" s="58" t="str">
        <f>"394,5833"</f>
        <v>394,5833</v>
      </c>
      <c r="V23" s="23" t="s">
        <v>481</v>
      </c>
    </row>
    <row r="25" spans="2:21" ht="15.75">
      <c r="B25" s="204" t="s">
        <v>35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</row>
    <row r="26" spans="1:22" ht="12.75">
      <c r="A26" s="32">
        <v>1</v>
      </c>
      <c r="B26" s="19" t="s">
        <v>333</v>
      </c>
      <c r="C26" s="19" t="s">
        <v>334</v>
      </c>
      <c r="D26" s="19" t="s">
        <v>515</v>
      </c>
      <c r="E26" s="19" t="str">
        <f>"0,6838"</f>
        <v>0,6838</v>
      </c>
      <c r="F26" s="19" t="s">
        <v>335</v>
      </c>
      <c r="G26" s="19" t="s">
        <v>336</v>
      </c>
      <c r="H26" s="66" t="s">
        <v>71</v>
      </c>
      <c r="I26" s="66" t="s">
        <v>72</v>
      </c>
      <c r="J26" s="66" t="s">
        <v>331</v>
      </c>
      <c r="K26" s="61"/>
      <c r="L26" s="66" t="s">
        <v>27</v>
      </c>
      <c r="M26" s="66" t="s">
        <v>85</v>
      </c>
      <c r="N26" s="66" t="s">
        <v>28</v>
      </c>
      <c r="O26" s="61"/>
      <c r="P26" s="66" t="s">
        <v>93</v>
      </c>
      <c r="Q26" s="66" t="s">
        <v>73</v>
      </c>
      <c r="R26" s="66" t="s">
        <v>337</v>
      </c>
      <c r="S26" s="61"/>
      <c r="T26" s="57">
        <v>525</v>
      </c>
      <c r="U26" s="57" t="str">
        <f>"358,9950"</f>
        <v>358,9950</v>
      </c>
      <c r="V26" s="19" t="s">
        <v>338</v>
      </c>
    </row>
    <row r="27" spans="1:22" ht="12.75">
      <c r="A27" s="32">
        <v>1</v>
      </c>
      <c r="B27" s="23" t="s">
        <v>339</v>
      </c>
      <c r="C27" s="23" t="s">
        <v>340</v>
      </c>
      <c r="D27" s="23" t="s">
        <v>516</v>
      </c>
      <c r="E27" s="23" t="str">
        <f>"0,6865"</f>
        <v>0,6865</v>
      </c>
      <c r="F27" s="23" t="s">
        <v>19</v>
      </c>
      <c r="G27" s="23" t="s">
        <v>341</v>
      </c>
      <c r="H27" s="67" t="s">
        <v>61</v>
      </c>
      <c r="I27" s="67" t="s">
        <v>38</v>
      </c>
      <c r="J27" s="67" t="s">
        <v>22</v>
      </c>
      <c r="K27" s="62"/>
      <c r="L27" s="67" t="s">
        <v>27</v>
      </c>
      <c r="M27" s="72" t="s">
        <v>111</v>
      </c>
      <c r="N27" s="72" t="s">
        <v>86</v>
      </c>
      <c r="O27" s="62"/>
      <c r="P27" s="67" t="s">
        <v>73</v>
      </c>
      <c r="Q27" s="67" t="s">
        <v>116</v>
      </c>
      <c r="R27" s="62"/>
      <c r="S27" s="62"/>
      <c r="T27" s="58">
        <v>492.5</v>
      </c>
      <c r="U27" s="58" t="str">
        <f>"338,1013"</f>
        <v>338,1013</v>
      </c>
      <c r="V27" s="23" t="s">
        <v>342</v>
      </c>
    </row>
    <row r="29" spans="2:21" ht="15.75">
      <c r="B29" s="204" t="s">
        <v>16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</row>
    <row r="30" spans="1:22" ht="12.75">
      <c r="A30" s="32">
        <v>1</v>
      </c>
      <c r="B30" s="19" t="s">
        <v>343</v>
      </c>
      <c r="C30" s="19" t="s">
        <v>344</v>
      </c>
      <c r="D30" s="19" t="s">
        <v>495</v>
      </c>
      <c r="E30" s="19" t="str">
        <f>"0,6467"</f>
        <v>0,6467</v>
      </c>
      <c r="F30" s="19" t="s">
        <v>19</v>
      </c>
      <c r="G30" s="19" t="s">
        <v>487</v>
      </c>
      <c r="H30" s="66" t="s">
        <v>51</v>
      </c>
      <c r="I30" s="66" t="s">
        <v>120</v>
      </c>
      <c r="J30" s="70" t="s">
        <v>71</v>
      </c>
      <c r="K30" s="61"/>
      <c r="L30" s="66" t="s">
        <v>87</v>
      </c>
      <c r="M30" s="70" t="s">
        <v>182</v>
      </c>
      <c r="N30" s="70" t="s">
        <v>182</v>
      </c>
      <c r="O30" s="61"/>
      <c r="P30" s="66" t="s">
        <v>265</v>
      </c>
      <c r="Q30" s="70" t="s">
        <v>255</v>
      </c>
      <c r="R30" s="70" t="s">
        <v>255</v>
      </c>
      <c r="S30" s="61"/>
      <c r="T30" s="57">
        <v>537.5</v>
      </c>
      <c r="U30" s="57" t="str">
        <f>"347,6013"</f>
        <v>347,6013</v>
      </c>
      <c r="V30" s="19" t="s">
        <v>345</v>
      </c>
    </row>
    <row r="31" spans="1:22" ht="12.75">
      <c r="A31" s="32">
        <v>2</v>
      </c>
      <c r="B31" s="21" t="s">
        <v>346</v>
      </c>
      <c r="C31" s="21" t="s">
        <v>347</v>
      </c>
      <c r="D31" s="21" t="s">
        <v>316</v>
      </c>
      <c r="E31" s="21" t="str">
        <f>"0,6384"</f>
        <v>0,6384</v>
      </c>
      <c r="F31" s="21" t="s">
        <v>79</v>
      </c>
      <c r="G31" s="21" t="s">
        <v>487</v>
      </c>
      <c r="H31" s="68" t="s">
        <v>54</v>
      </c>
      <c r="I31" s="71" t="s">
        <v>99</v>
      </c>
      <c r="J31" s="71" t="s">
        <v>286</v>
      </c>
      <c r="K31" s="63"/>
      <c r="L31" s="68" t="s">
        <v>33</v>
      </c>
      <c r="M31" s="68" t="s">
        <v>34</v>
      </c>
      <c r="N31" s="71" t="s">
        <v>26</v>
      </c>
      <c r="O31" s="63"/>
      <c r="P31" s="68" t="s">
        <v>21</v>
      </c>
      <c r="Q31" s="68" t="s">
        <v>54</v>
      </c>
      <c r="R31" s="68" t="s">
        <v>51</v>
      </c>
      <c r="S31" s="63"/>
      <c r="T31" s="60">
        <v>450</v>
      </c>
      <c r="U31" s="60" t="str">
        <f>"287,2800"</f>
        <v>287,2800</v>
      </c>
      <c r="V31" s="21" t="s">
        <v>318</v>
      </c>
    </row>
    <row r="32" spans="1:22" ht="12.75">
      <c r="A32" s="32">
        <v>3</v>
      </c>
      <c r="B32" s="23" t="s">
        <v>348</v>
      </c>
      <c r="C32" s="23" t="s">
        <v>349</v>
      </c>
      <c r="D32" s="23" t="s">
        <v>461</v>
      </c>
      <c r="E32" s="23" t="str">
        <f>"0,6428"</f>
        <v>0,6428</v>
      </c>
      <c r="F32" s="23" t="s">
        <v>19</v>
      </c>
      <c r="G32" s="23" t="s">
        <v>487</v>
      </c>
      <c r="H32" s="72" t="s">
        <v>61</v>
      </c>
      <c r="I32" s="72" t="s">
        <v>61</v>
      </c>
      <c r="J32" s="72" t="s">
        <v>61</v>
      </c>
      <c r="K32" s="62"/>
      <c r="L32" s="62"/>
      <c r="M32" s="62"/>
      <c r="N32" s="62"/>
      <c r="O32" s="62"/>
      <c r="P32" s="62"/>
      <c r="Q32" s="62"/>
      <c r="R32" s="62"/>
      <c r="S32" s="62"/>
      <c r="T32" s="65">
        <v>0</v>
      </c>
      <c r="U32" s="65">
        <v>0</v>
      </c>
      <c r="V32" s="23" t="s">
        <v>458</v>
      </c>
    </row>
    <row r="34" spans="2:21" ht="15.75">
      <c r="B34" s="204" t="s">
        <v>65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</row>
    <row r="35" spans="1:22" ht="12.75">
      <c r="A35" s="32">
        <v>1</v>
      </c>
      <c r="B35" s="19" t="s">
        <v>351</v>
      </c>
      <c r="C35" s="19" t="s">
        <v>352</v>
      </c>
      <c r="D35" s="19" t="s">
        <v>225</v>
      </c>
      <c r="E35" s="19" t="str">
        <f>"0,6220"</f>
        <v>0,6220</v>
      </c>
      <c r="F35" s="19" t="s">
        <v>19</v>
      </c>
      <c r="G35" s="19" t="s">
        <v>487</v>
      </c>
      <c r="H35" s="66" t="s">
        <v>58</v>
      </c>
      <c r="I35" s="66" t="s">
        <v>43</v>
      </c>
      <c r="J35" s="66" t="s">
        <v>21</v>
      </c>
      <c r="K35" s="61"/>
      <c r="L35" s="66" t="s">
        <v>27</v>
      </c>
      <c r="M35" s="70" t="s">
        <v>85</v>
      </c>
      <c r="N35" s="70" t="s">
        <v>111</v>
      </c>
      <c r="O35" s="61"/>
      <c r="P35" s="66" t="s">
        <v>73</v>
      </c>
      <c r="Q35" s="66" t="s">
        <v>284</v>
      </c>
      <c r="R35" s="70" t="s">
        <v>116</v>
      </c>
      <c r="S35" s="61"/>
      <c r="T35" s="57">
        <v>485</v>
      </c>
      <c r="U35" s="57" t="str">
        <f>"301,6700"</f>
        <v>301,6700</v>
      </c>
      <c r="V35" s="19" t="s">
        <v>64</v>
      </c>
    </row>
    <row r="36" spans="1:22" ht="12.75">
      <c r="A36" s="32">
        <v>2</v>
      </c>
      <c r="B36" s="23" t="s">
        <v>353</v>
      </c>
      <c r="C36" s="23" t="s">
        <v>354</v>
      </c>
      <c r="D36" s="23" t="s">
        <v>407</v>
      </c>
      <c r="E36" s="23" t="str">
        <f>"0,6150"</f>
        <v>0,6150</v>
      </c>
      <c r="F36" s="23" t="s">
        <v>19</v>
      </c>
      <c r="G36" s="23" t="s">
        <v>487</v>
      </c>
      <c r="H36" s="67" t="s">
        <v>182</v>
      </c>
      <c r="I36" s="67" t="s">
        <v>41</v>
      </c>
      <c r="J36" s="72" t="s">
        <v>20</v>
      </c>
      <c r="K36" s="62"/>
      <c r="L36" s="72" t="s">
        <v>27</v>
      </c>
      <c r="M36" s="72" t="s">
        <v>27</v>
      </c>
      <c r="N36" s="72" t="s">
        <v>27</v>
      </c>
      <c r="O36" s="62"/>
      <c r="P36" s="62"/>
      <c r="Q36" s="62"/>
      <c r="R36" s="62"/>
      <c r="S36" s="62"/>
      <c r="T36" s="65">
        <v>0</v>
      </c>
      <c r="U36" s="65">
        <v>0</v>
      </c>
      <c r="V36" s="23" t="s">
        <v>522</v>
      </c>
    </row>
    <row r="38" spans="2:21" ht="15.75">
      <c r="B38" s="204" t="s">
        <v>112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</row>
    <row r="39" spans="1:22" ht="12.75">
      <c r="A39" s="32">
        <v>1</v>
      </c>
      <c r="B39" s="25" t="s">
        <v>355</v>
      </c>
      <c r="C39" s="25" t="s">
        <v>356</v>
      </c>
      <c r="D39" s="25" t="s">
        <v>517</v>
      </c>
      <c r="E39" s="25" t="str">
        <f>"0,5730"</f>
        <v>0,5730</v>
      </c>
      <c r="F39" s="25" t="s">
        <v>19</v>
      </c>
      <c r="G39" s="25" t="s">
        <v>450</v>
      </c>
      <c r="H39" s="69" t="s">
        <v>285</v>
      </c>
      <c r="I39" s="69" t="s">
        <v>255</v>
      </c>
      <c r="J39" s="69" t="s">
        <v>259</v>
      </c>
      <c r="K39" s="64"/>
      <c r="L39" s="69" t="s">
        <v>20</v>
      </c>
      <c r="M39" s="69" t="s">
        <v>21</v>
      </c>
      <c r="N39" s="69" t="s">
        <v>54</v>
      </c>
      <c r="O39" s="64"/>
      <c r="P39" s="73" t="s">
        <v>285</v>
      </c>
      <c r="Q39" s="69" t="s">
        <v>285</v>
      </c>
      <c r="R39" s="69" t="s">
        <v>357</v>
      </c>
      <c r="S39" s="64"/>
      <c r="T39" s="59">
        <v>660</v>
      </c>
      <c r="U39" s="59" t="str">
        <f>"378,1800"</f>
        <v>378,1800</v>
      </c>
      <c r="V39" s="25" t="s">
        <v>64</v>
      </c>
    </row>
  </sheetData>
  <sheetProtection/>
  <mergeCells count="24"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  <mergeCell ref="B5:U5"/>
    <mergeCell ref="B8:U8"/>
    <mergeCell ref="B11:U11"/>
    <mergeCell ref="B38:U38"/>
    <mergeCell ref="B14:U14"/>
    <mergeCell ref="B18:U18"/>
    <mergeCell ref="B21:U21"/>
    <mergeCell ref="B25:U25"/>
    <mergeCell ref="B29:U29"/>
    <mergeCell ref="B34:U34"/>
  </mergeCells>
  <printOptions/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F47" sqref="F47"/>
    </sheetView>
  </sheetViews>
  <sheetFormatPr defaultColWidth="8.75390625" defaultRowHeight="12.75"/>
  <cols>
    <col min="1" max="1" width="7.75390625" style="32" customWidth="1"/>
    <col min="2" max="2" width="16.125" style="18" customWidth="1"/>
    <col min="3" max="3" width="26.875" style="18" bestFit="1" customWidth="1"/>
    <col min="4" max="4" width="10.625" style="18" bestFit="1" customWidth="1"/>
    <col min="5" max="5" width="8.375" style="18" bestFit="1" customWidth="1"/>
    <col min="6" max="6" width="11.375" style="18" customWidth="1"/>
    <col min="7" max="7" width="35.75390625" style="18" customWidth="1"/>
    <col min="8" max="10" width="5.625" style="18" bestFit="1" customWidth="1"/>
    <col min="11" max="11" width="4.625" style="18" bestFit="1" customWidth="1"/>
    <col min="12" max="14" width="5.625" style="18" bestFit="1" customWidth="1"/>
    <col min="15" max="15" width="4.625" style="18" bestFit="1" customWidth="1"/>
    <col min="16" max="18" width="5.625" style="18" bestFit="1" customWidth="1"/>
    <col min="19" max="19" width="4.625" style="18" bestFit="1" customWidth="1"/>
    <col min="20" max="20" width="7.875" style="18" bestFit="1" customWidth="1"/>
    <col min="21" max="21" width="8.625" style="18" bestFit="1" customWidth="1"/>
    <col min="22" max="22" width="18.125" style="18" bestFit="1" customWidth="1"/>
  </cols>
  <sheetData>
    <row r="1" spans="1:22" s="1" customFormat="1" ht="15" customHeight="1">
      <c r="A1" s="43"/>
      <c r="B1" s="212" t="s">
        <v>739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3"/>
    </row>
    <row r="2" spans="1:22" s="1" customFormat="1" ht="87" customHeight="1" thickBot="1">
      <c r="A2" s="43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</row>
    <row r="3" spans="1:22" s="2" customFormat="1" ht="12.75" customHeight="1">
      <c r="A3" s="205" t="s">
        <v>446</v>
      </c>
      <c r="B3" s="216" t="s">
        <v>0</v>
      </c>
      <c r="C3" s="220" t="s">
        <v>447</v>
      </c>
      <c r="D3" s="220" t="s">
        <v>448</v>
      </c>
      <c r="E3" s="207" t="s">
        <v>9</v>
      </c>
      <c r="F3" s="207" t="s">
        <v>7</v>
      </c>
      <c r="G3" s="218" t="s">
        <v>449</v>
      </c>
      <c r="H3" s="207" t="s">
        <v>1</v>
      </c>
      <c r="I3" s="207"/>
      <c r="J3" s="207"/>
      <c r="K3" s="207"/>
      <c r="L3" s="207" t="s">
        <v>2</v>
      </c>
      <c r="M3" s="207"/>
      <c r="N3" s="207"/>
      <c r="O3" s="207"/>
      <c r="P3" s="207" t="s">
        <v>3</v>
      </c>
      <c r="Q3" s="207"/>
      <c r="R3" s="207"/>
      <c r="S3" s="207"/>
      <c r="T3" s="207" t="s">
        <v>4</v>
      </c>
      <c r="U3" s="207" t="s">
        <v>6</v>
      </c>
      <c r="V3" s="209" t="s">
        <v>5</v>
      </c>
    </row>
    <row r="4" spans="1:22" s="2" customFormat="1" ht="21" customHeight="1" thickBot="1">
      <c r="A4" s="206"/>
      <c r="B4" s="217"/>
      <c r="C4" s="208"/>
      <c r="D4" s="208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208"/>
      <c r="U4" s="208"/>
      <c r="V4" s="210"/>
    </row>
    <row r="5" spans="2:21" ht="15.75">
      <c r="B5" s="211" t="s">
        <v>16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1:22" ht="12.75">
      <c r="A6" s="32">
        <v>1</v>
      </c>
      <c r="B6" s="25" t="s">
        <v>279</v>
      </c>
      <c r="C6" s="25" t="s">
        <v>280</v>
      </c>
      <c r="D6" s="25" t="s">
        <v>454</v>
      </c>
      <c r="E6" s="25" t="str">
        <f>"0,6475"</f>
        <v>0,6475</v>
      </c>
      <c r="F6" s="25" t="s">
        <v>19</v>
      </c>
      <c r="G6" s="25" t="s">
        <v>450</v>
      </c>
      <c r="H6" s="37" t="s">
        <v>61</v>
      </c>
      <c r="I6" s="36" t="s">
        <v>61</v>
      </c>
      <c r="J6" s="36" t="s">
        <v>20</v>
      </c>
      <c r="K6" s="34"/>
      <c r="L6" s="36" t="s">
        <v>85</v>
      </c>
      <c r="M6" s="37" t="s">
        <v>111</v>
      </c>
      <c r="N6" s="37" t="s">
        <v>111</v>
      </c>
      <c r="O6" s="34"/>
      <c r="P6" s="36" t="s">
        <v>54</v>
      </c>
      <c r="Q6" s="37" t="s">
        <v>51</v>
      </c>
      <c r="R6" s="37" t="s">
        <v>51</v>
      </c>
      <c r="S6" s="34"/>
      <c r="T6" s="33" t="s">
        <v>301</v>
      </c>
      <c r="U6" s="33" t="str">
        <f>"284,9000"</f>
        <v>284,9000</v>
      </c>
      <c r="V6" s="25" t="s">
        <v>64</v>
      </c>
    </row>
    <row r="8" spans="2:21" ht="15.75">
      <c r="B8" s="204" t="s">
        <v>65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</row>
    <row r="9" spans="1:22" ht="12.75">
      <c r="A9" s="32">
        <v>1</v>
      </c>
      <c r="B9" s="19" t="s">
        <v>281</v>
      </c>
      <c r="C9" s="19" t="s">
        <v>282</v>
      </c>
      <c r="D9" s="19" t="s">
        <v>523</v>
      </c>
      <c r="E9" s="19" t="str">
        <f>"0,6352"</f>
        <v>0,6352</v>
      </c>
      <c r="F9" s="19" t="s">
        <v>283</v>
      </c>
      <c r="G9" s="19" t="s">
        <v>487</v>
      </c>
      <c r="H9" s="51" t="s">
        <v>73</v>
      </c>
      <c r="I9" s="51" t="s">
        <v>284</v>
      </c>
      <c r="J9" s="56" t="s">
        <v>285</v>
      </c>
      <c r="K9" s="46"/>
      <c r="L9" s="51" t="s">
        <v>54</v>
      </c>
      <c r="M9" s="51" t="s">
        <v>99</v>
      </c>
      <c r="N9" s="56" t="s">
        <v>286</v>
      </c>
      <c r="O9" s="46"/>
      <c r="P9" s="51" t="s">
        <v>287</v>
      </c>
      <c r="Q9" s="51" t="s">
        <v>288</v>
      </c>
      <c r="R9" s="56" t="s">
        <v>262</v>
      </c>
      <c r="S9" s="46"/>
      <c r="T9" s="38" t="s">
        <v>300</v>
      </c>
      <c r="U9" s="38" t="str">
        <f>"438,2880"</f>
        <v>438,2880</v>
      </c>
      <c r="V9" s="19" t="s">
        <v>64</v>
      </c>
    </row>
    <row r="10" spans="1:22" ht="12.75">
      <c r="A10" s="32">
        <v>2</v>
      </c>
      <c r="B10" s="21" t="s">
        <v>289</v>
      </c>
      <c r="C10" s="21" t="s">
        <v>290</v>
      </c>
      <c r="D10" s="21" t="s">
        <v>498</v>
      </c>
      <c r="E10" s="21" t="str">
        <f>"0,6093"</f>
        <v>0,6093</v>
      </c>
      <c r="F10" s="21" t="s">
        <v>70</v>
      </c>
      <c r="G10" s="21" t="s">
        <v>487</v>
      </c>
      <c r="H10" s="53" t="s">
        <v>99</v>
      </c>
      <c r="I10" s="53" t="s">
        <v>96</v>
      </c>
      <c r="J10" s="53" t="s">
        <v>243</v>
      </c>
      <c r="K10" s="50"/>
      <c r="L10" s="53" t="s">
        <v>85</v>
      </c>
      <c r="M10" s="53" t="s">
        <v>111</v>
      </c>
      <c r="N10" s="54" t="s">
        <v>86</v>
      </c>
      <c r="O10" s="50"/>
      <c r="P10" s="53" t="s">
        <v>291</v>
      </c>
      <c r="Q10" s="53" t="s">
        <v>292</v>
      </c>
      <c r="R10" s="54" t="s">
        <v>293</v>
      </c>
      <c r="S10" s="50"/>
      <c r="T10" s="49">
        <v>587.5</v>
      </c>
      <c r="U10" s="49" t="str">
        <f>"357,9638"</f>
        <v>357,9638</v>
      </c>
      <c r="V10" s="21" t="s">
        <v>490</v>
      </c>
    </row>
    <row r="11" spans="1:22" ht="12.75">
      <c r="A11" s="32">
        <v>1</v>
      </c>
      <c r="B11" s="23" t="s">
        <v>294</v>
      </c>
      <c r="C11" s="23" t="s">
        <v>295</v>
      </c>
      <c r="D11" s="23" t="s">
        <v>524</v>
      </c>
      <c r="E11" s="23" t="str">
        <f>"0,6158"</f>
        <v>0,6158</v>
      </c>
      <c r="F11" s="23" t="s">
        <v>19</v>
      </c>
      <c r="G11" s="23" t="s">
        <v>487</v>
      </c>
      <c r="H11" s="52" t="s">
        <v>99</v>
      </c>
      <c r="I11" s="52" t="s">
        <v>73</v>
      </c>
      <c r="J11" s="52" t="s">
        <v>284</v>
      </c>
      <c r="K11" s="48"/>
      <c r="L11" s="52" t="s">
        <v>87</v>
      </c>
      <c r="M11" s="52" t="s">
        <v>61</v>
      </c>
      <c r="N11" s="55" t="s">
        <v>20</v>
      </c>
      <c r="O11" s="48"/>
      <c r="P11" s="52" t="s">
        <v>255</v>
      </c>
      <c r="Q11" s="52" t="s">
        <v>256</v>
      </c>
      <c r="R11" s="55" t="s">
        <v>257</v>
      </c>
      <c r="S11" s="48"/>
      <c r="T11" s="47" t="s">
        <v>302</v>
      </c>
      <c r="U11" s="47" t="str">
        <f>"362,0442"</f>
        <v>362,0442</v>
      </c>
      <c r="V11" s="23" t="s">
        <v>64</v>
      </c>
    </row>
    <row r="12" spans="2:21" ht="12.75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</row>
    <row r="13" spans="2:21" ht="15.75">
      <c r="B13" s="204" t="s">
        <v>296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</row>
    <row r="14" spans="1:22" ht="12.75">
      <c r="A14" s="32">
        <v>1</v>
      </c>
      <c r="B14" s="25" t="s">
        <v>297</v>
      </c>
      <c r="C14" s="25" t="s">
        <v>298</v>
      </c>
      <c r="D14" s="25" t="s">
        <v>456</v>
      </c>
      <c r="E14" s="25" t="str">
        <f>"0,5491"</f>
        <v>0,5491</v>
      </c>
      <c r="F14" s="25" t="s">
        <v>19</v>
      </c>
      <c r="G14" s="25" t="s">
        <v>450</v>
      </c>
      <c r="H14" s="36" t="s">
        <v>117</v>
      </c>
      <c r="I14" s="36" t="s">
        <v>265</v>
      </c>
      <c r="J14" s="36" t="s">
        <v>299</v>
      </c>
      <c r="K14" s="34"/>
      <c r="L14" s="37" t="s">
        <v>93</v>
      </c>
      <c r="M14" s="37" t="s">
        <v>93</v>
      </c>
      <c r="N14" s="36" t="s">
        <v>93</v>
      </c>
      <c r="O14" s="34"/>
      <c r="P14" s="37" t="s">
        <v>293</v>
      </c>
      <c r="Q14" s="37" t="s">
        <v>293</v>
      </c>
      <c r="R14" s="37" t="s">
        <v>293</v>
      </c>
      <c r="S14" s="34"/>
      <c r="T14" s="33">
        <v>0</v>
      </c>
      <c r="U14" s="33" t="s">
        <v>525</v>
      </c>
      <c r="V14" s="25" t="s">
        <v>64</v>
      </c>
    </row>
  </sheetData>
  <sheetProtection/>
  <mergeCells count="17"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B13:U13"/>
    <mergeCell ref="P3:S3"/>
    <mergeCell ref="T3:T4"/>
    <mergeCell ref="U3:U4"/>
    <mergeCell ref="V3:V4"/>
    <mergeCell ref="B5:U5"/>
    <mergeCell ref="B8:U8"/>
  </mergeCells>
  <printOptions/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J23" sqref="J23"/>
    </sheetView>
  </sheetViews>
  <sheetFormatPr defaultColWidth="11.375" defaultRowHeight="12.75"/>
  <cols>
    <col min="1" max="1" width="11.375" style="0" customWidth="1"/>
    <col min="2" max="2" width="23.00390625" style="0" customWidth="1"/>
  </cols>
  <sheetData>
    <row r="1" spans="1:8" ht="57.75" customHeight="1">
      <c r="A1" s="152"/>
      <c r="B1" s="198" t="s">
        <v>829</v>
      </c>
      <c r="C1" s="198"/>
      <c r="D1" s="198"/>
      <c r="E1" s="198"/>
      <c r="F1" s="198"/>
      <c r="G1" s="198"/>
      <c r="H1" s="199"/>
    </row>
    <row r="2" spans="1:8" ht="37.5" customHeight="1" thickBot="1">
      <c r="A2" s="153"/>
      <c r="B2" s="180" t="s">
        <v>821</v>
      </c>
      <c r="C2" s="180"/>
      <c r="D2" s="180"/>
      <c r="E2" s="180"/>
      <c r="F2" s="180"/>
      <c r="G2" s="180"/>
      <c r="H2" s="181"/>
    </row>
    <row r="3" spans="1:8" ht="16.5" customHeight="1">
      <c r="A3" s="35" t="s">
        <v>576</v>
      </c>
      <c r="B3" s="122" t="s">
        <v>825</v>
      </c>
      <c r="C3" s="35" t="s">
        <v>826</v>
      </c>
      <c r="D3" s="44"/>
      <c r="E3" s="122"/>
      <c r="F3" s="122"/>
      <c r="G3" s="44"/>
      <c r="H3" s="156"/>
    </row>
    <row r="4" spans="1:8" ht="13.5" customHeight="1">
      <c r="A4" s="35" t="s">
        <v>577</v>
      </c>
      <c r="B4" s="122" t="s">
        <v>13</v>
      </c>
      <c r="C4" s="35" t="s">
        <v>827</v>
      </c>
      <c r="D4" s="44"/>
      <c r="E4" s="122"/>
      <c r="F4" s="122"/>
      <c r="G4" s="44"/>
      <c r="H4" s="156"/>
    </row>
    <row r="5" spans="1:8" ht="12.75" customHeight="1">
      <c r="A5" s="35" t="s">
        <v>578</v>
      </c>
      <c r="B5" s="18" t="s">
        <v>79</v>
      </c>
      <c r="C5" s="35" t="s">
        <v>828</v>
      </c>
      <c r="D5" s="44"/>
      <c r="E5" s="122"/>
      <c r="F5" s="122"/>
      <c r="G5" s="44"/>
      <c r="H5" s="156"/>
    </row>
    <row r="6" spans="1:8" ht="13.5" customHeight="1">
      <c r="A6" s="35"/>
      <c r="B6" s="122"/>
      <c r="C6" s="44"/>
      <c r="D6" s="44"/>
      <c r="E6" s="122"/>
      <c r="F6" s="122"/>
      <c r="G6" s="44"/>
      <c r="H6" s="156"/>
    </row>
    <row r="7" spans="1:8" ht="12.75">
      <c r="A7" s="35"/>
      <c r="B7" s="122"/>
      <c r="C7" s="44"/>
      <c r="D7" s="44"/>
      <c r="E7" s="122"/>
      <c r="F7" s="122"/>
      <c r="G7" s="44"/>
      <c r="H7" s="156"/>
    </row>
    <row r="8" spans="1:8" ht="12.75">
      <c r="A8" s="35"/>
      <c r="B8" s="122"/>
      <c r="C8" s="44"/>
      <c r="D8" s="44"/>
      <c r="E8" s="122"/>
      <c r="F8" s="122"/>
      <c r="G8" s="44"/>
      <c r="H8" s="156"/>
    </row>
    <row r="9" spans="1:8" ht="12.75">
      <c r="A9" s="35"/>
      <c r="B9" s="122"/>
      <c r="C9" s="44"/>
      <c r="D9" s="44"/>
      <c r="E9" s="122"/>
      <c r="F9" s="122"/>
      <c r="G9" s="44"/>
      <c r="H9" s="156"/>
    </row>
  </sheetData>
  <sheetProtection/>
  <mergeCells count="2">
    <mergeCell ref="B1:H1"/>
    <mergeCell ref="B2:H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C22" sqref="C22"/>
    </sheetView>
  </sheetViews>
  <sheetFormatPr defaultColWidth="9.125" defaultRowHeight="12.75"/>
  <cols>
    <col min="1" max="1" width="9.125" style="43" customWidth="1"/>
    <col min="2" max="2" width="23.375" style="4" customWidth="1"/>
    <col min="3" max="3" width="26.00390625" style="1" bestFit="1" customWidth="1"/>
    <col min="4" max="4" width="10.625" style="1" bestFit="1" customWidth="1"/>
    <col min="5" max="5" width="8.375" style="1" bestFit="1" customWidth="1"/>
    <col min="6" max="6" width="12.375" style="5" customWidth="1"/>
    <col min="7" max="7" width="36.75390625" style="5" customWidth="1"/>
    <col min="8" max="9" width="4.625" style="1" bestFit="1" customWidth="1"/>
    <col min="10" max="10" width="5.625" style="1" bestFit="1" customWidth="1"/>
    <col min="11" max="15" width="4.625" style="1" bestFit="1" customWidth="1"/>
    <col min="16" max="16" width="7.875" style="4" bestFit="1" customWidth="1"/>
    <col min="17" max="17" width="8.625" style="1" bestFit="1" customWidth="1"/>
    <col min="18" max="18" width="17.625" style="5" bestFit="1" customWidth="1"/>
    <col min="19" max="16384" width="9.125" style="1" customWidth="1"/>
  </cols>
  <sheetData>
    <row r="1" spans="2:18" ht="15" customHeight="1">
      <c r="B1" s="212" t="s">
        <v>834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</row>
    <row r="2" spans="2:18" ht="111.75" customHeight="1" thickBot="1"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5"/>
    </row>
    <row r="3" spans="1:18" s="2" customFormat="1" ht="12.75" customHeight="1">
      <c r="A3" s="205" t="s">
        <v>446</v>
      </c>
      <c r="B3" s="216" t="s">
        <v>0</v>
      </c>
      <c r="C3" s="188" t="s">
        <v>447</v>
      </c>
      <c r="D3" s="188" t="s">
        <v>448</v>
      </c>
      <c r="E3" s="207" t="s">
        <v>617</v>
      </c>
      <c r="F3" s="207" t="s">
        <v>7</v>
      </c>
      <c r="G3" s="218" t="s">
        <v>449</v>
      </c>
      <c r="H3" s="207" t="s">
        <v>688</v>
      </c>
      <c r="I3" s="207"/>
      <c r="J3" s="207"/>
      <c r="K3" s="207"/>
      <c r="L3" s="207" t="s">
        <v>689</v>
      </c>
      <c r="M3" s="207"/>
      <c r="N3" s="207"/>
      <c r="O3" s="207"/>
      <c r="P3" s="207" t="s">
        <v>4</v>
      </c>
      <c r="Q3" s="207" t="s">
        <v>6</v>
      </c>
      <c r="R3" s="209" t="s">
        <v>5</v>
      </c>
    </row>
    <row r="4" spans="1:18" s="2" customFormat="1" ht="21" customHeight="1" thickBot="1">
      <c r="A4" s="206"/>
      <c r="B4" s="217"/>
      <c r="C4" s="174"/>
      <c r="D4" s="174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208"/>
      <c r="Q4" s="208"/>
      <c r="R4" s="210"/>
    </row>
    <row r="5" spans="2:17" ht="15.75">
      <c r="B5" s="177" t="s">
        <v>30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8" ht="12.75">
      <c r="A6" s="43" t="s">
        <v>576</v>
      </c>
      <c r="B6" s="40" t="s">
        <v>31</v>
      </c>
      <c r="C6" s="7" t="s">
        <v>831</v>
      </c>
      <c r="D6" s="6" t="s">
        <v>556</v>
      </c>
      <c r="E6" s="6" t="str">
        <f>"0,6899"</f>
        <v>0,6899</v>
      </c>
      <c r="F6" s="7" t="s">
        <v>19</v>
      </c>
      <c r="G6" s="25" t="s">
        <v>450</v>
      </c>
      <c r="H6" s="123" t="s">
        <v>162</v>
      </c>
      <c r="I6" s="123" t="s">
        <v>325</v>
      </c>
      <c r="J6" s="123" t="s">
        <v>305</v>
      </c>
      <c r="K6" s="101"/>
      <c r="L6" s="123" t="s">
        <v>139</v>
      </c>
      <c r="M6" s="123" t="s">
        <v>147</v>
      </c>
      <c r="N6" s="123" t="s">
        <v>312</v>
      </c>
      <c r="O6" s="101"/>
      <c r="P6" s="99" t="s">
        <v>87</v>
      </c>
      <c r="Q6" s="99" t="str">
        <f>"89,6870"</f>
        <v>89,6870</v>
      </c>
      <c r="R6" s="7" t="s">
        <v>837</v>
      </c>
    </row>
    <row r="8" spans="2:17" ht="15.75">
      <c r="B8" s="190" t="s">
        <v>65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8" ht="12.75">
      <c r="A9" s="43" t="s">
        <v>576</v>
      </c>
      <c r="B9" s="75" t="s">
        <v>832</v>
      </c>
      <c r="C9" s="9" t="s">
        <v>833</v>
      </c>
      <c r="D9" s="8" t="s">
        <v>835</v>
      </c>
      <c r="E9" s="8" t="str">
        <f>"0,5850"</f>
        <v>0,5850</v>
      </c>
      <c r="F9" s="9" t="s">
        <v>19</v>
      </c>
      <c r="G9" s="19" t="s">
        <v>450</v>
      </c>
      <c r="H9" s="125" t="s">
        <v>316</v>
      </c>
      <c r="I9" s="125" t="s">
        <v>407</v>
      </c>
      <c r="J9" s="125" t="s">
        <v>197</v>
      </c>
      <c r="K9" s="157"/>
      <c r="L9" s="125" t="s">
        <v>162</v>
      </c>
      <c r="M9" s="125" t="s">
        <v>410</v>
      </c>
      <c r="N9" s="125" t="s">
        <v>305</v>
      </c>
      <c r="O9" s="157"/>
      <c r="P9" s="97" t="s">
        <v>80</v>
      </c>
      <c r="Q9" s="97" t="str">
        <f>"103,8464"</f>
        <v>103,8464</v>
      </c>
      <c r="R9" s="9" t="s">
        <v>64</v>
      </c>
    </row>
    <row r="10" spans="1:18" ht="12.75">
      <c r="A10" s="43" t="s">
        <v>577</v>
      </c>
      <c r="B10" s="77" t="s">
        <v>83</v>
      </c>
      <c r="C10" s="13" t="s">
        <v>84</v>
      </c>
      <c r="D10" s="12" t="s">
        <v>595</v>
      </c>
      <c r="E10" s="12" t="str">
        <f>"0,5943"</f>
        <v>0,5943</v>
      </c>
      <c r="F10" s="13" t="s">
        <v>19</v>
      </c>
      <c r="G10" s="23" t="s">
        <v>450</v>
      </c>
      <c r="H10" s="130" t="s">
        <v>162</v>
      </c>
      <c r="I10" s="130" t="s">
        <v>325</v>
      </c>
      <c r="J10" s="159" t="s">
        <v>14</v>
      </c>
      <c r="K10" s="158"/>
      <c r="L10" s="130" t="s">
        <v>141</v>
      </c>
      <c r="M10" s="130" t="s">
        <v>147</v>
      </c>
      <c r="N10" s="130" t="s">
        <v>312</v>
      </c>
      <c r="O10" s="158"/>
      <c r="P10" s="80" t="s">
        <v>111</v>
      </c>
      <c r="Q10" s="80" t="str">
        <f>"74,2875"</f>
        <v>74,2875</v>
      </c>
      <c r="R10" s="13" t="s">
        <v>610</v>
      </c>
    </row>
    <row r="12" spans="2:17" ht="15.75">
      <c r="B12" s="190" t="s">
        <v>89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</row>
    <row r="13" spans="1:18" ht="12.75">
      <c r="A13" s="43" t="s">
        <v>576</v>
      </c>
      <c r="B13" s="40" t="s">
        <v>94</v>
      </c>
      <c r="C13" s="7" t="s">
        <v>95</v>
      </c>
      <c r="D13" s="6" t="s">
        <v>596</v>
      </c>
      <c r="E13" s="6" t="str">
        <f>"0,5778"</f>
        <v>0,5778</v>
      </c>
      <c r="F13" s="7" t="s">
        <v>19</v>
      </c>
      <c r="G13" s="7" t="s">
        <v>836</v>
      </c>
      <c r="H13" s="123" t="s">
        <v>325</v>
      </c>
      <c r="I13" s="123" t="s">
        <v>316</v>
      </c>
      <c r="J13" s="123" t="s">
        <v>34</v>
      </c>
      <c r="K13" s="101"/>
      <c r="L13" s="123" t="s">
        <v>147</v>
      </c>
      <c r="M13" s="123" t="s">
        <v>325</v>
      </c>
      <c r="N13" s="131" t="s">
        <v>316</v>
      </c>
      <c r="O13" s="101"/>
      <c r="P13" s="99" t="s">
        <v>51</v>
      </c>
      <c r="Q13" s="99" t="str">
        <f>"101,1150"</f>
        <v>101,1150</v>
      </c>
      <c r="R13" s="7" t="s">
        <v>64</v>
      </c>
    </row>
  </sheetData>
  <sheetProtection/>
  <mergeCells count="16"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Q3:Q4"/>
    <mergeCell ref="R3:R4"/>
    <mergeCell ref="B5:Q5"/>
    <mergeCell ref="B8:Q8"/>
    <mergeCell ref="B12:Q12"/>
    <mergeCell ref="A3:A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B5" sqref="B5:M5"/>
    </sheetView>
  </sheetViews>
  <sheetFormatPr defaultColWidth="8.75390625" defaultRowHeight="12.75"/>
  <cols>
    <col min="1" max="1" width="7.625" style="0" customWidth="1"/>
    <col min="2" max="2" width="17.25390625" style="18" customWidth="1"/>
    <col min="3" max="3" width="25.625" style="18" customWidth="1"/>
    <col min="4" max="4" width="10.625" style="18" bestFit="1" customWidth="1"/>
    <col min="5" max="5" width="8.375" style="18" bestFit="1" customWidth="1"/>
    <col min="6" max="6" width="22.75390625" style="18" bestFit="1" customWidth="1"/>
    <col min="7" max="7" width="21.75390625" style="18" bestFit="1" customWidth="1"/>
    <col min="8" max="8" width="5.625" style="18" bestFit="1" customWidth="1"/>
    <col min="9" max="9" width="3.25390625" style="18" customWidth="1"/>
    <col min="10" max="10" width="3.00390625" style="18" customWidth="1"/>
    <col min="11" max="11" width="4.625" style="18" bestFit="1" customWidth="1"/>
    <col min="12" max="12" width="11.375" style="18" customWidth="1"/>
    <col min="13" max="13" width="8.625" style="18" bestFit="1" customWidth="1"/>
    <col min="14" max="14" width="15.375" style="18" bestFit="1" customWidth="1"/>
  </cols>
  <sheetData>
    <row r="1" spans="2:14" s="1" customFormat="1" ht="15" customHeight="1">
      <c r="B1" s="212" t="s">
        <v>745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2:14" s="1" customFormat="1" ht="103.5" customHeight="1" thickBot="1"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2" customFormat="1" ht="12.75" customHeight="1">
      <c r="A3" s="205" t="s">
        <v>446</v>
      </c>
      <c r="B3" s="216" t="s">
        <v>0</v>
      </c>
      <c r="C3" s="220" t="s">
        <v>447</v>
      </c>
      <c r="D3" s="220" t="s">
        <v>448</v>
      </c>
      <c r="E3" s="207" t="s">
        <v>9</v>
      </c>
      <c r="F3" s="207" t="s">
        <v>7</v>
      </c>
      <c r="G3" s="218" t="s">
        <v>449</v>
      </c>
      <c r="H3" s="207" t="s">
        <v>3</v>
      </c>
      <c r="I3" s="207"/>
      <c r="J3" s="207"/>
      <c r="K3" s="207"/>
      <c r="L3" s="207" t="s">
        <v>453</v>
      </c>
      <c r="M3" s="207" t="s">
        <v>6</v>
      </c>
      <c r="N3" s="209" t="s">
        <v>5</v>
      </c>
    </row>
    <row r="4" spans="1:14" s="2" customFormat="1" ht="21" customHeight="1" thickBot="1">
      <c r="A4" s="206"/>
      <c r="B4" s="217"/>
      <c r="C4" s="208"/>
      <c r="D4" s="208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208"/>
      <c r="M4" s="208"/>
      <c r="N4" s="210"/>
    </row>
    <row r="5" spans="2:13" ht="15.75">
      <c r="B5" s="211" t="s">
        <v>89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4" ht="12.75">
      <c r="A6" s="32">
        <v>1</v>
      </c>
      <c r="B6" s="25" t="s">
        <v>260</v>
      </c>
      <c r="C6" s="25" t="s">
        <v>261</v>
      </c>
      <c r="D6" s="25" t="s">
        <v>460</v>
      </c>
      <c r="E6" s="25" t="str">
        <f>"0,5958"</f>
        <v>0,5958</v>
      </c>
      <c r="F6" s="25" t="s">
        <v>19</v>
      </c>
      <c r="G6" s="25" t="s">
        <v>49</v>
      </c>
      <c r="H6" s="36" t="s">
        <v>264</v>
      </c>
      <c r="I6" s="34"/>
      <c r="J6" s="34"/>
      <c r="K6" s="34"/>
      <c r="L6" s="33" t="s">
        <v>264</v>
      </c>
      <c r="M6" s="33" t="str">
        <f>"196,6140"</f>
        <v>196,6140</v>
      </c>
      <c r="N6" s="25" t="s">
        <v>64</v>
      </c>
    </row>
  </sheetData>
  <sheetProtection/>
  <mergeCells count="13"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6">
      <selection activeCell="B9" sqref="B9:M9"/>
    </sheetView>
  </sheetViews>
  <sheetFormatPr defaultColWidth="8.75390625" defaultRowHeight="12.75"/>
  <cols>
    <col min="1" max="1" width="8.125" style="32" customWidth="1"/>
    <col min="2" max="2" width="22.125" style="18" customWidth="1"/>
    <col min="3" max="3" width="27.125" style="18" bestFit="1" customWidth="1"/>
    <col min="4" max="4" width="10.625" style="18" bestFit="1" customWidth="1"/>
    <col min="5" max="5" width="8.375" style="18" bestFit="1" customWidth="1"/>
    <col min="6" max="6" width="19.75390625" style="18" customWidth="1"/>
    <col min="7" max="7" width="35.875" style="18" customWidth="1"/>
    <col min="8" max="10" width="5.625" style="18" bestFit="1" customWidth="1"/>
    <col min="11" max="11" width="4.625" style="18" bestFit="1" customWidth="1"/>
    <col min="12" max="12" width="11.375" style="18" customWidth="1"/>
    <col min="13" max="13" width="8.625" style="18" bestFit="1" customWidth="1"/>
    <col min="14" max="14" width="16.25390625" style="18" customWidth="1"/>
  </cols>
  <sheetData>
    <row r="1" spans="1:14" s="1" customFormat="1" ht="15" customHeight="1">
      <c r="A1" s="43"/>
      <c r="B1" s="212" t="s">
        <v>744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1" customFormat="1" ht="108.75" customHeight="1" thickBot="1">
      <c r="A2" s="43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2" customFormat="1" ht="12.75" customHeight="1">
      <c r="A3" s="205" t="s">
        <v>446</v>
      </c>
      <c r="B3" s="216" t="s">
        <v>0</v>
      </c>
      <c r="C3" s="220" t="s">
        <v>447</v>
      </c>
      <c r="D3" s="220" t="s">
        <v>448</v>
      </c>
      <c r="E3" s="207" t="s">
        <v>9</v>
      </c>
      <c r="F3" s="207" t="s">
        <v>7</v>
      </c>
      <c r="G3" s="218" t="s">
        <v>449</v>
      </c>
      <c r="H3" s="207" t="s">
        <v>3</v>
      </c>
      <c r="I3" s="207"/>
      <c r="J3" s="207"/>
      <c r="K3" s="207"/>
      <c r="L3" s="207" t="s">
        <v>453</v>
      </c>
      <c r="M3" s="207" t="s">
        <v>6</v>
      </c>
      <c r="N3" s="209" t="s">
        <v>5</v>
      </c>
    </row>
    <row r="4" spans="1:14" s="2" customFormat="1" ht="21" customHeight="1" thickBot="1">
      <c r="A4" s="206"/>
      <c r="B4" s="217"/>
      <c r="C4" s="208"/>
      <c r="D4" s="208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208"/>
      <c r="M4" s="208"/>
      <c r="N4" s="210"/>
    </row>
    <row r="5" spans="2:13" ht="15.75">
      <c r="B5" s="211" t="s">
        <v>403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4" ht="12.75">
      <c r="A6" s="32">
        <v>1</v>
      </c>
      <c r="B6" s="19" t="s">
        <v>404</v>
      </c>
      <c r="C6" s="19" t="s">
        <v>405</v>
      </c>
      <c r="D6" s="19" t="s">
        <v>463</v>
      </c>
      <c r="E6" s="19" t="str">
        <f>"1,3285"</f>
        <v>1,3285</v>
      </c>
      <c r="F6" s="19" t="s">
        <v>406</v>
      </c>
      <c r="G6" s="19" t="s">
        <v>487</v>
      </c>
      <c r="H6" s="51" t="s">
        <v>325</v>
      </c>
      <c r="I6" s="51" t="s">
        <v>306</v>
      </c>
      <c r="J6" s="56" t="s">
        <v>407</v>
      </c>
      <c r="K6" s="46"/>
      <c r="L6" s="57">
        <v>85</v>
      </c>
      <c r="M6" s="38" t="str">
        <f>"112,9225"</f>
        <v>112,9225</v>
      </c>
      <c r="N6" s="19" t="s">
        <v>479</v>
      </c>
    </row>
    <row r="7" spans="1:14" ht="12.75">
      <c r="A7" s="32">
        <v>2</v>
      </c>
      <c r="B7" s="23" t="s">
        <v>408</v>
      </c>
      <c r="C7" s="23" t="s">
        <v>409</v>
      </c>
      <c r="D7" s="23" t="s">
        <v>464</v>
      </c>
      <c r="E7" s="23" t="str">
        <f>"1,3244"</f>
        <v>1,3244</v>
      </c>
      <c r="F7" s="23" t="s">
        <v>79</v>
      </c>
      <c r="G7" s="23" t="s">
        <v>487</v>
      </c>
      <c r="H7" s="52" t="s">
        <v>325</v>
      </c>
      <c r="I7" s="52" t="s">
        <v>410</v>
      </c>
      <c r="J7" s="52" t="s">
        <v>326</v>
      </c>
      <c r="K7" s="48"/>
      <c r="L7" s="58">
        <v>77.5</v>
      </c>
      <c r="M7" s="47" t="str">
        <f>"102,6410"</f>
        <v>102,6410</v>
      </c>
      <c r="N7" s="23" t="s">
        <v>411</v>
      </c>
    </row>
    <row r="9" spans="2:13" ht="15.75">
      <c r="B9" s="204" t="s">
        <v>136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</row>
    <row r="10" spans="1:14" ht="12.75">
      <c r="A10" s="32">
        <v>1</v>
      </c>
      <c r="B10" s="25" t="s">
        <v>137</v>
      </c>
      <c r="C10" s="25" t="s">
        <v>138</v>
      </c>
      <c r="D10" s="25" t="s">
        <v>465</v>
      </c>
      <c r="E10" s="25" t="str">
        <f>"1,2504"</f>
        <v>1,2504</v>
      </c>
      <c r="F10" s="25" t="s">
        <v>79</v>
      </c>
      <c r="G10" s="25" t="s">
        <v>450</v>
      </c>
      <c r="H10" s="36" t="s">
        <v>326</v>
      </c>
      <c r="I10" s="36" t="s">
        <v>309</v>
      </c>
      <c r="J10" s="37" t="s">
        <v>316</v>
      </c>
      <c r="K10" s="34"/>
      <c r="L10" s="59">
        <v>82.5</v>
      </c>
      <c r="M10" s="33" t="str">
        <f>"103,1580"</f>
        <v>103,1580</v>
      </c>
      <c r="N10" s="25" t="s">
        <v>480</v>
      </c>
    </row>
    <row r="12" spans="2:13" ht="15.75">
      <c r="B12" s="204" t="s">
        <v>156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</row>
    <row r="13" spans="1:14" ht="12.75">
      <c r="A13" s="32">
        <v>1</v>
      </c>
      <c r="B13" s="19" t="s">
        <v>412</v>
      </c>
      <c r="C13" s="19" t="s">
        <v>413</v>
      </c>
      <c r="D13" s="19" t="s">
        <v>466</v>
      </c>
      <c r="E13" s="19" t="str">
        <f>"1,2248"</f>
        <v>1,2248</v>
      </c>
      <c r="F13" s="19" t="s">
        <v>19</v>
      </c>
      <c r="G13" s="19" t="s">
        <v>487</v>
      </c>
      <c r="H13" s="51" t="s">
        <v>225</v>
      </c>
      <c r="I13" s="51" t="s">
        <v>34</v>
      </c>
      <c r="J13" s="51" t="s">
        <v>26</v>
      </c>
      <c r="K13" s="46"/>
      <c r="L13" s="57">
        <v>110</v>
      </c>
      <c r="M13" s="38" t="str">
        <f>"134,7280"</f>
        <v>134,7280</v>
      </c>
      <c r="N13" s="19" t="s">
        <v>414</v>
      </c>
    </row>
    <row r="14" spans="1:14" ht="12.75">
      <c r="A14" s="32">
        <v>1</v>
      </c>
      <c r="B14" s="23" t="s">
        <v>415</v>
      </c>
      <c r="C14" s="23" t="s">
        <v>416</v>
      </c>
      <c r="D14" s="23" t="s">
        <v>467</v>
      </c>
      <c r="E14" s="23" t="str">
        <f>"1,1900"</f>
        <v>1,1900</v>
      </c>
      <c r="F14" s="23" t="s">
        <v>380</v>
      </c>
      <c r="G14" s="23" t="s">
        <v>487</v>
      </c>
      <c r="H14" s="52" t="s">
        <v>27</v>
      </c>
      <c r="I14" s="52" t="s">
        <v>87</v>
      </c>
      <c r="J14" s="52" t="s">
        <v>61</v>
      </c>
      <c r="K14" s="48"/>
      <c r="L14" s="58">
        <v>140</v>
      </c>
      <c r="M14" s="47" t="str">
        <f>"166,6000"</f>
        <v>166,6000</v>
      </c>
      <c r="N14" s="23" t="s">
        <v>481</v>
      </c>
    </row>
    <row r="16" spans="2:13" ht="15.75">
      <c r="B16" s="204" t="s">
        <v>159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</row>
    <row r="17" spans="1:14" ht="12.75">
      <c r="A17" s="32">
        <v>1</v>
      </c>
      <c r="B17" s="25" t="s">
        <v>417</v>
      </c>
      <c r="C17" s="25" t="s">
        <v>418</v>
      </c>
      <c r="D17" s="25" t="s">
        <v>324</v>
      </c>
      <c r="E17" s="25" t="str">
        <f>"1,1149"</f>
        <v>1,1149</v>
      </c>
      <c r="F17" s="25" t="s">
        <v>79</v>
      </c>
      <c r="G17" s="25" t="s">
        <v>450</v>
      </c>
      <c r="H17" s="36" t="s">
        <v>14</v>
      </c>
      <c r="I17" s="36" t="s">
        <v>309</v>
      </c>
      <c r="J17" s="36" t="s">
        <v>15</v>
      </c>
      <c r="K17" s="34"/>
      <c r="L17" s="59">
        <v>87.5</v>
      </c>
      <c r="M17" s="33" t="str">
        <f>"97,5537"</f>
        <v>97,5537</v>
      </c>
      <c r="N17" s="25" t="s">
        <v>480</v>
      </c>
    </row>
    <row r="19" spans="2:13" ht="15.75">
      <c r="B19" s="204" t="s">
        <v>10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</row>
    <row r="20" spans="1:14" ht="12.75">
      <c r="A20" s="32">
        <v>1</v>
      </c>
      <c r="B20" s="19" t="s">
        <v>419</v>
      </c>
      <c r="C20" s="19" t="s">
        <v>420</v>
      </c>
      <c r="D20" s="19" t="s">
        <v>468</v>
      </c>
      <c r="E20" s="19" t="str">
        <f>"1,0576"</f>
        <v>1,0576</v>
      </c>
      <c r="F20" s="19" t="s">
        <v>79</v>
      </c>
      <c r="G20" s="19" t="s">
        <v>487</v>
      </c>
      <c r="H20" s="51" t="s">
        <v>316</v>
      </c>
      <c r="I20" s="51" t="s">
        <v>225</v>
      </c>
      <c r="J20" s="51" t="s">
        <v>33</v>
      </c>
      <c r="K20" s="46"/>
      <c r="L20" s="57">
        <v>100</v>
      </c>
      <c r="M20" s="38" t="str">
        <f>"105,7600"</f>
        <v>105,7600</v>
      </c>
      <c r="N20" s="19" t="s">
        <v>482</v>
      </c>
    </row>
    <row r="21" spans="1:14" ht="12.75">
      <c r="A21" s="32">
        <v>1</v>
      </c>
      <c r="B21" s="23" t="s">
        <v>421</v>
      </c>
      <c r="C21" s="23" t="s">
        <v>422</v>
      </c>
      <c r="D21" s="23" t="s">
        <v>469</v>
      </c>
      <c r="E21" s="23" t="str">
        <f>"1,0625"</f>
        <v>1,0625</v>
      </c>
      <c r="F21" s="23" t="s">
        <v>19</v>
      </c>
      <c r="G21" s="23" t="s">
        <v>487</v>
      </c>
      <c r="H21" s="52" t="s">
        <v>325</v>
      </c>
      <c r="I21" s="52" t="s">
        <v>14</v>
      </c>
      <c r="J21" s="52" t="s">
        <v>316</v>
      </c>
      <c r="K21" s="48"/>
      <c r="L21" s="58">
        <v>90</v>
      </c>
      <c r="M21" s="47" t="str">
        <f>"129,0938"</f>
        <v>129,0938</v>
      </c>
      <c r="N21" s="23" t="s">
        <v>483</v>
      </c>
    </row>
    <row r="23" spans="2:13" ht="15.75">
      <c r="B23" s="204" t="s">
        <v>30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</row>
    <row r="24" spans="1:14" ht="12.75">
      <c r="A24" s="32">
        <v>1</v>
      </c>
      <c r="B24" s="25" t="s">
        <v>314</v>
      </c>
      <c r="C24" s="25" t="s">
        <v>315</v>
      </c>
      <c r="D24" s="25" t="s">
        <v>470</v>
      </c>
      <c r="E24" s="25" t="str">
        <f>"0,9587"</f>
        <v>0,9587</v>
      </c>
      <c r="F24" s="25" t="s">
        <v>79</v>
      </c>
      <c r="G24" s="25" t="s">
        <v>450</v>
      </c>
      <c r="H24" s="36" t="s">
        <v>27</v>
      </c>
      <c r="I24" s="36" t="s">
        <v>111</v>
      </c>
      <c r="J24" s="36" t="s">
        <v>87</v>
      </c>
      <c r="K24" s="34"/>
      <c r="L24" s="59">
        <v>130</v>
      </c>
      <c r="M24" s="33" t="str">
        <f>"124,6310"</f>
        <v>124,6310</v>
      </c>
      <c r="N24" s="25" t="s">
        <v>482</v>
      </c>
    </row>
    <row r="26" spans="2:13" ht="15.75">
      <c r="B26" s="204" t="s">
        <v>10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</row>
    <row r="27" spans="1:14" ht="12.75">
      <c r="A27" s="32">
        <v>1</v>
      </c>
      <c r="B27" s="25" t="s">
        <v>423</v>
      </c>
      <c r="C27" s="25" t="s">
        <v>424</v>
      </c>
      <c r="D27" s="25" t="s">
        <v>457</v>
      </c>
      <c r="E27" s="25" t="str">
        <f>"0,7719"</f>
        <v>0,7719</v>
      </c>
      <c r="F27" s="25" t="s">
        <v>323</v>
      </c>
      <c r="G27" s="25" t="s">
        <v>173</v>
      </c>
      <c r="H27" s="36" t="s">
        <v>72</v>
      </c>
      <c r="I27" s="36" t="s">
        <v>73</v>
      </c>
      <c r="J27" s="37" t="s">
        <v>337</v>
      </c>
      <c r="K27" s="34"/>
      <c r="L27" s="59">
        <v>200</v>
      </c>
      <c r="M27" s="33" t="str">
        <f>"154,3800"</f>
        <v>154,3800</v>
      </c>
      <c r="N27" s="25" t="s">
        <v>64</v>
      </c>
    </row>
    <row r="29" spans="2:13" ht="15.75">
      <c r="B29" s="204" t="s">
        <v>35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</row>
    <row r="30" spans="1:14" ht="12.75">
      <c r="A30" s="32">
        <v>1</v>
      </c>
      <c r="B30" s="19" t="s">
        <v>425</v>
      </c>
      <c r="C30" s="19" t="s">
        <v>426</v>
      </c>
      <c r="D30" s="19" t="s">
        <v>471</v>
      </c>
      <c r="E30" s="19" t="str">
        <f>"0,6734"</f>
        <v>0,6734</v>
      </c>
      <c r="F30" s="19" t="s">
        <v>79</v>
      </c>
      <c r="G30" s="19" t="s">
        <v>487</v>
      </c>
      <c r="H30" s="51" t="s">
        <v>93</v>
      </c>
      <c r="I30" s="51" t="s">
        <v>73</v>
      </c>
      <c r="J30" s="51" t="s">
        <v>284</v>
      </c>
      <c r="K30" s="46"/>
      <c r="L30" s="57">
        <v>210</v>
      </c>
      <c r="M30" s="38" t="str">
        <f>"141,4140"</f>
        <v>141,4140</v>
      </c>
      <c r="N30" s="19" t="s">
        <v>482</v>
      </c>
    </row>
    <row r="31" spans="1:14" ht="12.75">
      <c r="A31" s="32">
        <v>2</v>
      </c>
      <c r="B31" s="23" t="s">
        <v>374</v>
      </c>
      <c r="C31" s="23" t="s">
        <v>375</v>
      </c>
      <c r="D31" s="23" t="s">
        <v>472</v>
      </c>
      <c r="E31" s="23" t="str">
        <f>"0,6871"</f>
        <v>0,6871</v>
      </c>
      <c r="F31" s="23" t="s">
        <v>110</v>
      </c>
      <c r="G31" s="23" t="s">
        <v>459</v>
      </c>
      <c r="H31" s="52" t="s">
        <v>73</v>
      </c>
      <c r="I31" s="55" t="s">
        <v>285</v>
      </c>
      <c r="J31" s="55" t="s">
        <v>285</v>
      </c>
      <c r="K31" s="48"/>
      <c r="L31" s="58">
        <v>200</v>
      </c>
      <c r="M31" s="47" t="str">
        <f>"137,4200"</f>
        <v>137,4200</v>
      </c>
      <c r="N31" s="23" t="s">
        <v>484</v>
      </c>
    </row>
    <row r="33" spans="2:13" ht="15.75">
      <c r="B33" s="204" t="s">
        <v>16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</row>
    <row r="34" spans="1:14" ht="12.75">
      <c r="A34" s="32">
        <v>1</v>
      </c>
      <c r="B34" s="19" t="s">
        <v>199</v>
      </c>
      <c r="C34" s="19" t="s">
        <v>200</v>
      </c>
      <c r="D34" s="19" t="s">
        <v>454</v>
      </c>
      <c r="E34" s="19" t="str">
        <f>"0,6475"</f>
        <v>0,6475</v>
      </c>
      <c r="F34" s="19" t="s">
        <v>19</v>
      </c>
      <c r="G34" s="19" t="s">
        <v>201</v>
      </c>
      <c r="H34" s="51" t="s">
        <v>93</v>
      </c>
      <c r="I34" s="51" t="s">
        <v>337</v>
      </c>
      <c r="J34" s="46" t="s">
        <v>116</v>
      </c>
      <c r="K34" s="46"/>
      <c r="L34" s="57">
        <v>205</v>
      </c>
      <c r="M34" s="38" t="str">
        <f>"132,7375"</f>
        <v>132,7375</v>
      </c>
      <c r="N34" s="19" t="s">
        <v>481</v>
      </c>
    </row>
    <row r="35" spans="1:14" ht="12.75">
      <c r="A35" s="32">
        <v>1</v>
      </c>
      <c r="B35" s="21" t="s">
        <v>427</v>
      </c>
      <c r="C35" s="21" t="s">
        <v>428</v>
      </c>
      <c r="D35" s="21" t="s">
        <v>473</v>
      </c>
      <c r="E35" s="21" t="str">
        <f>"0,6417"</f>
        <v>0,6417</v>
      </c>
      <c r="F35" s="21" t="s">
        <v>373</v>
      </c>
      <c r="G35" s="21" t="s">
        <v>341</v>
      </c>
      <c r="H35" s="53" t="s">
        <v>429</v>
      </c>
      <c r="I35" s="53" t="s">
        <v>430</v>
      </c>
      <c r="J35" s="53" t="s">
        <v>431</v>
      </c>
      <c r="K35" s="50"/>
      <c r="L35" s="60">
        <v>335</v>
      </c>
      <c r="M35" s="49" t="str">
        <f>"214,9695"</f>
        <v>214,9695</v>
      </c>
      <c r="N35" s="21" t="s">
        <v>64</v>
      </c>
    </row>
    <row r="36" spans="1:14" ht="12.75">
      <c r="A36" s="32">
        <v>2</v>
      </c>
      <c r="B36" s="21" t="s">
        <v>432</v>
      </c>
      <c r="C36" s="21" t="s">
        <v>433</v>
      </c>
      <c r="D36" s="21" t="s">
        <v>474</v>
      </c>
      <c r="E36" s="21" t="str">
        <f>"0,6499"</f>
        <v>0,6499</v>
      </c>
      <c r="F36" s="21" t="s">
        <v>79</v>
      </c>
      <c r="G36" s="21" t="s">
        <v>487</v>
      </c>
      <c r="H36" s="53" t="s">
        <v>54</v>
      </c>
      <c r="I36" s="54" t="s">
        <v>99</v>
      </c>
      <c r="J36" s="53" t="s">
        <v>99</v>
      </c>
      <c r="K36" s="50"/>
      <c r="L36" s="60">
        <v>180</v>
      </c>
      <c r="M36" s="49" t="str">
        <f>"116,9820"</f>
        <v>116,9820</v>
      </c>
      <c r="N36" s="21" t="s">
        <v>482</v>
      </c>
    </row>
    <row r="37" spans="1:14" ht="12.75">
      <c r="A37" s="32">
        <v>3</v>
      </c>
      <c r="B37" s="23" t="s">
        <v>434</v>
      </c>
      <c r="C37" s="23" t="s">
        <v>435</v>
      </c>
      <c r="D37" s="23" t="s">
        <v>475</v>
      </c>
      <c r="E37" s="23" t="str">
        <f>"0,6395"</f>
        <v>0,6395</v>
      </c>
      <c r="F37" s="23" t="s">
        <v>79</v>
      </c>
      <c r="G37" s="23" t="s">
        <v>487</v>
      </c>
      <c r="H37" s="52" t="s">
        <v>54</v>
      </c>
      <c r="I37" s="55" t="s">
        <v>93</v>
      </c>
      <c r="J37" s="55" t="s">
        <v>93</v>
      </c>
      <c r="K37" s="48"/>
      <c r="L37" s="58">
        <v>170</v>
      </c>
      <c r="M37" s="47" t="str">
        <f>"108,7150"</f>
        <v>108,7150</v>
      </c>
      <c r="N37" s="23" t="s">
        <v>482</v>
      </c>
    </row>
    <row r="39" spans="2:13" ht="15.75">
      <c r="B39" s="204" t="s">
        <v>65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</row>
    <row r="40" spans="1:14" ht="12.75">
      <c r="A40" s="32">
        <v>1</v>
      </c>
      <c r="B40" s="19" t="s">
        <v>436</v>
      </c>
      <c r="C40" s="19" t="s">
        <v>437</v>
      </c>
      <c r="D40" s="19" t="s">
        <v>476</v>
      </c>
      <c r="E40" s="19" t="str">
        <f>"0,6342"</f>
        <v>0,6342</v>
      </c>
      <c r="F40" s="19" t="s">
        <v>19</v>
      </c>
      <c r="G40" s="19" t="s">
        <v>166</v>
      </c>
      <c r="H40" s="51" t="s">
        <v>332</v>
      </c>
      <c r="I40" s="51" t="s">
        <v>117</v>
      </c>
      <c r="J40" s="51" t="s">
        <v>255</v>
      </c>
      <c r="K40" s="46"/>
      <c r="L40" s="57">
        <v>230</v>
      </c>
      <c r="M40" s="38" t="str">
        <f>"145,8660"</f>
        <v>145,8660</v>
      </c>
      <c r="N40" s="19" t="s">
        <v>485</v>
      </c>
    </row>
    <row r="41" spans="1:14" ht="12.75">
      <c r="A41" s="32">
        <v>2</v>
      </c>
      <c r="B41" s="21" t="s">
        <v>438</v>
      </c>
      <c r="C41" s="21" t="s">
        <v>439</v>
      </c>
      <c r="D41" s="21" t="s">
        <v>477</v>
      </c>
      <c r="E41" s="21" t="str">
        <f>"0,6131"</f>
        <v>0,6131</v>
      </c>
      <c r="F41" s="21" t="s">
        <v>19</v>
      </c>
      <c r="G41" s="21" t="s">
        <v>487</v>
      </c>
      <c r="H41" s="53" t="s">
        <v>93</v>
      </c>
      <c r="I41" s="53" t="s">
        <v>73</v>
      </c>
      <c r="J41" s="53" t="s">
        <v>284</v>
      </c>
      <c r="K41" s="50"/>
      <c r="L41" s="60">
        <v>210</v>
      </c>
      <c r="M41" s="49" t="str">
        <f>"128,7510"</f>
        <v>128,7510</v>
      </c>
      <c r="N41" s="21" t="s">
        <v>482</v>
      </c>
    </row>
    <row r="42" spans="1:14" ht="12.75">
      <c r="A42" s="32">
        <v>3</v>
      </c>
      <c r="B42" s="21" t="s">
        <v>440</v>
      </c>
      <c r="C42" s="21" t="s">
        <v>441</v>
      </c>
      <c r="D42" s="21" t="s">
        <v>478</v>
      </c>
      <c r="E42" s="21" t="str">
        <f>"0,6111"</f>
        <v>0,6111</v>
      </c>
      <c r="F42" s="21" t="s">
        <v>735</v>
      </c>
      <c r="G42" s="21" t="s">
        <v>487</v>
      </c>
      <c r="H42" s="53" t="s">
        <v>21</v>
      </c>
      <c r="I42" s="53" t="s">
        <v>22</v>
      </c>
      <c r="J42" s="54" t="s">
        <v>51</v>
      </c>
      <c r="K42" s="50"/>
      <c r="L42" s="60">
        <v>162.5</v>
      </c>
      <c r="M42" s="49" t="str">
        <f>"99,3038"</f>
        <v>99,3038</v>
      </c>
      <c r="N42" s="21" t="s">
        <v>479</v>
      </c>
    </row>
    <row r="43" spans="1:14" ht="12.75">
      <c r="A43" s="32">
        <v>4</v>
      </c>
      <c r="B43" s="23" t="s">
        <v>353</v>
      </c>
      <c r="C43" s="23" t="s">
        <v>354</v>
      </c>
      <c r="D43" s="23" t="s">
        <v>407</v>
      </c>
      <c r="E43" s="23" t="str">
        <f>"0,6150"</f>
        <v>0,6150</v>
      </c>
      <c r="F43" s="23" t="s">
        <v>19</v>
      </c>
      <c r="G43" s="23" t="s">
        <v>487</v>
      </c>
      <c r="H43" s="52" t="s">
        <v>61</v>
      </c>
      <c r="I43" s="52" t="s">
        <v>20</v>
      </c>
      <c r="J43" s="55" t="s">
        <v>105</v>
      </c>
      <c r="K43" s="48"/>
      <c r="L43" s="58">
        <v>150</v>
      </c>
      <c r="M43" s="47" t="str">
        <f>"92,2500"</f>
        <v>92,2500</v>
      </c>
      <c r="N43" s="23" t="s">
        <v>486</v>
      </c>
    </row>
    <row r="45" spans="2:3" ht="18">
      <c r="B45" s="27" t="s">
        <v>124</v>
      </c>
      <c r="C45" s="27"/>
    </row>
    <row r="46" spans="2:3" ht="13.5">
      <c r="B46" s="29"/>
      <c r="C46" s="30"/>
    </row>
    <row r="47" spans="2:6" ht="13.5">
      <c r="B47" s="31" t="s">
        <v>126</v>
      </c>
      <c r="C47" s="31" t="s">
        <v>127</v>
      </c>
      <c r="D47" s="31" t="s">
        <v>128</v>
      </c>
      <c r="E47" s="31" t="s">
        <v>129</v>
      </c>
      <c r="F47" s="31" t="s">
        <v>130</v>
      </c>
    </row>
    <row r="48" spans="1:6" ht="12.75">
      <c r="A48" s="32">
        <v>1</v>
      </c>
      <c r="B48" s="28" t="s">
        <v>427</v>
      </c>
      <c r="C48" s="44" t="s">
        <v>125</v>
      </c>
      <c r="D48" s="35" t="s">
        <v>316</v>
      </c>
      <c r="E48" s="35" t="s">
        <v>431</v>
      </c>
      <c r="F48" s="35" t="s">
        <v>442</v>
      </c>
    </row>
    <row r="49" spans="1:6" ht="12.75">
      <c r="A49" s="32">
        <v>2</v>
      </c>
      <c r="B49" s="28" t="s">
        <v>423</v>
      </c>
      <c r="C49" s="44" t="s">
        <v>125</v>
      </c>
      <c r="D49" s="35" t="s">
        <v>488</v>
      </c>
      <c r="E49" s="35" t="s">
        <v>73</v>
      </c>
      <c r="F49" s="35" t="s">
        <v>443</v>
      </c>
    </row>
    <row r="50" spans="1:6" ht="12.75">
      <c r="A50" s="32">
        <v>3</v>
      </c>
      <c r="B50" s="28" t="s">
        <v>436</v>
      </c>
      <c r="C50" s="44" t="s">
        <v>125</v>
      </c>
      <c r="D50" s="35" t="s">
        <v>33</v>
      </c>
      <c r="E50" s="35" t="s">
        <v>255</v>
      </c>
      <c r="F50" s="35" t="s">
        <v>444</v>
      </c>
    </row>
  </sheetData>
  <sheetProtection/>
  <mergeCells count="22">
    <mergeCell ref="A3:A4"/>
    <mergeCell ref="B9:M9"/>
    <mergeCell ref="F3:F4"/>
    <mergeCell ref="G3:G4"/>
    <mergeCell ref="H3:K3"/>
    <mergeCell ref="L3:L4"/>
    <mergeCell ref="N3:N4"/>
    <mergeCell ref="M3:M4"/>
    <mergeCell ref="B5:M5"/>
    <mergeCell ref="B1:N2"/>
    <mergeCell ref="B3:B4"/>
    <mergeCell ref="C3:C4"/>
    <mergeCell ref="D3:D4"/>
    <mergeCell ref="E3:E4"/>
    <mergeCell ref="B12:M12"/>
    <mergeCell ref="B39:M39"/>
    <mergeCell ref="B16:M16"/>
    <mergeCell ref="B19:M19"/>
    <mergeCell ref="B23:M23"/>
    <mergeCell ref="B26:M26"/>
    <mergeCell ref="B29:M29"/>
    <mergeCell ref="B33:M33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C38" sqref="C38"/>
    </sheetView>
  </sheetViews>
  <sheetFormatPr defaultColWidth="8.75390625" defaultRowHeight="12.75"/>
  <cols>
    <col min="1" max="1" width="7.625" style="32" customWidth="1"/>
    <col min="2" max="2" width="20.125" style="18" customWidth="1"/>
    <col min="3" max="3" width="26.875" style="18" bestFit="1" customWidth="1"/>
    <col min="4" max="4" width="10.625" style="18" bestFit="1" customWidth="1"/>
    <col min="5" max="5" width="8.375" style="18" bestFit="1" customWidth="1"/>
    <col min="6" max="6" width="15.875" style="18" customWidth="1"/>
    <col min="7" max="7" width="35.75390625" style="18" customWidth="1"/>
    <col min="8" max="10" width="5.625" style="18" bestFit="1" customWidth="1"/>
    <col min="11" max="11" width="4.625" style="18" bestFit="1" customWidth="1"/>
    <col min="12" max="12" width="11.125" style="18" customWidth="1"/>
    <col min="13" max="13" width="8.625" style="18" bestFit="1" customWidth="1"/>
    <col min="14" max="14" width="15.625" style="18" customWidth="1"/>
  </cols>
  <sheetData>
    <row r="1" spans="1:14" s="1" customFormat="1" ht="15" customHeight="1">
      <c r="A1" s="43"/>
      <c r="B1" s="212" t="s">
        <v>743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1" customFormat="1" ht="81.75" customHeight="1" thickBot="1">
      <c r="A2" s="43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2" customFormat="1" ht="12.75" customHeight="1">
      <c r="A3" s="205" t="s">
        <v>446</v>
      </c>
      <c r="B3" s="216" t="s">
        <v>0</v>
      </c>
      <c r="C3" s="220" t="s">
        <v>447</v>
      </c>
      <c r="D3" s="220" t="s">
        <v>448</v>
      </c>
      <c r="E3" s="207" t="s">
        <v>9</v>
      </c>
      <c r="F3" s="207" t="s">
        <v>7</v>
      </c>
      <c r="G3" s="218" t="s">
        <v>449</v>
      </c>
      <c r="H3" s="207" t="s">
        <v>3</v>
      </c>
      <c r="I3" s="207"/>
      <c r="J3" s="207"/>
      <c r="K3" s="207"/>
      <c r="L3" s="207" t="s">
        <v>453</v>
      </c>
      <c r="M3" s="207" t="s">
        <v>6</v>
      </c>
      <c r="N3" s="209" t="s">
        <v>5</v>
      </c>
    </row>
    <row r="4" spans="1:14" s="2" customFormat="1" ht="21" customHeight="1" thickBot="1">
      <c r="A4" s="206"/>
      <c r="B4" s="217"/>
      <c r="C4" s="208"/>
      <c r="D4" s="208"/>
      <c r="E4" s="208"/>
      <c r="F4" s="208"/>
      <c r="G4" s="219"/>
      <c r="H4" s="3">
        <v>1</v>
      </c>
      <c r="I4" s="3">
        <v>2</v>
      </c>
      <c r="J4" s="3">
        <v>3</v>
      </c>
      <c r="K4" s="3" t="s">
        <v>8</v>
      </c>
      <c r="L4" s="208"/>
      <c r="M4" s="208"/>
      <c r="N4" s="210"/>
    </row>
    <row r="5" spans="2:13" ht="15.75">
      <c r="B5" s="211" t="s">
        <v>35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4" ht="12.75">
      <c r="A6" s="32">
        <v>1</v>
      </c>
      <c r="B6" s="19" t="s">
        <v>359</v>
      </c>
      <c r="C6" s="19" t="s">
        <v>360</v>
      </c>
      <c r="D6" s="19" t="s">
        <v>451</v>
      </c>
      <c r="E6" s="19" t="str">
        <f>"0,6759"</f>
        <v>0,6759</v>
      </c>
      <c r="F6" s="19" t="s">
        <v>19</v>
      </c>
      <c r="G6" s="19" t="s">
        <v>487</v>
      </c>
      <c r="H6" s="66" t="s">
        <v>73</v>
      </c>
      <c r="I6" s="61"/>
      <c r="J6" s="61"/>
      <c r="K6" s="61"/>
      <c r="L6" s="57">
        <v>200</v>
      </c>
      <c r="M6" s="57" t="str">
        <f>"135,1800"</f>
        <v>135,1800</v>
      </c>
      <c r="N6" s="19" t="s">
        <v>452</v>
      </c>
    </row>
    <row r="7" spans="1:14" ht="12.75">
      <c r="A7" s="32">
        <v>1</v>
      </c>
      <c r="B7" s="23" t="s">
        <v>376</v>
      </c>
      <c r="C7" s="23" t="s">
        <v>377</v>
      </c>
      <c r="D7" s="23" t="s">
        <v>494</v>
      </c>
      <c r="E7" s="23" t="str">
        <f>"0,6774"</f>
        <v>0,6774</v>
      </c>
      <c r="F7" s="23" t="s">
        <v>13</v>
      </c>
      <c r="G7" s="23" t="s">
        <v>487</v>
      </c>
      <c r="H7" s="67" t="s">
        <v>85</v>
      </c>
      <c r="I7" s="67" t="s">
        <v>87</v>
      </c>
      <c r="J7" s="62"/>
      <c r="K7" s="62"/>
      <c r="L7" s="58">
        <v>130</v>
      </c>
      <c r="M7" s="58" t="str">
        <f>"114,2164"</f>
        <v>114,2164</v>
      </c>
      <c r="N7" s="23" t="s">
        <v>490</v>
      </c>
    </row>
    <row r="9" spans="2:13" ht="15.75">
      <c r="B9" s="204" t="s">
        <v>16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</row>
    <row r="10" spans="1:14" ht="12.75">
      <c r="A10" s="32">
        <v>1</v>
      </c>
      <c r="B10" s="19" t="s">
        <v>378</v>
      </c>
      <c r="C10" s="19" t="s">
        <v>379</v>
      </c>
      <c r="D10" s="19" t="s">
        <v>495</v>
      </c>
      <c r="E10" s="19" t="str">
        <f>"0,6467"</f>
        <v>0,6467</v>
      </c>
      <c r="F10" s="19" t="s">
        <v>380</v>
      </c>
      <c r="G10" s="19" t="s">
        <v>487</v>
      </c>
      <c r="H10" s="66" t="s">
        <v>256</v>
      </c>
      <c r="I10" s="66" t="s">
        <v>357</v>
      </c>
      <c r="J10" s="70" t="s">
        <v>381</v>
      </c>
      <c r="K10" s="61"/>
      <c r="L10" s="57">
        <v>250</v>
      </c>
      <c r="M10" s="57" t="str">
        <f>"161,6750"</f>
        <v>161,6750</v>
      </c>
      <c r="N10" s="19" t="s">
        <v>64</v>
      </c>
    </row>
    <row r="11" spans="1:14" ht="12.75">
      <c r="A11" s="32">
        <v>2</v>
      </c>
      <c r="B11" s="21" t="s">
        <v>382</v>
      </c>
      <c r="C11" s="21" t="s">
        <v>383</v>
      </c>
      <c r="D11" s="21" t="s">
        <v>496</v>
      </c>
      <c r="E11" s="21" t="str">
        <f>"0,6398"</f>
        <v>0,6398</v>
      </c>
      <c r="F11" s="21" t="s">
        <v>384</v>
      </c>
      <c r="G11" s="21" t="s">
        <v>487</v>
      </c>
      <c r="H11" s="68" t="s">
        <v>284</v>
      </c>
      <c r="I11" s="68" t="s">
        <v>285</v>
      </c>
      <c r="J11" s="71" t="s">
        <v>255</v>
      </c>
      <c r="K11" s="63"/>
      <c r="L11" s="60">
        <v>220</v>
      </c>
      <c r="M11" s="60" t="str">
        <f>"140,7560"</f>
        <v>140,7560</v>
      </c>
      <c r="N11" s="21" t="s">
        <v>491</v>
      </c>
    </row>
    <row r="12" spans="1:14" ht="12.75">
      <c r="A12" s="32">
        <v>3</v>
      </c>
      <c r="B12" s="23" t="s">
        <v>385</v>
      </c>
      <c r="C12" s="23" t="s">
        <v>386</v>
      </c>
      <c r="D12" s="23" t="s">
        <v>497</v>
      </c>
      <c r="E12" s="23" t="str">
        <f>"0,6421"</f>
        <v>0,6421</v>
      </c>
      <c r="F12" s="23" t="s">
        <v>19</v>
      </c>
      <c r="G12" s="23" t="s">
        <v>487</v>
      </c>
      <c r="H12" s="72" t="s">
        <v>116</v>
      </c>
      <c r="I12" s="72" t="s">
        <v>116</v>
      </c>
      <c r="J12" s="72" t="s">
        <v>116</v>
      </c>
      <c r="K12" s="62"/>
      <c r="L12" s="65">
        <v>0</v>
      </c>
      <c r="M12" s="65">
        <v>0</v>
      </c>
      <c r="N12" s="23" t="s">
        <v>64</v>
      </c>
    </row>
    <row r="14" spans="2:13" ht="15.75">
      <c r="B14" s="204" t="s">
        <v>65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</row>
    <row r="15" spans="1:14" ht="12.75">
      <c r="A15" s="32">
        <v>1</v>
      </c>
      <c r="B15" s="19" t="s">
        <v>289</v>
      </c>
      <c r="C15" s="19" t="s">
        <v>290</v>
      </c>
      <c r="D15" s="19" t="s">
        <v>498</v>
      </c>
      <c r="E15" s="19" t="str">
        <f>"0,6093"</f>
        <v>0,6093</v>
      </c>
      <c r="F15" s="19" t="s">
        <v>70</v>
      </c>
      <c r="G15" s="19" t="s">
        <v>487</v>
      </c>
      <c r="H15" s="66" t="s">
        <v>387</v>
      </c>
      <c r="I15" s="66" t="s">
        <v>388</v>
      </c>
      <c r="J15" s="66" t="s">
        <v>381</v>
      </c>
      <c r="K15" s="61"/>
      <c r="L15" s="57">
        <v>265</v>
      </c>
      <c r="M15" s="57" t="str">
        <f>"161,4645"</f>
        <v>161,4645</v>
      </c>
      <c r="N15" s="19" t="s">
        <v>490</v>
      </c>
    </row>
    <row r="16" spans="1:14" ht="12.75">
      <c r="A16" s="32">
        <v>2</v>
      </c>
      <c r="B16" s="21" t="s">
        <v>389</v>
      </c>
      <c r="C16" s="21" t="s">
        <v>390</v>
      </c>
      <c r="D16" s="21" t="s">
        <v>499</v>
      </c>
      <c r="E16" s="21" t="str">
        <f>"0,6139"</f>
        <v>0,6139</v>
      </c>
      <c r="F16" s="21" t="s">
        <v>19</v>
      </c>
      <c r="G16" s="21" t="s">
        <v>179</v>
      </c>
      <c r="H16" s="68" t="s">
        <v>357</v>
      </c>
      <c r="I16" s="71" t="s">
        <v>388</v>
      </c>
      <c r="J16" s="71" t="s">
        <v>388</v>
      </c>
      <c r="K16" s="63"/>
      <c r="L16" s="60">
        <v>250</v>
      </c>
      <c r="M16" s="60" t="str">
        <f>"153,4750"</f>
        <v>153,4750</v>
      </c>
      <c r="N16" s="21" t="s">
        <v>492</v>
      </c>
    </row>
    <row r="17" spans="1:14" ht="12.75">
      <c r="A17" s="32">
        <v>1</v>
      </c>
      <c r="B17" s="23" t="s">
        <v>391</v>
      </c>
      <c r="C17" s="23" t="s">
        <v>392</v>
      </c>
      <c r="D17" s="23" t="s">
        <v>455</v>
      </c>
      <c r="E17" s="23" t="str">
        <f>"0,6276"</f>
        <v>0,6276</v>
      </c>
      <c r="F17" s="23" t="s">
        <v>19</v>
      </c>
      <c r="G17" s="23" t="s">
        <v>487</v>
      </c>
      <c r="H17" s="67" t="s">
        <v>73</v>
      </c>
      <c r="I17" s="67" t="s">
        <v>284</v>
      </c>
      <c r="J17" s="67" t="s">
        <v>285</v>
      </c>
      <c r="K17" s="62"/>
      <c r="L17" s="58">
        <v>220</v>
      </c>
      <c r="M17" s="58" t="str">
        <f>"169,5524"</f>
        <v>169,5524</v>
      </c>
      <c r="N17" s="23" t="s">
        <v>64</v>
      </c>
    </row>
    <row r="19" spans="2:13" ht="15.75">
      <c r="B19" s="204" t="s">
        <v>89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</row>
    <row r="20" spans="1:14" ht="12.75">
      <c r="A20" s="32">
        <v>1</v>
      </c>
      <c r="B20" s="25" t="s">
        <v>393</v>
      </c>
      <c r="C20" s="25" t="s">
        <v>394</v>
      </c>
      <c r="D20" s="25" t="s">
        <v>500</v>
      </c>
      <c r="E20" s="25" t="str">
        <f>"0,5923"</f>
        <v>0,5923</v>
      </c>
      <c r="F20" s="25" t="s">
        <v>19</v>
      </c>
      <c r="G20" s="25" t="s">
        <v>395</v>
      </c>
      <c r="H20" s="69" t="s">
        <v>288</v>
      </c>
      <c r="I20" s="73" t="s">
        <v>263</v>
      </c>
      <c r="J20" s="64"/>
      <c r="K20" s="64"/>
      <c r="L20" s="59">
        <v>300</v>
      </c>
      <c r="M20" s="59" t="str">
        <f>"177,6900"</f>
        <v>177,6900</v>
      </c>
      <c r="N20" s="25" t="s">
        <v>64</v>
      </c>
    </row>
    <row r="22" spans="2:13" ht="15.75">
      <c r="B22" s="204" t="s">
        <v>112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</row>
    <row r="23" spans="1:14" ht="12.75">
      <c r="A23" s="32">
        <v>1</v>
      </c>
      <c r="B23" s="25" t="s">
        <v>396</v>
      </c>
      <c r="C23" s="25" t="s">
        <v>397</v>
      </c>
      <c r="D23" s="25" t="s">
        <v>111</v>
      </c>
      <c r="E23" s="25" t="str">
        <f>"0,5698"</f>
        <v>0,5698</v>
      </c>
      <c r="F23" s="25" t="s">
        <v>13</v>
      </c>
      <c r="G23" s="25" t="s">
        <v>450</v>
      </c>
      <c r="H23" s="69" t="s">
        <v>398</v>
      </c>
      <c r="I23" s="73" t="s">
        <v>399</v>
      </c>
      <c r="J23" s="73" t="s">
        <v>399</v>
      </c>
      <c r="K23" s="64"/>
      <c r="L23" s="59">
        <v>350</v>
      </c>
      <c r="M23" s="59" t="str">
        <f>"199,4300"</f>
        <v>199,4300</v>
      </c>
      <c r="N23" s="25" t="s">
        <v>493</v>
      </c>
    </row>
    <row r="25" spans="2:3" ht="18">
      <c r="B25" s="27" t="s">
        <v>124</v>
      </c>
      <c r="C25" s="27"/>
    </row>
    <row r="26" spans="2:3" ht="13.5">
      <c r="B26" s="29"/>
      <c r="C26" s="30"/>
    </row>
    <row r="27" spans="2:6" ht="13.5">
      <c r="B27" s="31" t="s">
        <v>126</v>
      </c>
      <c r="C27" s="31" t="s">
        <v>127</v>
      </c>
      <c r="D27" s="31" t="s">
        <v>128</v>
      </c>
      <c r="E27" s="31" t="s">
        <v>129</v>
      </c>
      <c r="F27" s="31" t="s">
        <v>130</v>
      </c>
    </row>
    <row r="28" spans="1:6" ht="12.75">
      <c r="A28" s="32">
        <v>1</v>
      </c>
      <c r="B28" s="28" t="s">
        <v>396</v>
      </c>
      <c r="C28" s="44" t="s">
        <v>125</v>
      </c>
      <c r="D28" s="35" t="s">
        <v>489</v>
      </c>
      <c r="E28" s="35" t="s">
        <v>398</v>
      </c>
      <c r="F28" s="35" t="s">
        <v>400</v>
      </c>
    </row>
    <row r="29" spans="1:6" ht="12.75">
      <c r="A29" s="32">
        <v>2</v>
      </c>
      <c r="B29" s="28" t="s">
        <v>393</v>
      </c>
      <c r="C29" s="44" t="s">
        <v>125</v>
      </c>
      <c r="D29" s="35" t="s">
        <v>26</v>
      </c>
      <c r="E29" s="35" t="s">
        <v>288</v>
      </c>
      <c r="F29" s="35" t="s">
        <v>401</v>
      </c>
    </row>
    <row r="30" spans="1:6" ht="12.75">
      <c r="A30" s="32">
        <v>3</v>
      </c>
      <c r="B30" s="28" t="s">
        <v>378</v>
      </c>
      <c r="C30" s="44" t="s">
        <v>125</v>
      </c>
      <c r="D30" s="35" t="s">
        <v>316</v>
      </c>
      <c r="E30" s="35" t="s">
        <v>357</v>
      </c>
      <c r="F30" s="35" t="s">
        <v>402</v>
      </c>
    </row>
  </sheetData>
  <sheetProtection/>
  <mergeCells count="17"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B19:M19"/>
    <mergeCell ref="B22:M22"/>
    <mergeCell ref="L3:L4"/>
    <mergeCell ref="M3:M4"/>
    <mergeCell ref="N3:N4"/>
    <mergeCell ref="B5:M5"/>
    <mergeCell ref="B9:M9"/>
    <mergeCell ref="B14:M14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D21" sqref="D21"/>
    </sheetView>
  </sheetViews>
  <sheetFormatPr defaultColWidth="8.75390625" defaultRowHeight="12.75"/>
  <cols>
    <col min="1" max="1" width="8.125" style="0" customWidth="1"/>
    <col min="2" max="2" width="16.25390625" style="18" customWidth="1"/>
    <col min="3" max="3" width="25.625" style="18" customWidth="1"/>
    <col min="4" max="4" width="10.625" style="18" bestFit="1" customWidth="1"/>
    <col min="5" max="5" width="8.375" style="18" bestFit="1" customWidth="1"/>
    <col min="6" max="6" width="22.75390625" style="18" bestFit="1" customWidth="1"/>
    <col min="7" max="7" width="35.625" style="18" customWidth="1"/>
    <col min="8" max="8" width="4.625" style="18" bestFit="1" customWidth="1"/>
    <col min="9" max="9" width="11.375" style="18" customWidth="1"/>
    <col min="10" max="10" width="8.875" style="18" customWidth="1"/>
    <col min="11" max="11" width="8.625" style="18" bestFit="1" customWidth="1"/>
    <col min="12" max="12" width="15.375" style="18" bestFit="1" customWidth="1"/>
  </cols>
  <sheetData>
    <row r="1" spans="1:12" s="1" customFormat="1" ht="15" customHeight="1">
      <c r="A1" s="43"/>
      <c r="B1" s="212" t="s">
        <v>728</v>
      </c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 s="1" customFormat="1" ht="109.5" customHeight="1" thickBot="1">
      <c r="A2" s="43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3" spans="1:12" s="2" customFormat="1" ht="12.75" customHeight="1">
      <c r="A3" s="205" t="s">
        <v>446</v>
      </c>
      <c r="B3" s="216" t="s">
        <v>0</v>
      </c>
      <c r="C3" s="188" t="s">
        <v>447</v>
      </c>
      <c r="D3" s="188" t="s">
        <v>448</v>
      </c>
      <c r="E3" s="207" t="s">
        <v>617</v>
      </c>
      <c r="F3" s="207" t="s">
        <v>7</v>
      </c>
      <c r="G3" s="218" t="s">
        <v>449</v>
      </c>
      <c r="H3" s="207" t="s">
        <v>2</v>
      </c>
      <c r="I3" s="207"/>
      <c r="J3" s="207" t="s">
        <v>654</v>
      </c>
      <c r="K3" s="207" t="s">
        <v>6</v>
      </c>
      <c r="L3" s="209" t="s">
        <v>5</v>
      </c>
    </row>
    <row r="4" spans="1:12" s="2" customFormat="1" ht="21" customHeight="1" thickBot="1">
      <c r="A4" s="206"/>
      <c r="B4" s="217"/>
      <c r="C4" s="174"/>
      <c r="D4" s="174"/>
      <c r="E4" s="208"/>
      <c r="F4" s="208"/>
      <c r="G4" s="219"/>
      <c r="H4" s="3" t="s">
        <v>618</v>
      </c>
      <c r="I4" s="3" t="s">
        <v>619</v>
      </c>
      <c r="J4" s="208"/>
      <c r="K4" s="208"/>
      <c r="L4" s="210"/>
    </row>
    <row r="5" spans="2:11" ht="15.75">
      <c r="B5" s="211" t="s">
        <v>136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1:12" ht="12.75">
      <c r="A6" s="32">
        <v>1</v>
      </c>
      <c r="B6" s="25" t="s">
        <v>153</v>
      </c>
      <c r="C6" s="25" t="s">
        <v>154</v>
      </c>
      <c r="D6" s="25" t="s">
        <v>550</v>
      </c>
      <c r="E6" s="25" t="str">
        <f>"1,1264"</f>
        <v>1,1264</v>
      </c>
      <c r="F6" s="25" t="s">
        <v>110</v>
      </c>
      <c r="G6" s="25" t="s">
        <v>450</v>
      </c>
      <c r="H6" s="33" t="s">
        <v>669</v>
      </c>
      <c r="I6" s="33" t="s">
        <v>670</v>
      </c>
      <c r="J6" s="33">
        <v>247.5</v>
      </c>
      <c r="K6" s="33" t="str">
        <f>"278,7840"</f>
        <v>278,7840</v>
      </c>
      <c r="L6" s="25" t="s">
        <v>64</v>
      </c>
    </row>
  </sheetData>
  <sheetProtection/>
  <mergeCells count="13"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B5:K5"/>
    <mergeCell ref="A3:A4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C1">
      <selection activeCell="F3" sqref="F3:F4"/>
    </sheetView>
  </sheetViews>
  <sheetFormatPr defaultColWidth="11.375" defaultRowHeight="12.75"/>
  <cols>
    <col min="1" max="1" width="7.75390625" style="43" customWidth="1"/>
    <col min="2" max="2" width="20.875" style="4" customWidth="1"/>
    <col min="3" max="3" width="26.875" style="1" bestFit="1" customWidth="1"/>
    <col min="4" max="4" width="10.625" style="1" bestFit="1" customWidth="1"/>
    <col min="5" max="5" width="8.375" style="1" bestFit="1" customWidth="1"/>
    <col min="6" max="6" width="19.125" style="5" customWidth="1"/>
    <col min="7" max="7" width="37.125" style="5" customWidth="1"/>
    <col min="8" max="8" width="4.625" style="1" bestFit="1" customWidth="1"/>
    <col min="9" max="9" width="10.125" style="1" customWidth="1"/>
    <col min="10" max="10" width="7.875" style="4" bestFit="1" customWidth="1"/>
    <col min="11" max="11" width="9.625" style="1" bestFit="1" customWidth="1"/>
    <col min="12" max="12" width="17.00390625" style="5" bestFit="1" customWidth="1"/>
    <col min="13" max="16384" width="11.375" style="1" customWidth="1"/>
  </cols>
  <sheetData>
    <row r="1" spans="2:12" ht="15" customHeight="1">
      <c r="B1" s="212" t="s">
        <v>729</v>
      </c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2:12" ht="108.75" customHeight="1" thickBot="1"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3" spans="1:12" s="2" customFormat="1" ht="12.75" customHeight="1">
      <c r="A3" s="205" t="s">
        <v>446</v>
      </c>
      <c r="B3" s="216" t="s">
        <v>0</v>
      </c>
      <c r="C3" s="188" t="s">
        <v>447</v>
      </c>
      <c r="D3" s="188" t="s">
        <v>448</v>
      </c>
      <c r="E3" s="207" t="s">
        <v>617</v>
      </c>
      <c r="F3" s="207" t="s">
        <v>7</v>
      </c>
      <c r="G3" s="218" t="s">
        <v>449</v>
      </c>
      <c r="H3" s="207" t="s">
        <v>2</v>
      </c>
      <c r="I3" s="207"/>
      <c r="J3" s="207" t="s">
        <v>654</v>
      </c>
      <c r="K3" s="207" t="s">
        <v>6</v>
      </c>
      <c r="L3" s="209" t="s">
        <v>5</v>
      </c>
    </row>
    <row r="4" spans="1:12" s="2" customFormat="1" ht="21" customHeight="1" thickBot="1">
      <c r="A4" s="206"/>
      <c r="B4" s="217"/>
      <c r="C4" s="174"/>
      <c r="D4" s="174"/>
      <c r="E4" s="208"/>
      <c r="F4" s="208"/>
      <c r="G4" s="219"/>
      <c r="H4" s="3" t="s">
        <v>618</v>
      </c>
      <c r="I4" s="3" t="s">
        <v>619</v>
      </c>
      <c r="J4" s="208"/>
      <c r="K4" s="208"/>
      <c r="L4" s="210"/>
    </row>
    <row r="5" spans="2:11" ht="15.75">
      <c r="B5" s="177" t="s">
        <v>30</v>
      </c>
      <c r="C5" s="178"/>
      <c r="D5" s="178"/>
      <c r="E5" s="178"/>
      <c r="F5" s="178"/>
      <c r="G5" s="178"/>
      <c r="H5" s="178"/>
      <c r="I5" s="178"/>
      <c r="J5" s="178"/>
      <c r="K5" s="178"/>
    </row>
    <row r="6" spans="1:12" ht="12.75">
      <c r="A6" s="43" t="s">
        <v>576</v>
      </c>
      <c r="B6" s="75" t="s">
        <v>174</v>
      </c>
      <c r="C6" s="9" t="s">
        <v>671</v>
      </c>
      <c r="D6" s="9" t="s">
        <v>555</v>
      </c>
      <c r="E6" s="8" t="str">
        <f>"0,7071"</f>
        <v>0,7071</v>
      </c>
      <c r="F6" s="9" t="s">
        <v>19</v>
      </c>
      <c r="G6" s="9" t="s">
        <v>176</v>
      </c>
      <c r="H6" s="97" t="s">
        <v>410</v>
      </c>
      <c r="I6" s="97" t="s">
        <v>682</v>
      </c>
      <c r="J6" s="97" t="s">
        <v>701</v>
      </c>
      <c r="K6" s="97" t="str">
        <f>"1025,2950"</f>
        <v>1025,2950</v>
      </c>
      <c r="L6" s="9" t="s">
        <v>64</v>
      </c>
    </row>
    <row r="7" spans="1:12" ht="12.75">
      <c r="A7" s="43" t="s">
        <v>576</v>
      </c>
      <c r="B7" s="77" t="s">
        <v>189</v>
      </c>
      <c r="C7" s="13" t="s">
        <v>190</v>
      </c>
      <c r="D7" s="13" t="s">
        <v>514</v>
      </c>
      <c r="E7" s="12" t="str">
        <f>"0,6969"</f>
        <v>0,6969</v>
      </c>
      <c r="F7" s="13" t="s">
        <v>19</v>
      </c>
      <c r="G7" s="13" t="s">
        <v>176</v>
      </c>
      <c r="H7" s="80" t="s">
        <v>305</v>
      </c>
      <c r="I7" s="80" t="s">
        <v>683</v>
      </c>
      <c r="J7" s="80" t="s">
        <v>702</v>
      </c>
      <c r="K7" s="80" t="str">
        <f>"2560,9238"</f>
        <v>2560,9238</v>
      </c>
      <c r="L7" s="13" t="s">
        <v>64</v>
      </c>
    </row>
    <row r="9" spans="2:11" ht="15.75">
      <c r="B9" s="190" t="s">
        <v>35</v>
      </c>
      <c r="C9" s="191"/>
      <c r="D9" s="191"/>
      <c r="E9" s="191"/>
      <c r="F9" s="191"/>
      <c r="G9" s="191"/>
      <c r="H9" s="191"/>
      <c r="I9" s="191"/>
      <c r="J9" s="191"/>
      <c r="K9" s="191"/>
    </row>
    <row r="10" spans="1:12" ht="12.75">
      <c r="A10" s="43" t="s">
        <v>576</v>
      </c>
      <c r="B10" s="75" t="s">
        <v>672</v>
      </c>
      <c r="C10" s="9" t="s">
        <v>673</v>
      </c>
      <c r="D10" s="9" t="s">
        <v>710</v>
      </c>
      <c r="E10" s="8" t="str">
        <f>"0,6629"</f>
        <v>0,6629</v>
      </c>
      <c r="F10" s="9" t="s">
        <v>19</v>
      </c>
      <c r="G10" s="9" t="s">
        <v>173</v>
      </c>
      <c r="H10" s="97" t="s">
        <v>14</v>
      </c>
      <c r="I10" s="97" t="s">
        <v>684</v>
      </c>
      <c r="J10" s="97" t="s">
        <v>703</v>
      </c>
      <c r="K10" s="97" t="str">
        <f>"954,5760"</f>
        <v>954,5760</v>
      </c>
      <c r="L10" s="9" t="s">
        <v>687</v>
      </c>
    </row>
    <row r="11" spans="1:12" ht="12.75">
      <c r="A11" s="43" t="s">
        <v>576</v>
      </c>
      <c r="B11" s="76" t="s">
        <v>674</v>
      </c>
      <c r="C11" s="11" t="s">
        <v>675</v>
      </c>
      <c r="D11" s="11" t="s">
        <v>588</v>
      </c>
      <c r="E11" s="10" t="str">
        <f>"0,6456"</f>
        <v>0,6456</v>
      </c>
      <c r="F11" s="11" t="s">
        <v>19</v>
      </c>
      <c r="G11" s="11" t="s">
        <v>450</v>
      </c>
      <c r="H11" s="98" t="s">
        <v>309</v>
      </c>
      <c r="I11" s="98" t="s">
        <v>661</v>
      </c>
      <c r="J11" s="98" t="s">
        <v>704</v>
      </c>
      <c r="K11" s="98" t="str">
        <f>"745,6680"</f>
        <v>745,6680</v>
      </c>
      <c r="L11" s="11" t="s">
        <v>64</v>
      </c>
    </row>
    <row r="12" spans="1:12" ht="12.75">
      <c r="A12" s="43" t="s">
        <v>576</v>
      </c>
      <c r="B12" s="77" t="s">
        <v>676</v>
      </c>
      <c r="C12" s="13" t="s">
        <v>677</v>
      </c>
      <c r="D12" s="13" t="s">
        <v>711</v>
      </c>
      <c r="E12" s="12" t="str">
        <f>"0,6832"</f>
        <v>0,6832</v>
      </c>
      <c r="F12" s="13" t="s">
        <v>19</v>
      </c>
      <c r="G12" s="13" t="s">
        <v>678</v>
      </c>
      <c r="H12" s="80" t="s">
        <v>326</v>
      </c>
      <c r="I12" s="80" t="s">
        <v>685</v>
      </c>
      <c r="J12" s="80" t="s">
        <v>705</v>
      </c>
      <c r="K12" s="80" t="str">
        <f>"916,6358"</f>
        <v>916,6358</v>
      </c>
      <c r="L12" s="13" t="s">
        <v>64</v>
      </c>
    </row>
    <row r="14" spans="2:11" ht="15.75">
      <c r="B14" s="190" t="s">
        <v>16</v>
      </c>
      <c r="C14" s="191"/>
      <c r="D14" s="191"/>
      <c r="E14" s="191"/>
      <c r="F14" s="191"/>
      <c r="G14" s="191"/>
      <c r="H14" s="191"/>
      <c r="I14" s="191"/>
      <c r="J14" s="191"/>
      <c r="K14" s="191"/>
    </row>
    <row r="15" spans="1:12" ht="12.75">
      <c r="A15" s="43" t="s">
        <v>576</v>
      </c>
      <c r="B15" s="75" t="s">
        <v>202</v>
      </c>
      <c r="C15" s="9" t="s">
        <v>203</v>
      </c>
      <c r="D15" s="9" t="s">
        <v>562</v>
      </c>
      <c r="E15" s="8" t="str">
        <f>"0,6173"</f>
        <v>0,6173</v>
      </c>
      <c r="F15" s="9" t="s">
        <v>110</v>
      </c>
      <c r="G15" s="9" t="s">
        <v>679</v>
      </c>
      <c r="H15" s="97" t="s">
        <v>316</v>
      </c>
      <c r="I15" s="97" t="s">
        <v>686</v>
      </c>
      <c r="J15" s="97" t="s">
        <v>647</v>
      </c>
      <c r="K15" s="97" t="str">
        <f>"1500,0389"</f>
        <v>1500,0389</v>
      </c>
      <c r="L15" s="9" t="s">
        <v>64</v>
      </c>
    </row>
    <row r="16" spans="1:12" ht="12.75">
      <c r="A16" s="43" t="s">
        <v>577</v>
      </c>
      <c r="B16" s="76" t="s">
        <v>204</v>
      </c>
      <c r="C16" s="11" t="s">
        <v>205</v>
      </c>
      <c r="D16" s="11" t="s">
        <v>563</v>
      </c>
      <c r="E16" s="10" t="str">
        <f>"0,6340"</f>
        <v>0,6340</v>
      </c>
      <c r="F16" s="11" t="s">
        <v>19</v>
      </c>
      <c r="G16" s="11" t="s">
        <v>206</v>
      </c>
      <c r="H16" s="98" t="s">
        <v>306</v>
      </c>
      <c r="I16" s="98" t="s">
        <v>686</v>
      </c>
      <c r="J16" s="98" t="s">
        <v>706</v>
      </c>
      <c r="K16" s="98" t="str">
        <f>"1455,0300"</f>
        <v>1455,0300</v>
      </c>
      <c r="L16" s="11" t="s">
        <v>64</v>
      </c>
    </row>
    <row r="17" spans="1:12" ht="12.75">
      <c r="A17" s="43" t="s">
        <v>577</v>
      </c>
      <c r="B17" s="76" t="s">
        <v>272</v>
      </c>
      <c r="C17" s="11" t="s">
        <v>273</v>
      </c>
      <c r="D17" s="11" t="s">
        <v>528</v>
      </c>
      <c r="E17" s="10" t="str">
        <f>"0,6145"</f>
        <v>0,6145</v>
      </c>
      <c r="F17" s="11" t="s">
        <v>19</v>
      </c>
      <c r="G17" s="11" t="s">
        <v>450</v>
      </c>
      <c r="H17" s="98" t="s">
        <v>316</v>
      </c>
      <c r="I17" s="98" t="s">
        <v>682</v>
      </c>
      <c r="J17" s="98" t="s">
        <v>707</v>
      </c>
      <c r="K17" s="98" t="str">
        <f>"1106,1900"</f>
        <v>1106,1900</v>
      </c>
      <c r="L17" s="11" t="s">
        <v>64</v>
      </c>
    </row>
    <row r="18" spans="1:12" ht="12.75">
      <c r="A18" s="43" t="s">
        <v>576</v>
      </c>
      <c r="B18" s="77" t="s">
        <v>680</v>
      </c>
      <c r="C18" s="13" t="s">
        <v>681</v>
      </c>
      <c r="D18" s="13" t="s">
        <v>502</v>
      </c>
      <c r="E18" s="12" t="str">
        <f>"0,6197"</f>
        <v>0,6197</v>
      </c>
      <c r="F18" s="13" t="s">
        <v>380</v>
      </c>
      <c r="G18" s="13" t="s">
        <v>450</v>
      </c>
      <c r="H18" s="80" t="s">
        <v>316</v>
      </c>
      <c r="I18" s="80" t="s">
        <v>670</v>
      </c>
      <c r="J18" s="80" t="s">
        <v>708</v>
      </c>
      <c r="K18" s="80" t="str">
        <f>"648,0265"</f>
        <v>648,0265</v>
      </c>
      <c r="L18" s="13" t="s">
        <v>64</v>
      </c>
    </row>
    <row r="20" spans="2:11" ht="15.75">
      <c r="B20" s="190" t="s">
        <v>65</v>
      </c>
      <c r="C20" s="191"/>
      <c r="D20" s="191"/>
      <c r="E20" s="191"/>
      <c r="F20" s="191"/>
      <c r="G20" s="191"/>
      <c r="H20" s="191"/>
      <c r="I20" s="191"/>
      <c r="J20" s="191"/>
      <c r="K20" s="191"/>
    </row>
    <row r="21" spans="1:12" ht="12.75">
      <c r="A21" s="43" t="s">
        <v>576</v>
      </c>
      <c r="B21" s="40" t="s">
        <v>218</v>
      </c>
      <c r="C21" s="7" t="s">
        <v>219</v>
      </c>
      <c r="D21" s="7" t="s">
        <v>566</v>
      </c>
      <c r="E21" s="6" t="str">
        <f>"0,5914"</f>
        <v>0,5914</v>
      </c>
      <c r="F21" s="7" t="s">
        <v>110</v>
      </c>
      <c r="G21" s="25" t="s">
        <v>450</v>
      </c>
      <c r="H21" s="99" t="s">
        <v>407</v>
      </c>
      <c r="I21" s="99" t="s">
        <v>682</v>
      </c>
      <c r="J21" s="99" t="s">
        <v>709</v>
      </c>
      <c r="K21" s="99" t="str">
        <f>"1153,2301"</f>
        <v>1153,2301</v>
      </c>
      <c r="L21" s="7" t="s">
        <v>542</v>
      </c>
    </row>
  </sheetData>
  <sheetProtection/>
  <mergeCells count="16">
    <mergeCell ref="L3:L4"/>
    <mergeCell ref="B5:K5"/>
    <mergeCell ref="B9:K9"/>
    <mergeCell ref="B14:K14"/>
    <mergeCell ref="B20:K20"/>
    <mergeCell ref="A3:A4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3">
      <selection activeCell="F16" sqref="F16"/>
    </sheetView>
  </sheetViews>
  <sheetFormatPr defaultColWidth="8.75390625" defaultRowHeight="12.75"/>
  <cols>
    <col min="1" max="1" width="7.375" style="32" customWidth="1"/>
    <col min="2" max="2" width="21.375" style="18" customWidth="1"/>
    <col min="3" max="3" width="26.875" style="18" bestFit="1" customWidth="1"/>
    <col min="4" max="4" width="10.625" style="18" bestFit="1" customWidth="1"/>
    <col min="5" max="5" width="8.375" style="18" bestFit="1" customWidth="1"/>
    <col min="6" max="6" width="19.375" style="18" customWidth="1"/>
    <col min="7" max="7" width="35.875" style="18" customWidth="1"/>
    <col min="8" max="8" width="5.625" style="18" bestFit="1" customWidth="1"/>
    <col min="9" max="9" width="9.625" style="18" bestFit="1" customWidth="1"/>
    <col min="10" max="10" width="9.375" style="18" customWidth="1"/>
    <col min="11" max="11" width="9.625" style="18" bestFit="1" customWidth="1"/>
    <col min="12" max="12" width="15.625" style="18" customWidth="1"/>
  </cols>
  <sheetData>
    <row r="1" spans="1:12" s="1" customFormat="1" ht="15" customHeight="1">
      <c r="A1" s="43"/>
      <c r="B1" s="212" t="s">
        <v>727</v>
      </c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 s="1" customFormat="1" ht="108.75" customHeight="1" thickBot="1">
      <c r="A2" s="43"/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3" spans="1:12" s="2" customFormat="1" ht="12.75" customHeight="1">
      <c r="A3" s="205" t="s">
        <v>446</v>
      </c>
      <c r="B3" s="216" t="s">
        <v>0</v>
      </c>
      <c r="C3" s="188" t="s">
        <v>447</v>
      </c>
      <c r="D3" s="188" t="s">
        <v>448</v>
      </c>
      <c r="E3" s="207" t="s">
        <v>617</v>
      </c>
      <c r="F3" s="207" t="s">
        <v>7</v>
      </c>
      <c r="G3" s="218" t="s">
        <v>449</v>
      </c>
      <c r="H3" s="207" t="s">
        <v>2</v>
      </c>
      <c r="I3" s="207"/>
      <c r="J3" s="207" t="s">
        <v>654</v>
      </c>
      <c r="K3" s="207" t="s">
        <v>6</v>
      </c>
      <c r="L3" s="209" t="s">
        <v>5</v>
      </c>
    </row>
    <row r="4" spans="1:12" s="2" customFormat="1" ht="21" customHeight="1" thickBot="1">
      <c r="A4" s="206"/>
      <c r="B4" s="217"/>
      <c r="C4" s="174"/>
      <c r="D4" s="174"/>
      <c r="E4" s="208"/>
      <c r="F4" s="208"/>
      <c r="G4" s="219"/>
      <c r="H4" s="3" t="s">
        <v>618</v>
      </c>
      <c r="I4" s="3" t="s">
        <v>619</v>
      </c>
      <c r="J4" s="208"/>
      <c r="K4" s="208"/>
      <c r="L4" s="210"/>
    </row>
    <row r="5" spans="2:11" ht="15.75">
      <c r="B5" s="211" t="s">
        <v>10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1:12" ht="12.75">
      <c r="A6" s="32">
        <v>1</v>
      </c>
      <c r="B6" s="25" t="s">
        <v>620</v>
      </c>
      <c r="C6" s="25" t="s">
        <v>621</v>
      </c>
      <c r="D6" s="25" t="s">
        <v>655</v>
      </c>
      <c r="E6" s="25" t="str">
        <f>"0,7954"</f>
        <v>0,7954</v>
      </c>
      <c r="F6" s="25" t="s">
        <v>622</v>
      </c>
      <c r="G6" s="25" t="s">
        <v>76</v>
      </c>
      <c r="H6" s="33" t="s">
        <v>162</v>
      </c>
      <c r="I6" s="33" t="s">
        <v>661</v>
      </c>
      <c r="J6" s="33" t="s">
        <v>653</v>
      </c>
      <c r="K6" s="33" t="str">
        <f>"731,0062"</f>
        <v>731,0062</v>
      </c>
      <c r="L6" s="25" t="s">
        <v>666</v>
      </c>
    </row>
    <row r="8" spans="2:11" ht="15.75">
      <c r="B8" s="204" t="s">
        <v>30</v>
      </c>
      <c r="C8" s="204"/>
      <c r="D8" s="204"/>
      <c r="E8" s="204"/>
      <c r="F8" s="204"/>
      <c r="G8" s="204"/>
      <c r="H8" s="204"/>
      <c r="I8" s="204"/>
      <c r="J8" s="204"/>
      <c r="K8" s="204"/>
    </row>
    <row r="9" spans="1:12" ht="12.75">
      <c r="A9" s="32">
        <v>1</v>
      </c>
      <c r="B9" s="25" t="s">
        <v>623</v>
      </c>
      <c r="C9" s="25" t="s">
        <v>624</v>
      </c>
      <c r="D9" s="25" t="s">
        <v>470</v>
      </c>
      <c r="E9" s="25" t="str">
        <f>"0,6955"</f>
        <v>0,6955</v>
      </c>
      <c r="F9" s="25" t="s">
        <v>19</v>
      </c>
      <c r="G9" s="25" t="s">
        <v>450</v>
      </c>
      <c r="H9" s="33" t="s">
        <v>305</v>
      </c>
      <c r="I9" s="33" t="s">
        <v>662</v>
      </c>
      <c r="J9" s="33" t="s">
        <v>641</v>
      </c>
      <c r="K9" s="33" t="str">
        <f>"2138,5088"</f>
        <v>2138,5088</v>
      </c>
      <c r="L9" s="25" t="s">
        <v>64</v>
      </c>
    </row>
    <row r="11" spans="2:11" ht="15.75">
      <c r="B11" s="204" t="s">
        <v>35</v>
      </c>
      <c r="C11" s="204"/>
      <c r="D11" s="204"/>
      <c r="E11" s="204"/>
      <c r="F11" s="204"/>
      <c r="G11" s="204"/>
      <c r="H11" s="204"/>
      <c r="I11" s="204"/>
      <c r="J11" s="204"/>
      <c r="K11" s="204"/>
    </row>
    <row r="12" spans="1:12" ht="12.75">
      <c r="A12" s="32">
        <v>1</v>
      </c>
      <c r="B12" s="19" t="s">
        <v>36</v>
      </c>
      <c r="C12" s="19" t="s">
        <v>37</v>
      </c>
      <c r="D12" s="19" t="s">
        <v>586</v>
      </c>
      <c r="E12" s="19" t="str">
        <f>"0,6492"</f>
        <v>0,6492</v>
      </c>
      <c r="F12" s="19" t="s">
        <v>19</v>
      </c>
      <c r="G12" s="19" t="s">
        <v>605</v>
      </c>
      <c r="H12" s="38" t="s">
        <v>309</v>
      </c>
      <c r="I12" s="38" t="s">
        <v>663</v>
      </c>
      <c r="J12" s="38" t="s">
        <v>649</v>
      </c>
      <c r="K12" s="38" t="str">
        <f>"1285,5149"</f>
        <v>1285,5149</v>
      </c>
      <c r="L12" s="19" t="s">
        <v>611</v>
      </c>
    </row>
    <row r="13" spans="1:12" ht="12.75">
      <c r="A13" s="32">
        <v>2</v>
      </c>
      <c r="B13" s="23" t="s">
        <v>625</v>
      </c>
      <c r="C13" s="23" t="s">
        <v>626</v>
      </c>
      <c r="D13" s="23" t="s">
        <v>656</v>
      </c>
      <c r="E13" s="23" t="str">
        <f>"0,6529"</f>
        <v>0,6529</v>
      </c>
      <c r="F13" s="23" t="s">
        <v>19</v>
      </c>
      <c r="G13" s="23" t="s">
        <v>76</v>
      </c>
      <c r="H13" s="47" t="s">
        <v>309</v>
      </c>
      <c r="I13" s="47" t="s">
        <v>664</v>
      </c>
      <c r="J13" s="47">
        <v>1897.5</v>
      </c>
      <c r="K13" s="47" t="str">
        <f>"1238,8777"</f>
        <v>1238,8777</v>
      </c>
      <c r="L13" s="23" t="s">
        <v>64</v>
      </c>
    </row>
    <row r="15" spans="2:11" ht="15.75">
      <c r="B15" s="204" t="s">
        <v>16</v>
      </c>
      <c r="C15" s="204"/>
      <c r="D15" s="204"/>
      <c r="E15" s="204"/>
      <c r="F15" s="204"/>
      <c r="G15" s="204"/>
      <c r="H15" s="204"/>
      <c r="I15" s="204"/>
      <c r="J15" s="204"/>
      <c r="K15" s="204"/>
    </row>
    <row r="16" spans="1:12" ht="12.75">
      <c r="A16" s="32">
        <v>1</v>
      </c>
      <c r="B16" s="19" t="s">
        <v>627</v>
      </c>
      <c r="C16" s="19" t="s">
        <v>628</v>
      </c>
      <c r="D16" s="19" t="s">
        <v>306</v>
      </c>
      <c r="E16" s="19" t="str">
        <f>"0,6326"</f>
        <v>0,6326</v>
      </c>
      <c r="F16" s="21" t="s">
        <v>735</v>
      </c>
      <c r="G16" s="19" t="s">
        <v>605</v>
      </c>
      <c r="H16" s="38" t="s">
        <v>306</v>
      </c>
      <c r="I16" s="38" t="s">
        <v>665</v>
      </c>
      <c r="J16" s="38" t="s">
        <v>640</v>
      </c>
      <c r="K16" s="38" t="str">
        <f>"1129,1910"</f>
        <v>1129,1910</v>
      </c>
      <c r="L16" s="19" t="s">
        <v>479</v>
      </c>
    </row>
    <row r="17" spans="1:12" ht="12.75">
      <c r="A17" s="32">
        <v>1</v>
      </c>
      <c r="B17" s="21" t="s">
        <v>629</v>
      </c>
      <c r="C17" s="21" t="s">
        <v>630</v>
      </c>
      <c r="D17" s="21" t="s">
        <v>657</v>
      </c>
      <c r="E17" s="21" t="str">
        <f>"0,6161"</f>
        <v>0,6161</v>
      </c>
      <c r="F17" s="21" t="s">
        <v>19</v>
      </c>
      <c r="G17" s="11" t="s">
        <v>450</v>
      </c>
      <c r="H17" s="49" t="s">
        <v>316</v>
      </c>
      <c r="I17" s="95">
        <v>27</v>
      </c>
      <c r="J17" s="49" t="s">
        <v>647</v>
      </c>
      <c r="K17" s="49" t="str">
        <f>"1497,0015"</f>
        <v>1497,0015</v>
      </c>
      <c r="L17" s="21" t="s">
        <v>667</v>
      </c>
    </row>
    <row r="18" spans="1:12" ht="12.75">
      <c r="A18" s="32">
        <v>1</v>
      </c>
      <c r="B18" s="21" t="s">
        <v>62</v>
      </c>
      <c r="C18" s="21" t="s">
        <v>631</v>
      </c>
      <c r="D18" s="21" t="s">
        <v>563</v>
      </c>
      <c r="E18" s="21" t="str">
        <f>"0,6340"</f>
        <v>0,6340</v>
      </c>
      <c r="F18" s="21" t="s">
        <v>19</v>
      </c>
      <c r="G18" s="11" t="s">
        <v>450</v>
      </c>
      <c r="H18" s="49" t="s">
        <v>306</v>
      </c>
      <c r="I18" s="95">
        <v>31</v>
      </c>
      <c r="J18" s="49" t="s">
        <v>651</v>
      </c>
      <c r="K18" s="49" t="str">
        <f>"1722,3783"</f>
        <v>1722,3783</v>
      </c>
      <c r="L18" s="21" t="s">
        <v>64</v>
      </c>
    </row>
    <row r="19" spans="1:12" ht="12.75">
      <c r="A19" s="32">
        <v>2</v>
      </c>
      <c r="B19" s="23" t="s">
        <v>632</v>
      </c>
      <c r="C19" s="23" t="s">
        <v>633</v>
      </c>
      <c r="D19" s="23" t="s">
        <v>658</v>
      </c>
      <c r="E19" s="23" t="str">
        <f>"0,6402"</f>
        <v>0,6402</v>
      </c>
      <c r="F19" s="23" t="s">
        <v>622</v>
      </c>
      <c r="G19" s="23" t="s">
        <v>76</v>
      </c>
      <c r="H19" s="47" t="s">
        <v>306</v>
      </c>
      <c r="I19" s="65">
        <v>30</v>
      </c>
      <c r="J19" s="47" t="s">
        <v>652</v>
      </c>
      <c r="K19" s="47" t="str">
        <f>"1702,5750"</f>
        <v>1702,5750</v>
      </c>
      <c r="L19" s="23" t="s">
        <v>64</v>
      </c>
    </row>
    <row r="21" spans="2:11" ht="15.75">
      <c r="B21" s="204" t="s">
        <v>65</v>
      </c>
      <c r="C21" s="204"/>
      <c r="D21" s="204"/>
      <c r="E21" s="204"/>
      <c r="F21" s="204"/>
      <c r="G21" s="204"/>
      <c r="H21" s="204"/>
      <c r="I21" s="204"/>
      <c r="J21" s="204"/>
      <c r="K21" s="204"/>
    </row>
    <row r="22" spans="1:12" ht="12.75">
      <c r="A22" s="32">
        <v>1</v>
      </c>
      <c r="B22" s="19" t="s">
        <v>81</v>
      </c>
      <c r="C22" s="19" t="s">
        <v>82</v>
      </c>
      <c r="D22" s="19" t="s">
        <v>594</v>
      </c>
      <c r="E22" s="19" t="str">
        <f>"0,5853"</f>
        <v>0,5853</v>
      </c>
      <c r="F22" s="19" t="s">
        <v>19</v>
      </c>
      <c r="G22" s="19" t="s">
        <v>605</v>
      </c>
      <c r="H22" s="38" t="s">
        <v>33</v>
      </c>
      <c r="I22" s="96">
        <v>27</v>
      </c>
      <c r="J22" s="38" t="s">
        <v>645</v>
      </c>
      <c r="K22" s="38" t="str">
        <f>"1580,4449"</f>
        <v>1580,4449</v>
      </c>
      <c r="L22" s="19" t="s">
        <v>64</v>
      </c>
    </row>
    <row r="23" spans="1:12" ht="12.75">
      <c r="A23" s="32">
        <v>2</v>
      </c>
      <c r="B23" s="23" t="s">
        <v>77</v>
      </c>
      <c r="C23" s="23" t="s">
        <v>78</v>
      </c>
      <c r="D23" s="23" t="s">
        <v>593</v>
      </c>
      <c r="E23" s="23" t="str">
        <f>"0,5917"</f>
        <v>0,5917</v>
      </c>
      <c r="F23" s="23" t="s">
        <v>79</v>
      </c>
      <c r="G23" s="23" t="s">
        <v>608</v>
      </c>
      <c r="H23" s="47" t="s">
        <v>407</v>
      </c>
      <c r="I23" s="65">
        <v>24</v>
      </c>
      <c r="J23" s="47" t="s">
        <v>648</v>
      </c>
      <c r="K23" s="47" t="str">
        <f>"1384,4610"</f>
        <v>1384,4610</v>
      </c>
      <c r="L23" s="23" t="s">
        <v>64</v>
      </c>
    </row>
    <row r="25" spans="2:11" ht="15.75">
      <c r="B25" s="204" t="s">
        <v>89</v>
      </c>
      <c r="C25" s="204"/>
      <c r="D25" s="204"/>
      <c r="E25" s="204"/>
      <c r="F25" s="204"/>
      <c r="G25" s="204"/>
      <c r="H25" s="204"/>
      <c r="I25" s="204"/>
      <c r="J25" s="204"/>
      <c r="K25" s="204"/>
    </row>
    <row r="26" spans="1:12" ht="12.75">
      <c r="A26" s="32">
        <v>1</v>
      </c>
      <c r="B26" s="19" t="s">
        <v>634</v>
      </c>
      <c r="C26" s="19" t="s">
        <v>635</v>
      </c>
      <c r="D26" s="19" t="s">
        <v>659</v>
      </c>
      <c r="E26" s="19" t="str">
        <f>"0,5724"</f>
        <v>0,5724</v>
      </c>
      <c r="F26" s="19" t="s">
        <v>622</v>
      </c>
      <c r="G26" s="19" t="s">
        <v>76</v>
      </c>
      <c r="H26" s="38" t="s">
        <v>34</v>
      </c>
      <c r="I26" s="96">
        <v>34</v>
      </c>
      <c r="J26" s="38" t="s">
        <v>643</v>
      </c>
      <c r="K26" s="38" t="str">
        <f>"2043,4679"</f>
        <v>2043,4679</v>
      </c>
      <c r="L26" s="19" t="s">
        <v>668</v>
      </c>
    </row>
    <row r="27" spans="1:12" ht="12.75">
      <c r="A27" s="32">
        <v>2</v>
      </c>
      <c r="B27" s="21" t="s">
        <v>636</v>
      </c>
      <c r="C27" s="21" t="s">
        <v>637</v>
      </c>
      <c r="D27" s="21" t="s">
        <v>660</v>
      </c>
      <c r="E27" s="21" t="str">
        <f>"0,5763"</f>
        <v>0,5763</v>
      </c>
      <c r="F27" s="21" t="s">
        <v>622</v>
      </c>
      <c r="G27" s="21" t="s">
        <v>76</v>
      </c>
      <c r="H27" s="49" t="s">
        <v>197</v>
      </c>
      <c r="I27" s="95">
        <v>19</v>
      </c>
      <c r="J27" s="49">
        <v>1947.5</v>
      </c>
      <c r="K27" s="49" t="str">
        <f>"1122,3443"</f>
        <v>1122,3443</v>
      </c>
      <c r="L27" s="21" t="s">
        <v>666</v>
      </c>
    </row>
    <row r="28" spans="1:12" ht="12.75">
      <c r="A28" s="32">
        <v>2</v>
      </c>
      <c r="B28" s="21" t="s">
        <v>106</v>
      </c>
      <c r="C28" s="21" t="s">
        <v>107</v>
      </c>
      <c r="D28" s="21" t="s">
        <v>600</v>
      </c>
      <c r="E28" s="21" t="str">
        <f>"0,5653"</f>
        <v>0,5653</v>
      </c>
      <c r="F28" s="21" t="s">
        <v>13</v>
      </c>
      <c r="G28" s="11" t="s">
        <v>450</v>
      </c>
      <c r="H28" s="49" t="s">
        <v>26</v>
      </c>
      <c r="I28" s="95">
        <v>17</v>
      </c>
      <c r="J28" s="49" t="s">
        <v>650</v>
      </c>
      <c r="K28" s="49" t="str">
        <f>"1057,1110"</f>
        <v>1057,1110</v>
      </c>
      <c r="L28" s="21" t="s">
        <v>493</v>
      </c>
    </row>
    <row r="29" spans="1:12" ht="12.75">
      <c r="A29" s="32">
        <v>1</v>
      </c>
      <c r="B29" s="23" t="s">
        <v>634</v>
      </c>
      <c r="C29" s="23" t="s">
        <v>638</v>
      </c>
      <c r="D29" s="23" t="s">
        <v>659</v>
      </c>
      <c r="E29" s="23" t="str">
        <f>"0,5724"</f>
        <v>0,5724</v>
      </c>
      <c r="F29" s="23" t="s">
        <v>622</v>
      </c>
      <c r="G29" s="23" t="s">
        <v>76</v>
      </c>
      <c r="H29" s="47" t="s">
        <v>34</v>
      </c>
      <c r="I29" s="65">
        <v>34</v>
      </c>
      <c r="J29" s="47" t="s">
        <v>643</v>
      </c>
      <c r="K29" s="47" t="str">
        <f>"2309,1187"</f>
        <v>2309,1187</v>
      </c>
      <c r="L29" s="23" t="s">
        <v>668</v>
      </c>
    </row>
    <row r="31" spans="2:3" ht="18">
      <c r="B31" s="27" t="s">
        <v>124</v>
      </c>
      <c r="C31" s="27"/>
    </row>
    <row r="32" spans="2:3" ht="13.5">
      <c r="B32" s="29"/>
      <c r="C32" s="30"/>
    </row>
    <row r="33" spans="2:6" ht="13.5">
      <c r="B33" s="31" t="s">
        <v>126</v>
      </c>
      <c r="C33" s="31" t="s">
        <v>127</v>
      </c>
      <c r="D33" s="31" t="s">
        <v>128</v>
      </c>
      <c r="E33" s="31" t="s">
        <v>129</v>
      </c>
      <c r="F33" s="31" t="s">
        <v>639</v>
      </c>
    </row>
    <row r="34" spans="1:6" ht="12.75">
      <c r="A34" s="32">
        <v>1</v>
      </c>
      <c r="B34" s="28" t="s">
        <v>623</v>
      </c>
      <c r="C34" s="44" t="s">
        <v>125</v>
      </c>
      <c r="D34" s="35" t="s">
        <v>305</v>
      </c>
      <c r="E34" s="35" t="s">
        <v>641</v>
      </c>
      <c r="F34" s="35" t="s">
        <v>642</v>
      </c>
    </row>
    <row r="35" spans="1:6" ht="12.75">
      <c r="A35" s="32">
        <v>2</v>
      </c>
      <c r="B35" s="28" t="s">
        <v>634</v>
      </c>
      <c r="C35" s="44" t="s">
        <v>125</v>
      </c>
      <c r="D35" s="35" t="s">
        <v>26</v>
      </c>
      <c r="E35" s="35" t="s">
        <v>643</v>
      </c>
      <c r="F35" s="35" t="s">
        <v>644</v>
      </c>
    </row>
    <row r="36" spans="1:6" ht="12.75">
      <c r="A36" s="32">
        <v>3</v>
      </c>
      <c r="B36" s="28" t="s">
        <v>81</v>
      </c>
      <c r="C36" s="44" t="s">
        <v>125</v>
      </c>
      <c r="D36" s="35" t="s">
        <v>33</v>
      </c>
      <c r="E36" s="35" t="s">
        <v>645</v>
      </c>
      <c r="F36" s="35" t="s">
        <v>646</v>
      </c>
    </row>
  </sheetData>
  <sheetProtection/>
  <mergeCells count="18">
    <mergeCell ref="B25:K25"/>
    <mergeCell ref="A3:A4"/>
    <mergeCell ref="L3:L4"/>
    <mergeCell ref="B5:K5"/>
    <mergeCell ref="B8:K8"/>
    <mergeCell ref="B11:K11"/>
    <mergeCell ref="B15:K15"/>
    <mergeCell ref="B21:K21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2016-03-11T20:12:45Z</dcterms:modified>
  <cp:category/>
  <cp:version/>
  <cp:contentType/>
  <cp:contentStatus/>
</cp:coreProperties>
</file>