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80" windowWidth="27220" windowHeight="9640" firstSheet="15" activeTab="16"/>
  </bookViews>
  <sheets>
    <sheet name="Присед в бинтах ДК" sheetId="1" r:id="rId1"/>
    <sheet name="Присед без экипировки ДК" sheetId="2" r:id="rId2"/>
    <sheet name="Силовое двоеборье в экипировке" sheetId="3" r:id="rId3"/>
    <sheet name="Становая тяга без экипировки ДК" sheetId="4" r:id="rId4"/>
    <sheet name="Становая тяга без экипировки" sheetId="5" r:id="rId5"/>
    <sheet name="Пауэрлифтинг в бинтах ДК" sheetId="6" r:id="rId6"/>
    <sheet name="Пауэрлифтинг в бинтах" sheetId="7" r:id="rId7"/>
    <sheet name="Пауэрлифтинг без экипировки ДК" sheetId="8" r:id="rId8"/>
    <sheet name="Пауэрлифтинг без экипировки" sheetId="9" r:id="rId9"/>
    <sheet name="Жим лежа СФО" sheetId="10" r:id="rId10"/>
    <sheet name="Жим лежа в однослойной экипиров" sheetId="11" r:id="rId11"/>
    <sheet name="Жим лежа без экипировки ДК" sheetId="12" r:id="rId12"/>
    <sheet name="Жим лежа без экипировки" sheetId="13" r:id="rId13"/>
    <sheet name="Народный жим 1_2 вес ДК" sheetId="14" r:id="rId14"/>
    <sheet name="Народный жим 1 вес ДК" sheetId="15" r:id="rId15"/>
    <sheet name="Народный жим 1 вес" sheetId="16" r:id="rId16"/>
    <sheet name="Пауэрспорт ДК" sheetId="17" r:id="rId17"/>
    <sheet name="Пауэрспорт" sheetId="18" r:id="rId18"/>
    <sheet name="Двуручный блок" sheetId="19" r:id="rId19"/>
    <sheet name="Русская ось" sheetId="20" r:id="rId20"/>
    <sheet name="Русская рулетка" sheetId="21" r:id="rId21"/>
    <sheet name="Excalibur" sheetId="22" r:id="rId22"/>
    <sheet name="HUB" sheetId="23" r:id="rId23"/>
  </sheets>
  <definedNames/>
  <calcPr fullCalcOnLoad="1" refMode="R1C1"/>
</workbook>
</file>

<file path=xl/sharedStrings.xml><?xml version="1.0" encoding="utf-8"?>
<sst xmlns="http://schemas.openxmlformats.org/spreadsheetml/2006/main" count="2066" uniqueCount="662">
  <si>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</si>
  <si>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</si>
  <si>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</si>
  <si>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</si>
  <si>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</si>
  <si>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</si>
  <si>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</si>
  <si>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</si>
  <si>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</si>
  <si>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Город</t>
  </si>
  <si>
    <t>Wilks</t>
  </si>
  <si>
    <t>ВЕСОВАЯ КАТЕГОРИЯ   67.5</t>
  </si>
  <si>
    <t>Open (08.05.1990)/25</t>
  </si>
  <si>
    <t>63,30</t>
  </si>
  <si>
    <t xml:space="preserve">Прайд </t>
  </si>
  <si>
    <t xml:space="preserve">Санкт-Петербург </t>
  </si>
  <si>
    <t>100,0</t>
  </si>
  <si>
    <t>110,0</t>
  </si>
  <si>
    <t xml:space="preserve">Новицкий Д. </t>
  </si>
  <si>
    <t>ВЕСОВАЯ КАТЕГОРИЯ   82.5</t>
  </si>
  <si>
    <t>Open (04.08.1978)/37</t>
  </si>
  <si>
    <t>81,90</t>
  </si>
  <si>
    <t xml:space="preserve">Лично </t>
  </si>
  <si>
    <t>155,0</t>
  </si>
  <si>
    <t>160,0</t>
  </si>
  <si>
    <t>160.00</t>
  </si>
  <si>
    <t>Open (26.03.1988)/27</t>
  </si>
  <si>
    <t>82,10</t>
  </si>
  <si>
    <t xml:space="preserve">Екатеринбург/Свердловская область </t>
  </si>
  <si>
    <t>140,0</t>
  </si>
  <si>
    <t>145,0</t>
  </si>
  <si>
    <t>Open (17.04.1986)/29</t>
  </si>
  <si>
    <t>81,40</t>
  </si>
  <si>
    <t xml:space="preserve">Выборг/Ленинградская область </t>
  </si>
  <si>
    <t>120,0</t>
  </si>
  <si>
    <t>125,0</t>
  </si>
  <si>
    <t>130,0</t>
  </si>
  <si>
    <t>ВЕСОВАЯ КАТЕГОРИЯ   90</t>
  </si>
  <si>
    <t>Кобелев Павел</t>
  </si>
  <si>
    <t>Open (04.08.1989)/26</t>
  </si>
  <si>
    <t>90,00</t>
  </si>
  <si>
    <t>180,0</t>
  </si>
  <si>
    <t>Карандашев Владимир</t>
  </si>
  <si>
    <t>Masters 40-44 (12.03.1972)/43</t>
  </si>
  <si>
    <t>88,30</t>
  </si>
  <si>
    <t xml:space="preserve">А 1 </t>
  </si>
  <si>
    <t>150,0</t>
  </si>
  <si>
    <t xml:space="preserve">Самостоятельно </t>
  </si>
  <si>
    <t>ВЕСОВАЯ КАТЕГОРИЯ   100</t>
  </si>
  <si>
    <t>Волков Андрей</t>
  </si>
  <si>
    <t>Open (29.09.1975)/40</t>
  </si>
  <si>
    <t>92,50</t>
  </si>
  <si>
    <t>190,0</t>
  </si>
  <si>
    <t>195,0</t>
  </si>
  <si>
    <t>Солнцев Иван</t>
  </si>
  <si>
    <t>Open (25.03.1974)/41</t>
  </si>
  <si>
    <t>99,50</t>
  </si>
  <si>
    <t>185,0</t>
  </si>
  <si>
    <t>185.00</t>
  </si>
  <si>
    <t>Open (09.03.1988)/27</t>
  </si>
  <si>
    <t>93,90</t>
  </si>
  <si>
    <t>165,0</t>
  </si>
  <si>
    <t>Деханов Александр</t>
  </si>
  <si>
    <t>Open (08.10.1985)/30</t>
  </si>
  <si>
    <t>97,20</t>
  </si>
  <si>
    <t xml:space="preserve">Санкт-Петербург/Санкт-Петербур </t>
  </si>
  <si>
    <t>115,0</t>
  </si>
  <si>
    <t xml:space="preserve">Остапенко К.М. </t>
  </si>
  <si>
    <t>Курнашов Константин</t>
  </si>
  <si>
    <t>Open (09.02.1988)/27</t>
  </si>
  <si>
    <t>98,50</t>
  </si>
  <si>
    <t>Masters 40-44 (29.09.1975)/40</t>
  </si>
  <si>
    <t>Masters 40-44 (25.03.1974)/41</t>
  </si>
  <si>
    <t>Картавов Сергей</t>
  </si>
  <si>
    <t>Masters 45-49 (10.04.1966)/49</t>
  </si>
  <si>
    <t>99,10</t>
  </si>
  <si>
    <t xml:space="preserve">Кронштадт/Санкт-Петербург </t>
  </si>
  <si>
    <t>162,5</t>
  </si>
  <si>
    <t>167,5</t>
  </si>
  <si>
    <t>167.50</t>
  </si>
  <si>
    <t>ВЕСОВАЯ КАТЕГОРИЯ   110</t>
  </si>
  <si>
    <t>Тимофеев Ян</t>
  </si>
  <si>
    <t>Juniors 20-23 (14.02.1992)/23</t>
  </si>
  <si>
    <t>105,00</t>
  </si>
  <si>
    <t>175,0</t>
  </si>
  <si>
    <t>182,5</t>
  </si>
  <si>
    <t xml:space="preserve">Волков Андрей </t>
  </si>
  <si>
    <t>Медведев Сергей</t>
  </si>
  <si>
    <t>Open (29.11.1983)/32</t>
  </si>
  <si>
    <t>108,20</t>
  </si>
  <si>
    <t>200,0</t>
  </si>
  <si>
    <t>205,0</t>
  </si>
  <si>
    <t>212,5</t>
  </si>
  <si>
    <t>Остапенко Кирилл</t>
  </si>
  <si>
    <t>Open (19.10.1977)/38</t>
  </si>
  <si>
    <t>100,80</t>
  </si>
  <si>
    <t>192,5</t>
  </si>
  <si>
    <t>Open (02.04.1978)/37</t>
  </si>
  <si>
    <t>108,60</t>
  </si>
  <si>
    <t xml:space="preserve">Тихвин/Ленинградская область </t>
  </si>
  <si>
    <t>Open (21.06.1985)/30</t>
  </si>
  <si>
    <t>109,90</t>
  </si>
  <si>
    <t xml:space="preserve">Котлас/Архангельская область </t>
  </si>
  <si>
    <t>187,5</t>
  </si>
  <si>
    <t>Теркулов Заур</t>
  </si>
  <si>
    <t>Open (30.08.1981)/34</t>
  </si>
  <si>
    <t>102,50</t>
  </si>
  <si>
    <t xml:space="preserve">Нальчик/Кабардино-Балкария </t>
  </si>
  <si>
    <t>ВЕСОВАЯ КАТЕГОРИЯ   125</t>
  </si>
  <si>
    <t>Минин Николай</t>
  </si>
  <si>
    <t>Open (03.07.1989)/26</t>
  </si>
  <si>
    <t>120,20</t>
  </si>
  <si>
    <t>202,5</t>
  </si>
  <si>
    <t>210,0</t>
  </si>
  <si>
    <t>Новицкий Дмитрий</t>
  </si>
  <si>
    <t>Open (10.01.1989)/26</t>
  </si>
  <si>
    <t>111,70</t>
  </si>
  <si>
    <t>Главный судья: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</si>
  <si>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</si>
  <si>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</si>
  <si>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</si>
  <si>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</si>
  <si>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</si>
  <si>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</si>
  <si>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</si>
  <si>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</si>
  <si>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110 </t>
  </si>
  <si>
    <t xml:space="preserve">Открытая </t>
  </si>
  <si>
    <t>122,8110</t>
  </si>
  <si>
    <t>121,2780</t>
  </si>
  <si>
    <t xml:space="preserve">125 </t>
  </si>
  <si>
    <t>116,3767</t>
  </si>
  <si>
    <t>ВЕСОВАЯ КАТЕГОРИЯ   52</t>
  </si>
  <si>
    <t>Субботина Елена</t>
  </si>
  <si>
    <t>Open (03.07.1984)/31</t>
  </si>
  <si>
    <t>51,10</t>
  </si>
  <si>
    <t>25,0</t>
  </si>
  <si>
    <t>27,5</t>
  </si>
  <si>
    <t>30,0</t>
  </si>
  <si>
    <t>ВЕСОВАЯ КАТЕГОРИЯ   75</t>
  </si>
  <si>
    <t>Чернуха Алена</t>
  </si>
  <si>
    <t>Open (20.11.1984)/31</t>
  </si>
  <si>
    <t>73,90</t>
  </si>
  <si>
    <t>70,0</t>
  </si>
  <si>
    <t>Швецова Анастасия</t>
  </si>
  <si>
    <t>Open (22.04.1986)/29</t>
  </si>
  <si>
    <t>76,40</t>
  </si>
  <si>
    <t>50,0</t>
  </si>
  <si>
    <t>55,0</t>
  </si>
  <si>
    <t>57,5</t>
  </si>
  <si>
    <t>Teenage 15-19 (29.03.1999)/16</t>
  </si>
  <si>
    <t>64,50</t>
  </si>
  <si>
    <t>75,0</t>
  </si>
  <si>
    <t>87,5</t>
  </si>
  <si>
    <t>Веселов Павел</t>
  </si>
  <si>
    <t>Open (13.09.1987)/28</t>
  </si>
  <si>
    <t>66,60</t>
  </si>
  <si>
    <t xml:space="preserve">Всеволожск/Ленинградская область </t>
  </si>
  <si>
    <t>112,5</t>
  </si>
  <si>
    <t>Juniors 20-23 (27.10.1993)/22</t>
  </si>
  <si>
    <t>71,10</t>
  </si>
  <si>
    <t>Кочеров Игорь</t>
  </si>
  <si>
    <t>Open (25.08.1980)/35</t>
  </si>
  <si>
    <t>74,60</t>
  </si>
  <si>
    <t>135,0</t>
  </si>
  <si>
    <t>Коваленко Сергей</t>
  </si>
  <si>
    <t>Juniors 20-23 (23.07.1994)/21</t>
  </si>
  <si>
    <t>79,70</t>
  </si>
  <si>
    <t>Open (10.09.1988)/27</t>
  </si>
  <si>
    <t>86,90</t>
  </si>
  <si>
    <t xml:space="preserve">Обнинск/Калужская область </t>
  </si>
  <si>
    <t>147,5</t>
  </si>
  <si>
    <t>152,5</t>
  </si>
  <si>
    <t>Букалов Алексей</t>
  </si>
  <si>
    <t>Open (10.12.1976)/39</t>
  </si>
  <si>
    <t>89,80</t>
  </si>
  <si>
    <t>Open (30.11.1980)/35</t>
  </si>
  <si>
    <t>88,10</t>
  </si>
  <si>
    <t>132,5</t>
  </si>
  <si>
    <t>137,5</t>
  </si>
  <si>
    <t xml:space="preserve">Ягодин Николай </t>
  </si>
  <si>
    <t>Лилимберг Андрей</t>
  </si>
  <si>
    <t>Open (04.03.1991)/24</t>
  </si>
  <si>
    <t>88,80</t>
  </si>
  <si>
    <t>Зуев Андрей</t>
  </si>
  <si>
    <t>Open (29.10.1989)/26</t>
  </si>
  <si>
    <t>89,20</t>
  </si>
  <si>
    <t>127,5</t>
  </si>
  <si>
    <t>Open (19.06.1990)/25</t>
  </si>
  <si>
    <t>89,00</t>
  </si>
  <si>
    <t>Masters 45-49 (20.07.1966)/49</t>
  </si>
  <si>
    <t>Masters 55-59 (22.01.1960)/55</t>
  </si>
  <si>
    <t>87,60</t>
  </si>
  <si>
    <t>Juniors 20-23 (20.08.1993)/22</t>
  </si>
  <si>
    <t xml:space="preserve">Псков/Псковская область </t>
  </si>
  <si>
    <t>142,5</t>
  </si>
  <si>
    <t>Горностаев Александр</t>
  </si>
  <si>
    <t>Open (25.04.1980)/35</t>
  </si>
  <si>
    <t>92,90</t>
  </si>
  <si>
    <t xml:space="preserve">Скворцов Михаил </t>
  </si>
  <si>
    <t>Open (30.04.1987)/28</t>
  </si>
  <si>
    <t>93,40</t>
  </si>
  <si>
    <t>Немнонов Сергей</t>
  </si>
  <si>
    <t>Open (29.08.1984)/31</t>
  </si>
  <si>
    <t>97,80</t>
  </si>
  <si>
    <t>Юнанов Александр</t>
  </si>
  <si>
    <t>Masters 40-44 (17.09.1974)/41</t>
  </si>
  <si>
    <t>98,30</t>
  </si>
  <si>
    <t>Masters 40-44 (11.02.1972)/43</t>
  </si>
  <si>
    <t>97,30</t>
  </si>
  <si>
    <t>Петров Андрей</t>
  </si>
  <si>
    <t>Open (29.01.1983)/32</t>
  </si>
  <si>
    <t>109,80</t>
  </si>
  <si>
    <t>Open (07.10.1988)/27</t>
  </si>
  <si>
    <t>108,00</t>
  </si>
  <si>
    <t>Иванов Михаил</t>
  </si>
  <si>
    <t>Open (02.07.1976)/39</t>
  </si>
  <si>
    <t>108,10</t>
  </si>
  <si>
    <t xml:space="preserve">Арена </t>
  </si>
  <si>
    <t>157,5</t>
  </si>
  <si>
    <t xml:space="preserve">Таранухин Г.Ю. </t>
  </si>
  <si>
    <t>Саитов Алексей</t>
  </si>
  <si>
    <t>Masters 40-44 (05.09.1973)/42</t>
  </si>
  <si>
    <t>109,60</t>
  </si>
  <si>
    <t xml:space="preserve">пос. им. Морозова/Ленинградская обл. </t>
  </si>
  <si>
    <t>Золотов Анатолий</t>
  </si>
  <si>
    <t>Open (13.04.1972)/43</t>
  </si>
  <si>
    <t>120,10</t>
  </si>
  <si>
    <t>207,5</t>
  </si>
  <si>
    <t xml:space="preserve">Фёдоров А .Ю </t>
  </si>
  <si>
    <t>114,9600</t>
  </si>
  <si>
    <t>110,4750</t>
  </si>
  <si>
    <t>108,9280</t>
  </si>
  <si>
    <t>Петров Всеволод</t>
  </si>
  <si>
    <t>Open (04.08.1979)/36</t>
  </si>
  <si>
    <t>89,90</t>
  </si>
  <si>
    <t>220,0</t>
  </si>
  <si>
    <t>236,0</t>
  </si>
  <si>
    <t xml:space="preserve">Морозов Ф. </t>
  </si>
  <si>
    <t>230,0</t>
  </si>
  <si>
    <t>240,0</t>
  </si>
  <si>
    <t>300,0</t>
  </si>
  <si>
    <t>315,0</t>
  </si>
  <si>
    <t>250,0</t>
  </si>
  <si>
    <t>172,5</t>
  </si>
  <si>
    <t>252,5</t>
  </si>
  <si>
    <t>267,5</t>
  </si>
  <si>
    <t>ВЕСОВАЯ КАТЕГОРИЯ   140</t>
  </si>
  <si>
    <t>Михайлов Роман</t>
  </si>
  <si>
    <t>Open (16.03.1976)/39</t>
  </si>
  <si>
    <t>129,60</t>
  </si>
  <si>
    <t>ВЕСОВАЯ КАТЕГОРИЯ   140+</t>
  </si>
  <si>
    <t>Open (24.07.1975)/40</t>
  </si>
  <si>
    <t>156,90</t>
  </si>
  <si>
    <t>255,0</t>
  </si>
  <si>
    <t>260,0</t>
  </si>
  <si>
    <t>265,0</t>
  </si>
  <si>
    <t>700,0</t>
  </si>
  <si>
    <t>645,0</t>
  </si>
  <si>
    <t>475,0</t>
  </si>
  <si>
    <t>Open (26.07.1985)/30</t>
  </si>
  <si>
    <t>66,10</t>
  </si>
  <si>
    <t>105,0</t>
  </si>
  <si>
    <t>60,0</t>
  </si>
  <si>
    <t>67,5</t>
  </si>
  <si>
    <t>Open (02.04.1984)/31</t>
  </si>
  <si>
    <t>71,30</t>
  </si>
  <si>
    <t xml:space="preserve">Вегетарианская сила </t>
  </si>
  <si>
    <t>90,0</t>
  </si>
  <si>
    <t>95,0</t>
  </si>
  <si>
    <t>45,0</t>
  </si>
  <si>
    <t xml:space="preserve">Смирнов О.А. </t>
  </si>
  <si>
    <t>Чотоклиев Георгий</t>
  </si>
  <si>
    <t>Juniors 20-23 (04.05.1992)/23</t>
  </si>
  <si>
    <t>69,70</t>
  </si>
  <si>
    <t xml:space="preserve">Команда Фитнес Хауса </t>
  </si>
  <si>
    <t xml:space="preserve">Астахов Д.А. </t>
  </si>
  <si>
    <t>Open (07.11.1986)/29</t>
  </si>
  <si>
    <t>81,60</t>
  </si>
  <si>
    <t>Teenage 15-19 (23.07.1998)/17</t>
  </si>
  <si>
    <t>87,00</t>
  </si>
  <si>
    <t>235,0</t>
  </si>
  <si>
    <t>Open (22.10.1991)/24</t>
  </si>
  <si>
    <t>89,40</t>
  </si>
  <si>
    <t>170,0</t>
  </si>
  <si>
    <t>Open (02.07.1988)/27</t>
  </si>
  <si>
    <t>86,00</t>
  </si>
  <si>
    <t>305,0</t>
  </si>
  <si>
    <t>510,0</t>
  </si>
  <si>
    <t>470,0</t>
  </si>
  <si>
    <t>415,0</t>
  </si>
  <si>
    <t>Masters 40-44 (25.08.1974)/41</t>
  </si>
  <si>
    <t>62,60</t>
  </si>
  <si>
    <t>85,0</t>
  </si>
  <si>
    <t>Open (20.04.1990)/25</t>
  </si>
  <si>
    <t>71,40</t>
  </si>
  <si>
    <t xml:space="preserve">Team Bregan </t>
  </si>
  <si>
    <t>80,0</t>
  </si>
  <si>
    <t>Open (04.08.1986)/29</t>
  </si>
  <si>
    <t>82,40</t>
  </si>
  <si>
    <t>270,0</t>
  </si>
  <si>
    <t xml:space="preserve">Рыбаков Д. </t>
  </si>
  <si>
    <t>Васильев Виктор</t>
  </si>
  <si>
    <t>Open (18.02.1989)/26</t>
  </si>
  <si>
    <t>82,50</t>
  </si>
  <si>
    <t>Джатиев Владимир</t>
  </si>
  <si>
    <t>Open (25.02.1981)/34</t>
  </si>
  <si>
    <t>97,10</t>
  </si>
  <si>
    <t>275,0</t>
  </si>
  <si>
    <t>280,0</t>
  </si>
  <si>
    <t>710,0</t>
  </si>
  <si>
    <t>460,0</t>
  </si>
  <si>
    <t>Open (18.05.1991)/24</t>
  </si>
  <si>
    <t>75,00</t>
  </si>
  <si>
    <t>107,5</t>
  </si>
  <si>
    <t>52,5</t>
  </si>
  <si>
    <t>84,10</t>
  </si>
  <si>
    <t>225,0</t>
  </si>
  <si>
    <t>570,0</t>
  </si>
  <si>
    <t>500,0</t>
  </si>
  <si>
    <t>Open (15.06.1987)/28</t>
  </si>
  <si>
    <t>81,20</t>
  </si>
  <si>
    <t>Савченко Александр</t>
  </si>
  <si>
    <t>Open (06.01.1982)/33</t>
  </si>
  <si>
    <t>89,30</t>
  </si>
  <si>
    <t>Белов Станислав</t>
  </si>
  <si>
    <t>Open (11.11.1990)/25</t>
  </si>
  <si>
    <t>88,60</t>
  </si>
  <si>
    <t xml:space="preserve">Никитинский А.В. </t>
  </si>
  <si>
    <t>Masters 45-49 (07.01.1968)/47</t>
  </si>
  <si>
    <t>89,70</t>
  </si>
  <si>
    <t>Мамедяров Артур</t>
  </si>
  <si>
    <t>Open (20.08.1991)/24</t>
  </si>
  <si>
    <t>95,30</t>
  </si>
  <si>
    <t xml:space="preserve">Отрадное/Ленинградская область </t>
  </si>
  <si>
    <t>290,0</t>
  </si>
  <si>
    <t>312,5</t>
  </si>
  <si>
    <t>331,0</t>
  </si>
  <si>
    <t>Баруздин Максим</t>
  </si>
  <si>
    <t>Open (11.02.1980)/35</t>
  </si>
  <si>
    <t>124,80</t>
  </si>
  <si>
    <t>340,0</t>
  </si>
  <si>
    <t>350,0</t>
  </si>
  <si>
    <t>365,0</t>
  </si>
  <si>
    <t xml:space="preserve">Грахов Ю.П. </t>
  </si>
  <si>
    <t>ВЕСОВАЯ КАТЕГОРИЯ   48</t>
  </si>
  <si>
    <t>Open (14.01.1988)/27</t>
  </si>
  <si>
    <t>47,80</t>
  </si>
  <si>
    <t>65,0</t>
  </si>
  <si>
    <t>82,5</t>
  </si>
  <si>
    <t>ВЕСОВАЯ КАТЕГОРИЯ   56</t>
  </si>
  <si>
    <t>Open (21.12.1983)/32</t>
  </si>
  <si>
    <t>54,50</t>
  </si>
  <si>
    <t xml:space="preserve">Чащин Александр </t>
  </si>
  <si>
    <t>Teenage 15-19 (29.02.1996)/19</t>
  </si>
  <si>
    <t>66,70</t>
  </si>
  <si>
    <t>Шакиров Рустам</t>
  </si>
  <si>
    <t>Juniors 20-23 (25.06.1995)/20</t>
  </si>
  <si>
    <t>74,80</t>
  </si>
  <si>
    <t xml:space="preserve">Сборная ПетРГУ </t>
  </si>
  <si>
    <t xml:space="preserve">Петрозаводск/Карелия </t>
  </si>
  <si>
    <t>Автухов Денис</t>
  </si>
  <si>
    <t>Teenage 15-19 (19.07.1997)/18</t>
  </si>
  <si>
    <t>75,60</t>
  </si>
  <si>
    <t xml:space="preserve">ПетРГУ </t>
  </si>
  <si>
    <t>Филин Никита</t>
  </si>
  <si>
    <t>Teenage 15-19 (16.10.1997)/18</t>
  </si>
  <si>
    <t>80,10</t>
  </si>
  <si>
    <t>Open (23.01.1980)/35</t>
  </si>
  <si>
    <t>79,60</t>
  </si>
  <si>
    <t>Леванов Михаил</t>
  </si>
  <si>
    <t>Open (26.05.1982)/33</t>
  </si>
  <si>
    <t>Open (30.03.1987)/28</t>
  </si>
  <si>
    <t>89,60</t>
  </si>
  <si>
    <t>82,20</t>
  </si>
  <si>
    <t>Open (13.02.1989)/26</t>
  </si>
  <si>
    <t>Место</t>
  </si>
  <si>
    <t>Возрастная группа               Дата рождения/возраст</t>
  </si>
  <si>
    <t>Собств. вес</t>
  </si>
  <si>
    <t>Gloss</t>
  </si>
  <si>
    <t>Город/область</t>
  </si>
  <si>
    <t xml:space="preserve">Руслякова Лидия </t>
  </si>
  <si>
    <t xml:space="preserve">Петров Максим </t>
  </si>
  <si>
    <t xml:space="preserve">Санкт-Петербург/Ленинградская область </t>
  </si>
  <si>
    <t>Результат</t>
  </si>
  <si>
    <t xml:space="preserve">Кириллов Д. </t>
  </si>
  <si>
    <t xml:space="preserve">Автухов Денис </t>
  </si>
  <si>
    <t>Каширин А.</t>
  </si>
  <si>
    <t xml:space="preserve">Васильев Виктор </t>
  </si>
  <si>
    <t>Санкт-Петербург/Ленинградская область</t>
  </si>
  <si>
    <t xml:space="preserve">Угрюмова Мария </t>
  </si>
  <si>
    <t xml:space="preserve">Пилипюк Наталья </t>
  </si>
  <si>
    <t xml:space="preserve">Ошкин Денис </t>
  </si>
  <si>
    <t xml:space="preserve">Веселов Павел </t>
  </si>
  <si>
    <t xml:space="preserve">Шакиров Рустам </t>
  </si>
  <si>
    <t xml:space="preserve">Филин Никита </t>
  </si>
  <si>
    <t xml:space="preserve">Лаптев Олег </t>
  </si>
  <si>
    <t xml:space="preserve">Еремеев Сергей </t>
  </si>
  <si>
    <t>Кронштадт/Ленинградская область</t>
  </si>
  <si>
    <t>Волков А.</t>
  </si>
  <si>
    <t>Чащин А.</t>
  </si>
  <si>
    <t>Бибик С.</t>
  </si>
  <si>
    <t>Стеценко Д.Н.</t>
  </si>
  <si>
    <t>Смирнов О.</t>
  </si>
  <si>
    <t xml:space="preserve">Савченко Александр </t>
  </si>
  <si>
    <t xml:space="preserve">Лаевский Федор </t>
  </si>
  <si>
    <t>0</t>
  </si>
  <si>
    <t>Рыбаков Д.М.</t>
  </si>
  <si>
    <t>Санкт Петербург/Ленинградская область</t>
  </si>
  <si>
    <t xml:space="preserve">Зеленогорск/Ленинградская область </t>
  </si>
  <si>
    <t xml:space="preserve">Павлюченко Андрей </t>
  </si>
  <si>
    <t>Мамедяров А.</t>
  </si>
  <si>
    <t xml:space="preserve">Мамедяров А. </t>
  </si>
  <si>
    <t xml:space="preserve">Ешчанов Алижан </t>
  </si>
  <si>
    <t>Кушин И.Е.</t>
  </si>
  <si>
    <t xml:space="preserve">Ивачева Светлана </t>
  </si>
  <si>
    <t xml:space="preserve">Лутченко Екатерина </t>
  </si>
  <si>
    <t xml:space="preserve">Новак Денис </t>
  </si>
  <si>
    <t xml:space="preserve">Жуков Павел </t>
  </si>
  <si>
    <t xml:space="preserve">Шипилов Евгений </t>
  </si>
  <si>
    <t xml:space="preserve">Кондаков Никита </t>
  </si>
  <si>
    <t>Ивачев А.</t>
  </si>
  <si>
    <t>Смирнов О.А.</t>
  </si>
  <si>
    <t xml:space="preserve">Никитинский Александр </t>
  </si>
  <si>
    <t xml:space="preserve">Николаев Илья </t>
  </si>
  <si>
    <t xml:space="preserve">Таранухин Г. </t>
  </si>
  <si>
    <t>Открытый мастерский турнир "Невская битва" IPL                                                                            Жим лежа в однослойной экипировке
г. Санкт-Петербург, 26 - 27 декабря 2015 г.</t>
  </si>
  <si>
    <t xml:space="preserve">Солнцев Иван </t>
  </si>
  <si>
    <t xml:space="preserve">Григорьев Кирилл </t>
  </si>
  <si>
    <t xml:space="preserve">Рассказов Антон </t>
  </si>
  <si>
    <t xml:space="preserve">Волохов Виталий </t>
  </si>
  <si>
    <t xml:space="preserve">Букалов Алексей </t>
  </si>
  <si>
    <t xml:space="preserve">Лебедев Максим </t>
  </si>
  <si>
    <t xml:space="preserve">Кузьминский Антон </t>
  </si>
  <si>
    <t xml:space="preserve">Хапов Виктор </t>
  </si>
  <si>
    <t xml:space="preserve">Паншин Костантин </t>
  </si>
  <si>
    <t xml:space="preserve">Пиманов Денис </t>
  </si>
  <si>
    <t xml:space="preserve">Амеличев Алексей </t>
  </si>
  <si>
    <t xml:space="preserve">Немнонов Сергей </t>
  </si>
  <si>
    <t xml:space="preserve">Юнанов Александр </t>
  </si>
  <si>
    <t xml:space="preserve">Золотов Анатолий </t>
  </si>
  <si>
    <t>Зеленогорск/Ленинградская область</t>
  </si>
  <si>
    <t>Выборг/Ленинградская область</t>
  </si>
  <si>
    <t>Москва/Московская область</t>
  </si>
  <si>
    <t>30</t>
  </si>
  <si>
    <t>Заломаев С.</t>
  </si>
  <si>
    <t>Скворцов М.Н.</t>
  </si>
  <si>
    <t>Ягодин Н.</t>
  </si>
  <si>
    <t>Кушин И.</t>
  </si>
  <si>
    <t>Иванов Н.И.</t>
  </si>
  <si>
    <t>Петров А.</t>
  </si>
  <si>
    <t>Скворцов М.</t>
  </si>
  <si>
    <t>Головинский .</t>
  </si>
  <si>
    <t>Авилов Е.А.</t>
  </si>
  <si>
    <t>Бородий В.</t>
  </si>
  <si>
    <t>Острогожск/Воронежская область</t>
  </si>
  <si>
    <t>1</t>
  </si>
  <si>
    <t>2</t>
  </si>
  <si>
    <t>3</t>
  </si>
  <si>
    <t>4</t>
  </si>
  <si>
    <t>5</t>
  </si>
  <si>
    <t xml:space="preserve">100,0 </t>
  </si>
  <si>
    <t>167,0</t>
  </si>
  <si>
    <t>Варава И.</t>
  </si>
  <si>
    <t>Открытый мастерский турнир "Невская битва" IPL                                                                    Присед в бинтах ДК
г. Санкт-Петербург, 26 - 27 декабря 2015 г.</t>
  </si>
  <si>
    <t xml:space="preserve">Клиппенштейн Иван </t>
  </si>
  <si>
    <t xml:space="preserve">Желудко Виктор </t>
  </si>
  <si>
    <t xml:space="preserve">Тихоновский Олег </t>
  </si>
  <si>
    <t xml:space="preserve">Кынкурогов Игорь </t>
  </si>
  <si>
    <t xml:space="preserve">Кулик Никита </t>
  </si>
  <si>
    <t xml:space="preserve">Кобелев Павел </t>
  </si>
  <si>
    <t xml:space="preserve">Карандашев Владимир </t>
  </si>
  <si>
    <t xml:space="preserve">Стариков Алексей </t>
  </si>
  <si>
    <t xml:space="preserve">Картавов Сергей </t>
  </si>
  <si>
    <t xml:space="preserve">Медведев Сергей </t>
  </si>
  <si>
    <t xml:space="preserve">Пронин Иван </t>
  </si>
  <si>
    <t xml:space="preserve">Теркулов Заур </t>
  </si>
  <si>
    <t xml:space="preserve">Минин Николай </t>
  </si>
  <si>
    <t>Тоннаж</t>
  </si>
  <si>
    <t>Вес</t>
  </si>
  <si>
    <t>Повторы</t>
  </si>
  <si>
    <t>Гурьев Алексей</t>
  </si>
  <si>
    <t>Open (19.06.1983)/32</t>
  </si>
  <si>
    <t>74,30</t>
  </si>
  <si>
    <t>31</t>
  </si>
  <si>
    <t>2325,0</t>
  </si>
  <si>
    <t>Никитин Константин</t>
  </si>
  <si>
    <t>Masters 40-49 (28.05.1970)/45</t>
  </si>
  <si>
    <t>71,50</t>
  </si>
  <si>
    <t>72,5</t>
  </si>
  <si>
    <t>2175,0</t>
  </si>
  <si>
    <t>Ляликов Денис</t>
  </si>
  <si>
    <t>Juniors 20-23 (16.10.1993)/22</t>
  </si>
  <si>
    <t>86,20</t>
  </si>
  <si>
    <t>Иванов Дмитрий</t>
  </si>
  <si>
    <t>Open (09.03.1990)/25</t>
  </si>
  <si>
    <t>88,90</t>
  </si>
  <si>
    <t>33</t>
  </si>
  <si>
    <t>2970,0</t>
  </si>
  <si>
    <t xml:space="preserve">Тарасов А. В. </t>
  </si>
  <si>
    <t>22</t>
  </si>
  <si>
    <t>1980,0</t>
  </si>
  <si>
    <t>Смирнов Алексей</t>
  </si>
  <si>
    <t>Open (15.05.1978)/37</t>
  </si>
  <si>
    <t>87,80</t>
  </si>
  <si>
    <t>20</t>
  </si>
  <si>
    <t>1800,0</t>
  </si>
  <si>
    <t>Masters 40-49 (12.03.1972)/43</t>
  </si>
  <si>
    <t>29</t>
  </si>
  <si>
    <t>2610,0</t>
  </si>
  <si>
    <t>Степанов Олег</t>
  </si>
  <si>
    <t>Juniors 20-23 (14.01.1995)/20</t>
  </si>
  <si>
    <t>98,00</t>
  </si>
  <si>
    <t>Колпино/Ленинграбская область</t>
  </si>
  <si>
    <t>2900,0</t>
  </si>
  <si>
    <t>91,60</t>
  </si>
  <si>
    <t>92,5</t>
  </si>
  <si>
    <t>42</t>
  </si>
  <si>
    <t>3885,0</t>
  </si>
  <si>
    <t>Волов Павел</t>
  </si>
  <si>
    <t>Open (14.10.1984)/31</t>
  </si>
  <si>
    <t>91,20</t>
  </si>
  <si>
    <t>Masters 40-49 (10.04.1966)/49</t>
  </si>
  <si>
    <t>2200,0</t>
  </si>
  <si>
    <t>28</t>
  </si>
  <si>
    <t>2940,0</t>
  </si>
  <si>
    <t>102,5</t>
  </si>
  <si>
    <t>17</t>
  </si>
  <si>
    <t>Псков/Псковская область</t>
  </si>
  <si>
    <t xml:space="preserve">Gloss </t>
  </si>
  <si>
    <t>2354,5043</t>
  </si>
  <si>
    <t>3052,5</t>
  </si>
  <si>
    <t>1854,3938</t>
  </si>
  <si>
    <t xml:space="preserve">90,0 </t>
  </si>
  <si>
    <t>1829,6685</t>
  </si>
  <si>
    <t>Мастерский турнир "Невская битва"                                                                                     Народный жим (1 вес) допинг контроль
г. Санкт-Петербург, 26-27 декабря 2015 г.</t>
  </si>
  <si>
    <t>Гогунов Антон</t>
  </si>
  <si>
    <t>Open (03.01.1986)/29</t>
  </si>
  <si>
    <t>74,40</t>
  </si>
  <si>
    <t>46</t>
  </si>
  <si>
    <t>3450,0</t>
  </si>
  <si>
    <t>Гришкин Леонид</t>
  </si>
  <si>
    <t>Teen 13-19 (14.06.1996)/19</t>
  </si>
  <si>
    <t>16</t>
  </si>
  <si>
    <t>1280,0</t>
  </si>
  <si>
    <t>Тучин Андрей</t>
  </si>
  <si>
    <t>Open (05.02.1974)/41</t>
  </si>
  <si>
    <t>81,70</t>
  </si>
  <si>
    <t>1815,0</t>
  </si>
  <si>
    <t>Иванов Андрей</t>
  </si>
  <si>
    <t>Masters 40-49 (07.05.1968)/47</t>
  </si>
  <si>
    <t>77,10</t>
  </si>
  <si>
    <t xml:space="preserve">Кировск/Ленинградская область </t>
  </si>
  <si>
    <t>77,5</t>
  </si>
  <si>
    <t>19</t>
  </si>
  <si>
    <t>1472,5</t>
  </si>
  <si>
    <t>2700,0</t>
  </si>
  <si>
    <t>1530,0</t>
  </si>
  <si>
    <t>1900,0</t>
  </si>
  <si>
    <t>Masters 40-49 (17.09.1974)/41</t>
  </si>
  <si>
    <t xml:space="preserve">Москва/Московская область </t>
  </si>
  <si>
    <t>18</t>
  </si>
  <si>
    <t>7</t>
  </si>
  <si>
    <t xml:space="preserve">Зеленогорск/Ленинградскя область </t>
  </si>
  <si>
    <t>37,5</t>
  </si>
  <si>
    <t>1050,0</t>
  </si>
  <si>
    <t>Армейский жим</t>
  </si>
  <si>
    <t>20,0</t>
  </si>
  <si>
    <t xml:space="preserve">Михайлова Юлия </t>
  </si>
  <si>
    <t>Open (22.08.1991)/24</t>
  </si>
  <si>
    <t>67,50</t>
  </si>
  <si>
    <t xml:space="preserve">Ланковский Андрей </t>
  </si>
  <si>
    <t>Teen 13-19 (19.01.1998)/17</t>
  </si>
  <si>
    <t>73,70</t>
  </si>
  <si>
    <t xml:space="preserve">Каширин А. </t>
  </si>
  <si>
    <t xml:space="preserve">Аверкиев Лев </t>
  </si>
  <si>
    <t>Juniors 20-23 (07.01.1994)/21</t>
  </si>
  <si>
    <t>88,20</t>
  </si>
  <si>
    <t xml:space="preserve">Марцынковский Дмитрий </t>
  </si>
  <si>
    <t>Open (12.07.1980)/35</t>
  </si>
  <si>
    <t>88,00</t>
  </si>
  <si>
    <t xml:space="preserve">Головинский Д. </t>
  </si>
  <si>
    <t>Марцынковский Дмитрий</t>
  </si>
  <si>
    <t>172.50</t>
  </si>
  <si>
    <t>Кукин Артем</t>
  </si>
  <si>
    <t>Open (22.07.1991)/24</t>
  </si>
  <si>
    <t>Васильев Алексей</t>
  </si>
  <si>
    <t>Open (27.10.1979)/36</t>
  </si>
  <si>
    <t xml:space="preserve">Динамит </t>
  </si>
  <si>
    <t>97,5</t>
  </si>
  <si>
    <t xml:space="preserve">Кузнецов Сергей </t>
  </si>
  <si>
    <t>Open (15.01.1983)/32</t>
  </si>
  <si>
    <t>99,60</t>
  </si>
  <si>
    <t>157.50</t>
  </si>
  <si>
    <t xml:space="preserve">Смирнов Дмитрий </t>
  </si>
  <si>
    <t>Open (12.02.1982)/33</t>
  </si>
  <si>
    <t>123,10</t>
  </si>
  <si>
    <t>Самостоятельно</t>
  </si>
  <si>
    <t>Аверкиев Лев</t>
  </si>
  <si>
    <t>Junior (07.01.1994)/21</t>
  </si>
  <si>
    <t>ВЕСОВАЯ КАТЕГОРИЯ   70</t>
  </si>
  <si>
    <t>Яшин Максим</t>
  </si>
  <si>
    <t>Junior (28.12.1995)/19</t>
  </si>
  <si>
    <t>68,90</t>
  </si>
  <si>
    <t>ВЕСОВАЯ КАТЕГОРИЯ   80</t>
  </si>
  <si>
    <t>Ланковский Андрей</t>
  </si>
  <si>
    <t>Junior (19.01.1998)/17</t>
  </si>
  <si>
    <t>Барладяну Константин</t>
  </si>
  <si>
    <t>Junior (20.04.1997)/18</t>
  </si>
  <si>
    <t>Кишинев/Молдова</t>
  </si>
  <si>
    <t>Junior (25.06.1995)/20</t>
  </si>
  <si>
    <t>74,90</t>
  </si>
  <si>
    <t>Ткач Сергей</t>
  </si>
  <si>
    <t>Junior (17.08.1996)/19</t>
  </si>
  <si>
    <t>78,30</t>
  </si>
  <si>
    <t>Дровосеков Виктор</t>
  </si>
  <si>
    <t>Master 40+ (13.03.1967)/48</t>
  </si>
  <si>
    <t>77,40</t>
  </si>
  <si>
    <t xml:space="preserve">Красноярск/Красноярский край </t>
  </si>
  <si>
    <t>Junior (16.10.1997)/18</t>
  </si>
  <si>
    <t>81,00</t>
  </si>
  <si>
    <t>Junior (19.07.1997)/18</t>
  </si>
  <si>
    <t>Щербаков Максим</t>
  </si>
  <si>
    <t>Open (10.01.1986)/29</t>
  </si>
  <si>
    <t>96,7650</t>
  </si>
  <si>
    <t xml:space="preserve">80,0 </t>
  </si>
  <si>
    <t>93,7820</t>
  </si>
  <si>
    <t>92,9760</t>
  </si>
  <si>
    <t>63,0</t>
  </si>
  <si>
    <t>73,0</t>
  </si>
  <si>
    <t>58,0</t>
  </si>
  <si>
    <t>78,0</t>
  </si>
  <si>
    <t>Открытый мастерский турнир "Невская битва"                                                            HUB
г. Санкт-Петербург, 26 - 27 декабря 2015 г.</t>
  </si>
  <si>
    <t>Открытый мастерский турнир "Невская битва"                                                                Excalibur
г. Санкт-Петербург, 26 - 27 декабря 2015 г.</t>
  </si>
  <si>
    <t>Возрастная группа                    Дата рождения/возраст</t>
  </si>
  <si>
    <t>Открытый мастерский турнир "Невская битва"                                                                           Русская рулетка
г. Санкт-Петербург, 26 - 27 декабря 2015 г.</t>
  </si>
  <si>
    <t>Возрастная группа                        Дата рождения/возраст</t>
  </si>
  <si>
    <t>Открытый мастерский турнир "Невская битва"                                                                                                     Русская ось
г. Санкт-Петербург, 26 - 27 декабря 2015 г.</t>
  </si>
  <si>
    <t>Возрастная группа                      Дата рождения/возраст</t>
  </si>
  <si>
    <t>Юниоры</t>
  </si>
  <si>
    <t xml:space="preserve"> </t>
  </si>
  <si>
    <t>Открытый мастерский турнир "Невская битва"                                                                            Двуручный блок
г. Санкт-Петербург, 26 - 27 декабря 2015 г.</t>
  </si>
  <si>
    <t>Открытый мастерский турнир "Невская битва"                                                                                            Пауэрспорт
г. Санкт-Петербург, 26 - 27 декабря 2015 г.</t>
  </si>
  <si>
    <t>Открытый мастерский турнир "Невская битва"                                                                                                  Пауэрспорт с допинг контролем
г. Санкт-Петербург, 26 - 27 декабря 2015 г.</t>
  </si>
  <si>
    <t>Мастерский турнир "Невская битва"                                                                                                 Народный жим (1 вес)
г. Санкт-Петербург, 26-27 декабря 2015 г.</t>
  </si>
  <si>
    <t>Мастерский турнир "Невская битва"                                                                                             Народный жим (1/2 вес) допинг контроль
г. Санкт-Петербург, 26-27 декабря 2015 г.</t>
  </si>
  <si>
    <t>Открытый мастерский турнир "Невская битва"                                                                                       Жим лежа без экипировки IPL
г. Санкт-Петербург, 26 - 27 декабря 2015 г.</t>
  </si>
  <si>
    <t>Открытый мастерский турнир "Невская битва" IPL                                                                                                     Жим лежа без экипировки ДК
г. Санкт-Петербург, 26 - 27 декабря 2015 г.</t>
  </si>
  <si>
    <t>Сланцы/Ленинградская область</t>
  </si>
  <si>
    <t>Мужчины</t>
  </si>
  <si>
    <t>Открытый мастерский турнир "Невская битва" IPL                                                              Жим лежа СФО
г. Санкт-Петербург, 26 - 27 декабря 2015 г.</t>
  </si>
  <si>
    <t>Открытый мастерский турнир "Невская битва" IPL                                                                                                     Пауэрлифтинг без экипировки
г. Санкт-Петербург, 26 - 27 декабря 2015 г.</t>
  </si>
  <si>
    <t>Открытый мастерский турнир "Невская битва" IPL                                                                                                     Пауэрлифтинг без экипировки ДК
г. Санкт-Петербург, 26 - 27 декабря 2015 г.</t>
  </si>
  <si>
    <t>Открытый мастерский турнир "Невская битва" IPL                                                                                                     Пауэрлифтинг в бинтах
г. Санкт-Петербург, 26 - 27 декабря 2015 г.</t>
  </si>
  <si>
    <t>Открытый мастерский турнир "Невская битва" IPL                                                                                                            Пауэрлифтинг в бинтах ДК
г. Санкт-Петербург, 26 - 27 декабря 2015 г.</t>
  </si>
  <si>
    <t>Открытый мастерский турнир "Невская битва" IPL                                                                               Становая тяга без экипировки
г. Санкт-Петербург, 26 - 27 декабря 2015 г.</t>
  </si>
  <si>
    <t>Открытый мастерский турнир "Невская битва" IPL                                                                                     Становая тяга без экипировки ДК
г. Санкт-Петербург, 26 - 27 декабря 2015 г.</t>
  </si>
  <si>
    <t>Открытый мастерский турнир "Невская битва" IPL                                                                                             Силовое двоеборье в экипировке
г. Санкт-Петербург, 26 - 27 декабря 2015 г.</t>
  </si>
  <si>
    <t>Открытый мастерский турнир "Невская битва" IPL                                                                          Присед без экипировки ДК
г. Санкт-Петербург, 26 - 27 декабря 2015 г.</t>
  </si>
  <si>
    <t xml:space="preserve">172,5 </t>
  </si>
  <si>
    <t>Подъем на бицепс</t>
  </si>
  <si>
    <t>DQ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</si>
</sst>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2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49" fontId="50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50" fillId="34" borderId="13" xfId="0" applyNumberFormat="1" applyFont="1" applyFill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50" fillId="0" borderId="12" xfId="0" applyNumberFormat="1" applyFont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50" fillId="0" borderId="13" xfId="0" applyNumberFormat="1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2" fillId="33" borderId="18" xfId="0" applyNumberFormat="1" applyFont="1" applyFill="1" applyBorder="1" applyAlignment="1">
      <alignment horizontal="center"/>
    </xf>
    <xf numFmtId="49" fontId="51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13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 horizontal="center"/>
    </xf>
    <xf numFmtId="49" fontId="50" fillId="0" borderId="14" xfId="0" applyNumberFormat="1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3" fillId="33" borderId="11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B3" sqref="B3:B4"/>
    </sheetView>
  </sheetViews>
  <sheetFormatPr defaultColWidth="8.75390625" defaultRowHeight="12.75"/>
  <cols>
    <col min="1" max="1" width="8.75390625" style="0" customWidth="1"/>
    <col min="2" max="2" width="18.00390625" style="24" customWidth="1"/>
    <col min="3" max="3" width="27.00390625" style="24" customWidth="1"/>
    <col min="4" max="4" width="10.625" style="24" bestFit="1" customWidth="1"/>
    <col min="5" max="5" width="8.375" style="24" bestFit="1" customWidth="1"/>
    <col min="6" max="6" width="11.00390625" style="24" customWidth="1"/>
    <col min="7" max="7" width="36.125" style="24" customWidth="1"/>
    <col min="8" max="10" width="5.625" style="24" bestFit="1" customWidth="1"/>
    <col min="11" max="11" width="4.625" style="24" bestFit="1" customWidth="1"/>
    <col min="12" max="12" width="11.125" style="24" customWidth="1"/>
    <col min="13" max="13" width="8.625" style="24" bestFit="1" customWidth="1"/>
    <col min="14" max="14" width="15.375" style="24" customWidth="1"/>
  </cols>
  <sheetData>
    <row r="1" spans="2:14" s="1" customFormat="1" ht="15" customHeight="1">
      <c r="B1" s="109" t="s">
        <v>464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2:14" s="1" customFormat="1" ht="81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1</v>
      </c>
      <c r="I3" s="114"/>
      <c r="J3" s="114"/>
      <c r="K3" s="114"/>
      <c r="L3" s="114" t="s">
        <v>384</v>
      </c>
      <c r="M3" s="114" t="s">
        <v>6</v>
      </c>
      <c r="N3" s="121" t="s">
        <v>5</v>
      </c>
    </row>
    <row r="4" spans="1:14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115"/>
      <c r="M4" s="115"/>
      <c r="N4" s="122"/>
    </row>
    <row r="5" spans="2:13" ht="15.75">
      <c r="B5" s="123" t="s">
        <v>139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>
      <c r="A6" s="40">
        <v>1</v>
      </c>
      <c r="B6" s="38" t="s">
        <v>381</v>
      </c>
      <c r="C6" s="25" t="s">
        <v>312</v>
      </c>
      <c r="D6" s="25" t="s">
        <v>313</v>
      </c>
      <c r="E6" s="25" t="str">
        <f>"0,9506"</f>
        <v>0,9506</v>
      </c>
      <c r="F6" s="25" t="s">
        <v>22</v>
      </c>
      <c r="G6" s="25" t="s">
        <v>383</v>
      </c>
      <c r="H6" s="41" t="s">
        <v>262</v>
      </c>
      <c r="I6" s="45" t="s">
        <v>314</v>
      </c>
      <c r="J6" s="45" t="s">
        <v>17</v>
      </c>
      <c r="K6" s="44"/>
      <c r="L6" s="43" t="s">
        <v>17</v>
      </c>
      <c r="M6" s="43" t="str">
        <f>"104,5660"</f>
        <v>104,5660</v>
      </c>
      <c r="N6" s="25" t="s">
        <v>47</v>
      </c>
    </row>
    <row r="8" spans="2:13" ht="15.75">
      <c r="B8" s="108" t="s">
        <v>139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4" ht="12.75">
      <c r="A9" s="40">
        <v>1</v>
      </c>
      <c r="B9" s="38" t="s">
        <v>382</v>
      </c>
      <c r="C9" s="25" t="s">
        <v>375</v>
      </c>
      <c r="D9" s="25" t="s">
        <v>142</v>
      </c>
      <c r="E9" s="25" t="str">
        <f>"0,7200"</f>
        <v>0,7200</v>
      </c>
      <c r="F9" s="25" t="s">
        <v>22</v>
      </c>
      <c r="G9" s="25" t="s">
        <v>383</v>
      </c>
      <c r="H9" s="45" t="s">
        <v>85</v>
      </c>
      <c r="I9" s="41" t="s">
        <v>57</v>
      </c>
      <c r="J9" s="41" t="s">
        <v>57</v>
      </c>
      <c r="K9" s="26"/>
      <c r="L9" s="43">
        <v>182.5</v>
      </c>
      <c r="M9" s="43" t="str">
        <f>"131,4000"</f>
        <v>131,4000</v>
      </c>
      <c r="N9" s="25" t="s">
        <v>385</v>
      </c>
    </row>
  </sheetData>
  <sheetProtection/>
  <mergeCells count="14">
    <mergeCell ref="A3:A4"/>
    <mergeCell ref="L3:L4"/>
    <mergeCell ref="M3:M4"/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26" sqref="G26"/>
    </sheetView>
  </sheetViews>
  <sheetFormatPr defaultColWidth="8.75390625" defaultRowHeight="12.75"/>
  <cols>
    <col min="1" max="1" width="8.75390625" style="0" customWidth="1"/>
    <col min="2" max="2" width="16.125" style="24" customWidth="1"/>
    <col min="3" max="3" width="26.875" style="24" bestFit="1" customWidth="1"/>
    <col min="4" max="4" width="10.625" style="24" bestFit="1" customWidth="1"/>
    <col min="5" max="5" width="8.375" style="24" bestFit="1" customWidth="1"/>
    <col min="6" max="6" width="11.125" style="24" customWidth="1"/>
    <col min="7" max="7" width="29.25390625" style="24" bestFit="1" customWidth="1"/>
    <col min="8" max="11" width="4.625" style="24" bestFit="1" customWidth="1"/>
    <col min="12" max="12" width="11.75390625" style="24" customWidth="1"/>
    <col min="13" max="13" width="7.625" style="24" bestFit="1" customWidth="1"/>
    <col min="14" max="14" width="15.625" style="24" customWidth="1"/>
  </cols>
  <sheetData>
    <row r="1" spans="2:14" s="1" customFormat="1" ht="15" customHeight="1">
      <c r="B1" s="109" t="s">
        <v>650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2:14" s="1" customFormat="1" ht="102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2</v>
      </c>
      <c r="I3" s="114"/>
      <c r="J3" s="114"/>
      <c r="K3" s="114"/>
      <c r="L3" s="114" t="s">
        <v>384</v>
      </c>
      <c r="M3" s="114" t="s">
        <v>6</v>
      </c>
      <c r="N3" s="121" t="s">
        <v>5</v>
      </c>
    </row>
    <row r="4" spans="1:14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115"/>
      <c r="M4" s="115"/>
      <c r="N4" s="122"/>
    </row>
    <row r="5" spans="2:13" ht="15.75">
      <c r="B5" s="123" t="s">
        <v>11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>
      <c r="A6" s="40">
        <v>1</v>
      </c>
      <c r="B6" s="25" t="s">
        <v>413</v>
      </c>
      <c r="C6" s="25" t="s">
        <v>291</v>
      </c>
      <c r="D6" s="25" t="s">
        <v>292</v>
      </c>
      <c r="E6" s="25" t="str">
        <f>"0,8212"</f>
        <v>0,8212</v>
      </c>
      <c r="F6" s="25" t="s">
        <v>22</v>
      </c>
      <c r="G6" s="25" t="s">
        <v>33</v>
      </c>
      <c r="H6" s="45" t="s">
        <v>152</v>
      </c>
      <c r="I6" s="45" t="s">
        <v>293</v>
      </c>
      <c r="J6" s="45" t="s">
        <v>268</v>
      </c>
      <c r="K6" s="44"/>
      <c r="L6" s="43" t="s">
        <v>268</v>
      </c>
      <c r="M6" s="43" t="str">
        <f>"74,2775"</f>
        <v>74,2775</v>
      </c>
      <c r="N6" s="25" t="s">
        <v>414</v>
      </c>
    </row>
  </sheetData>
  <sheetProtection/>
  <mergeCells count="13"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G27" sqref="G27"/>
    </sheetView>
  </sheetViews>
  <sheetFormatPr defaultColWidth="8.75390625" defaultRowHeight="12.75"/>
  <cols>
    <col min="1" max="1" width="7.00390625" style="0" customWidth="1"/>
    <col min="2" max="2" width="26.00390625" style="24" bestFit="1" customWidth="1"/>
    <col min="3" max="3" width="21.375" style="24" bestFit="1" customWidth="1"/>
    <col min="4" max="4" width="10.625" style="24" bestFit="1" customWidth="1"/>
    <col min="5" max="5" width="8.375" style="24" bestFit="1" customWidth="1"/>
    <col min="6" max="6" width="14.25390625" style="24" customWidth="1"/>
    <col min="7" max="7" width="36.00390625" style="24" customWidth="1"/>
    <col min="8" max="10" width="5.625" style="24" bestFit="1" customWidth="1"/>
    <col min="11" max="11" width="4.625" style="24" bestFit="1" customWidth="1"/>
    <col min="12" max="12" width="11.625" style="24" customWidth="1"/>
    <col min="13" max="13" width="8.625" style="24" bestFit="1" customWidth="1"/>
    <col min="14" max="14" width="15.75390625" style="24" bestFit="1" customWidth="1"/>
  </cols>
  <sheetData>
    <row r="1" spans="2:14" s="1" customFormat="1" ht="15" customHeight="1">
      <c r="B1" s="109" t="s">
        <v>426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2:14" s="1" customFormat="1" ht="115.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2</v>
      </c>
      <c r="I3" s="114"/>
      <c r="J3" s="114"/>
      <c r="K3" s="114"/>
      <c r="L3" s="114" t="s">
        <v>384</v>
      </c>
      <c r="M3" s="114" t="s">
        <v>6</v>
      </c>
      <c r="N3" s="121" t="s">
        <v>5</v>
      </c>
    </row>
    <row r="4" spans="1:14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115"/>
      <c r="M4" s="115"/>
      <c r="N4" s="122"/>
    </row>
    <row r="5" spans="2:13" ht="15.75">
      <c r="B5" s="123" t="s">
        <v>37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>
      <c r="A6" s="40">
        <v>1</v>
      </c>
      <c r="B6" s="25" t="s">
        <v>233</v>
      </c>
      <c r="C6" s="25" t="s">
        <v>234</v>
      </c>
      <c r="D6" s="25" t="s">
        <v>235</v>
      </c>
      <c r="E6" s="25" t="str">
        <f>"0,6388"</f>
        <v>0,6388</v>
      </c>
      <c r="F6" s="25" t="s">
        <v>22</v>
      </c>
      <c r="G6" s="25" t="s">
        <v>389</v>
      </c>
      <c r="H6" s="73" t="s">
        <v>236</v>
      </c>
      <c r="I6" s="45" t="s">
        <v>236</v>
      </c>
      <c r="J6" s="73" t="s">
        <v>237</v>
      </c>
      <c r="K6" s="44"/>
      <c r="L6" s="43" t="s">
        <v>236</v>
      </c>
      <c r="M6" s="43" t="str">
        <f>"140,5360"</f>
        <v>140,5360</v>
      </c>
      <c r="N6" s="25" t="s">
        <v>238</v>
      </c>
    </row>
    <row r="8" spans="2:13" ht="15.75">
      <c r="B8" s="108" t="s">
        <v>48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4" ht="12.75">
      <c r="A9" s="40">
        <v>1</v>
      </c>
      <c r="B9" s="25" t="s">
        <v>427</v>
      </c>
      <c r="C9" s="25" t="s">
        <v>55</v>
      </c>
      <c r="D9" s="25" t="s">
        <v>56</v>
      </c>
      <c r="E9" s="25" t="str">
        <f>"0,6098"</f>
        <v>0,6098</v>
      </c>
      <c r="F9" s="25" t="s">
        <v>22</v>
      </c>
      <c r="G9" s="25" t="s">
        <v>33</v>
      </c>
      <c r="H9" s="45" t="s">
        <v>236</v>
      </c>
      <c r="I9" s="45" t="s">
        <v>239</v>
      </c>
      <c r="J9" s="73" t="s">
        <v>240</v>
      </c>
      <c r="K9" s="44"/>
      <c r="L9" s="43" t="s">
        <v>239</v>
      </c>
      <c r="M9" s="43" t="str">
        <f>"140,2540"</f>
        <v>140,2540</v>
      </c>
      <c r="N9" s="25" t="s">
        <v>47</v>
      </c>
    </row>
  </sheetData>
  <sheetProtection/>
  <mergeCells count="14">
    <mergeCell ref="A3:A4"/>
    <mergeCell ref="L3:L4"/>
    <mergeCell ref="M3:M4"/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21">
      <selection activeCell="C63" sqref="C63"/>
    </sheetView>
  </sheetViews>
  <sheetFormatPr defaultColWidth="8.75390625" defaultRowHeight="12.75"/>
  <cols>
    <col min="1" max="1" width="8.75390625" style="0" customWidth="1"/>
    <col min="2" max="2" width="21.375" style="24" customWidth="1"/>
    <col min="3" max="3" width="25.75390625" style="24" customWidth="1"/>
    <col min="4" max="4" width="10.625" style="24" bestFit="1" customWidth="1"/>
    <col min="5" max="5" width="8.375" style="24" bestFit="1" customWidth="1"/>
    <col min="6" max="6" width="13.75390625" style="24" customWidth="1"/>
    <col min="7" max="7" width="36.125" style="24" bestFit="1" customWidth="1"/>
    <col min="8" max="11" width="5.625" style="24" bestFit="1" customWidth="1"/>
    <col min="12" max="12" width="11.375" style="24" customWidth="1"/>
    <col min="13" max="13" width="8.625" style="24" bestFit="1" customWidth="1"/>
    <col min="14" max="14" width="22.625" style="24" customWidth="1"/>
  </cols>
  <sheetData>
    <row r="1" spans="2:14" s="1" customFormat="1" ht="15" customHeight="1">
      <c r="B1" s="109" t="s">
        <v>647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2:14" s="1" customFormat="1" ht="84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2</v>
      </c>
      <c r="I3" s="114"/>
      <c r="J3" s="114"/>
      <c r="K3" s="114"/>
      <c r="L3" s="114" t="s">
        <v>384</v>
      </c>
      <c r="M3" s="114" t="s">
        <v>6</v>
      </c>
      <c r="N3" s="121" t="s">
        <v>5</v>
      </c>
    </row>
    <row r="4" spans="1:14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115"/>
      <c r="M4" s="115"/>
      <c r="N4" s="122"/>
    </row>
    <row r="5" spans="2:13" ht="15.75">
      <c r="B5" s="123" t="s">
        <v>132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>
      <c r="A6" s="40">
        <v>1</v>
      </c>
      <c r="B6" s="25" t="s">
        <v>133</v>
      </c>
      <c r="C6" s="25" t="s">
        <v>134</v>
      </c>
      <c r="D6" s="25" t="s">
        <v>135</v>
      </c>
      <c r="E6" s="25" t="str">
        <f>"1,2635"</f>
        <v>1,2635</v>
      </c>
      <c r="F6" s="25" t="s">
        <v>22</v>
      </c>
      <c r="G6" s="25" t="s">
        <v>389</v>
      </c>
      <c r="H6" s="45" t="s">
        <v>136</v>
      </c>
      <c r="I6" s="45" t="s">
        <v>137</v>
      </c>
      <c r="J6" s="45" t="s">
        <v>138</v>
      </c>
      <c r="K6" s="44"/>
      <c r="L6" s="43" t="s">
        <v>138</v>
      </c>
      <c r="M6" s="43" t="str">
        <f>"37,9050"</f>
        <v>37,9050</v>
      </c>
      <c r="N6" s="25" t="s">
        <v>47</v>
      </c>
    </row>
    <row r="8" spans="2:13" ht="15.75">
      <c r="B8" s="108" t="s">
        <v>139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4" ht="12.75">
      <c r="A9" s="40">
        <v>1</v>
      </c>
      <c r="B9" s="25" t="s">
        <v>140</v>
      </c>
      <c r="C9" s="25" t="s">
        <v>141</v>
      </c>
      <c r="D9" s="25" t="s">
        <v>142</v>
      </c>
      <c r="E9" s="25" t="str">
        <f>"0,9596"</f>
        <v>0,9596</v>
      </c>
      <c r="F9" s="25" t="s">
        <v>22</v>
      </c>
      <c r="G9" s="25" t="s">
        <v>441</v>
      </c>
      <c r="H9" s="73" t="s">
        <v>143</v>
      </c>
      <c r="I9" s="73" t="s">
        <v>143</v>
      </c>
      <c r="J9" s="73" t="s">
        <v>143</v>
      </c>
      <c r="K9" s="44"/>
      <c r="L9" s="43">
        <v>0</v>
      </c>
      <c r="M9" s="43" t="s">
        <v>406</v>
      </c>
      <c r="N9" s="25" t="s">
        <v>47</v>
      </c>
    </row>
    <row r="11" spans="2:13" ht="15.75">
      <c r="B11" s="108" t="s">
        <v>19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4" ht="12.75">
      <c r="A12" s="40">
        <v>1</v>
      </c>
      <c r="B12" s="25" t="s">
        <v>144</v>
      </c>
      <c r="C12" s="25" t="s">
        <v>145</v>
      </c>
      <c r="D12" s="25" t="s">
        <v>146</v>
      </c>
      <c r="E12" s="25" t="str">
        <f>"0,9399"</f>
        <v>0,9399</v>
      </c>
      <c r="F12" s="25" t="s">
        <v>22</v>
      </c>
      <c r="G12" s="25" t="s">
        <v>442</v>
      </c>
      <c r="H12" s="45" t="s">
        <v>147</v>
      </c>
      <c r="I12" s="45" t="s">
        <v>148</v>
      </c>
      <c r="J12" s="45" t="s">
        <v>149</v>
      </c>
      <c r="K12" s="44"/>
      <c r="L12" s="43">
        <v>57.5</v>
      </c>
      <c r="M12" s="43" t="str">
        <f>"54,0442"</f>
        <v>54,0442</v>
      </c>
      <c r="N12" s="25" t="s">
        <v>414</v>
      </c>
    </row>
    <row r="14" spans="2:13" ht="15.75">
      <c r="B14" s="108" t="s">
        <v>11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4" ht="12.75">
      <c r="A15" s="48">
        <v>1</v>
      </c>
      <c r="B15" s="27" t="s">
        <v>428</v>
      </c>
      <c r="C15" s="27" t="s">
        <v>150</v>
      </c>
      <c r="D15" s="27" t="s">
        <v>151</v>
      </c>
      <c r="E15" s="27" t="str">
        <f>"0,8004"</f>
        <v>0,8004</v>
      </c>
      <c r="F15" s="27" t="s">
        <v>22</v>
      </c>
      <c r="G15" s="27" t="s">
        <v>648</v>
      </c>
      <c r="H15" s="58" t="s">
        <v>152</v>
      </c>
      <c r="I15" s="60" t="s">
        <v>153</v>
      </c>
      <c r="J15" s="58" t="s">
        <v>153</v>
      </c>
      <c r="K15" s="54"/>
      <c r="L15" s="55">
        <v>87.5</v>
      </c>
      <c r="M15" s="55" t="str">
        <f>"70,0350"</f>
        <v>70,0350</v>
      </c>
      <c r="N15" s="27" t="s">
        <v>47</v>
      </c>
    </row>
    <row r="16" spans="1:14" ht="12.75">
      <c r="A16" s="49">
        <v>1</v>
      </c>
      <c r="B16" s="28" t="s">
        <v>393</v>
      </c>
      <c r="C16" s="28" t="s">
        <v>155</v>
      </c>
      <c r="D16" s="28" t="s">
        <v>156</v>
      </c>
      <c r="E16" s="28" t="str">
        <f>"0,7794"</f>
        <v>0,7794</v>
      </c>
      <c r="F16" s="28" t="s">
        <v>22</v>
      </c>
      <c r="G16" s="28" t="s">
        <v>157</v>
      </c>
      <c r="H16" s="59" t="s">
        <v>17</v>
      </c>
      <c r="I16" s="59" t="s">
        <v>158</v>
      </c>
      <c r="J16" s="61" t="s">
        <v>66</v>
      </c>
      <c r="K16" s="56"/>
      <c r="L16" s="57">
        <v>112.5</v>
      </c>
      <c r="M16" s="57" t="str">
        <f>"87,6825"</f>
        <v>87,6825</v>
      </c>
      <c r="N16" s="28" t="s">
        <v>47</v>
      </c>
    </row>
    <row r="18" spans="2:13" ht="15.75">
      <c r="B18" s="108" t="s">
        <v>139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4" ht="12.75">
      <c r="A19" s="48">
        <v>1</v>
      </c>
      <c r="B19" s="27" t="s">
        <v>429</v>
      </c>
      <c r="C19" s="27" t="s">
        <v>159</v>
      </c>
      <c r="D19" s="27" t="s">
        <v>160</v>
      </c>
      <c r="E19" s="27" t="str">
        <f>"0,7406"</f>
        <v>0,7406</v>
      </c>
      <c r="F19" s="27" t="s">
        <v>22</v>
      </c>
      <c r="G19" s="27" t="s">
        <v>157</v>
      </c>
      <c r="H19" s="58" t="s">
        <v>66</v>
      </c>
      <c r="I19" s="60" t="s">
        <v>34</v>
      </c>
      <c r="J19" s="60" t="s">
        <v>34</v>
      </c>
      <c r="K19" s="54"/>
      <c r="L19" s="55" t="s">
        <v>66</v>
      </c>
      <c r="M19" s="55" t="str">
        <f>"85,1690"</f>
        <v>85,1690</v>
      </c>
      <c r="N19" s="27" t="s">
        <v>445</v>
      </c>
    </row>
    <row r="20" spans="1:14" ht="12.75">
      <c r="A20" s="49">
        <v>1</v>
      </c>
      <c r="B20" s="28" t="s">
        <v>161</v>
      </c>
      <c r="C20" s="28" t="s">
        <v>162</v>
      </c>
      <c r="D20" s="28" t="s">
        <v>163</v>
      </c>
      <c r="E20" s="28" t="str">
        <f>"0,7152"</f>
        <v>0,7152</v>
      </c>
      <c r="F20" s="28" t="s">
        <v>22</v>
      </c>
      <c r="G20" s="28" t="s">
        <v>389</v>
      </c>
      <c r="H20" s="59" t="s">
        <v>34</v>
      </c>
      <c r="I20" s="59" t="s">
        <v>36</v>
      </c>
      <c r="J20" s="59" t="s">
        <v>164</v>
      </c>
      <c r="K20" s="56"/>
      <c r="L20" s="57" t="s">
        <v>164</v>
      </c>
      <c r="M20" s="57" t="str">
        <f>"96,5520"</f>
        <v>96,5520</v>
      </c>
      <c r="N20" s="28" t="s">
        <v>446</v>
      </c>
    </row>
    <row r="22" spans="2:13" ht="15.75">
      <c r="B22" s="108" t="s">
        <v>19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4" ht="12.75">
      <c r="A23" s="40">
        <v>1</v>
      </c>
      <c r="B23" s="25" t="s">
        <v>165</v>
      </c>
      <c r="C23" s="25" t="s">
        <v>166</v>
      </c>
      <c r="D23" s="25" t="s">
        <v>167</v>
      </c>
      <c r="E23" s="25" t="str">
        <f>"0,6843"</f>
        <v>0,6843</v>
      </c>
      <c r="F23" s="25" t="s">
        <v>22</v>
      </c>
      <c r="G23" s="25" t="s">
        <v>389</v>
      </c>
      <c r="H23" s="73" t="s">
        <v>36</v>
      </c>
      <c r="I23" s="45" t="s">
        <v>36</v>
      </c>
      <c r="J23" s="73" t="s">
        <v>30</v>
      </c>
      <c r="K23" s="44"/>
      <c r="L23" s="43" t="s">
        <v>36</v>
      </c>
      <c r="M23" s="43" t="str">
        <f>"88,9590"</f>
        <v>88,9590</v>
      </c>
      <c r="N23" s="25" t="s">
        <v>47</v>
      </c>
    </row>
    <row r="25" spans="2:13" ht="15.75">
      <c r="B25" s="108" t="s">
        <v>37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4" ht="12.75">
      <c r="A26" s="48">
        <v>1</v>
      </c>
      <c r="B26" s="27" t="s">
        <v>430</v>
      </c>
      <c r="C26" s="27" t="s">
        <v>168</v>
      </c>
      <c r="D26" s="27" t="s">
        <v>169</v>
      </c>
      <c r="E26" s="27" t="str">
        <f>"0,6503"</f>
        <v>0,6503</v>
      </c>
      <c r="F26" s="27" t="s">
        <v>22</v>
      </c>
      <c r="G26" s="27" t="s">
        <v>170</v>
      </c>
      <c r="H26" s="58" t="s">
        <v>171</v>
      </c>
      <c r="I26" s="58" t="s">
        <v>172</v>
      </c>
      <c r="J26" s="58" t="s">
        <v>23</v>
      </c>
      <c r="K26" s="54"/>
      <c r="L26" s="55" t="s">
        <v>23</v>
      </c>
      <c r="M26" s="55" t="str">
        <f>"100,7965"</f>
        <v>100,7965</v>
      </c>
      <c r="N26" s="27" t="s">
        <v>47</v>
      </c>
    </row>
    <row r="27" spans="1:14" ht="12.75">
      <c r="A27" s="63">
        <v>2</v>
      </c>
      <c r="B27" s="29" t="s">
        <v>431</v>
      </c>
      <c r="C27" s="29" t="s">
        <v>174</v>
      </c>
      <c r="D27" s="29" t="s">
        <v>175</v>
      </c>
      <c r="E27" s="29" t="str">
        <f>"0,6391"</f>
        <v>0,6391</v>
      </c>
      <c r="F27" s="29" t="s">
        <v>22</v>
      </c>
      <c r="G27" s="29" t="s">
        <v>398</v>
      </c>
      <c r="H27" s="70" t="s">
        <v>30</v>
      </c>
      <c r="I27" s="70" t="s">
        <v>46</v>
      </c>
      <c r="J27" s="79" t="s">
        <v>172</v>
      </c>
      <c r="K27" s="69"/>
      <c r="L27" s="68" t="s">
        <v>46</v>
      </c>
      <c r="M27" s="68" t="str">
        <f>"95,8650"</f>
        <v>95,8650</v>
      </c>
      <c r="N27" s="29" t="s">
        <v>47</v>
      </c>
    </row>
    <row r="28" spans="1:14" ht="12.75">
      <c r="A28" s="63">
        <v>3</v>
      </c>
      <c r="B28" s="29" t="s">
        <v>432</v>
      </c>
      <c r="C28" s="29" t="s">
        <v>176</v>
      </c>
      <c r="D28" s="29" t="s">
        <v>177</v>
      </c>
      <c r="E28" s="29" t="str">
        <f>"0,6455"</f>
        <v>0,6455</v>
      </c>
      <c r="F28" s="29" t="s">
        <v>22</v>
      </c>
      <c r="G28" s="29" t="s">
        <v>389</v>
      </c>
      <c r="H28" s="70" t="s">
        <v>178</v>
      </c>
      <c r="I28" s="70" t="s">
        <v>164</v>
      </c>
      <c r="J28" s="70" t="s">
        <v>179</v>
      </c>
      <c r="K28" s="69"/>
      <c r="L28" s="68">
        <v>137.5</v>
      </c>
      <c r="M28" s="68" t="str">
        <f>"88,7563"</f>
        <v>88,7563</v>
      </c>
      <c r="N28" s="29" t="s">
        <v>447</v>
      </c>
    </row>
    <row r="29" spans="1:14" ht="12.75">
      <c r="A29" s="63">
        <v>4</v>
      </c>
      <c r="B29" s="29" t="s">
        <v>181</v>
      </c>
      <c r="C29" s="29" t="s">
        <v>182</v>
      </c>
      <c r="D29" s="29" t="s">
        <v>183</v>
      </c>
      <c r="E29" s="29" t="str">
        <f>"0,6428"</f>
        <v>0,6428</v>
      </c>
      <c r="F29" s="29" t="s">
        <v>22</v>
      </c>
      <c r="G29" s="29" t="s">
        <v>389</v>
      </c>
      <c r="H29" s="70" t="s">
        <v>164</v>
      </c>
      <c r="I29" s="79" t="s">
        <v>172</v>
      </c>
      <c r="J29" s="79" t="s">
        <v>172</v>
      </c>
      <c r="K29" s="69"/>
      <c r="L29" s="68" t="s">
        <v>164</v>
      </c>
      <c r="M29" s="68" t="str">
        <f>"86,7780"</f>
        <v>86,7780</v>
      </c>
      <c r="N29" s="29" t="s">
        <v>47</v>
      </c>
    </row>
    <row r="30" spans="1:14" ht="12.75">
      <c r="A30" s="63">
        <v>5</v>
      </c>
      <c r="B30" s="29" t="s">
        <v>184</v>
      </c>
      <c r="C30" s="29" t="s">
        <v>185</v>
      </c>
      <c r="D30" s="29" t="s">
        <v>186</v>
      </c>
      <c r="E30" s="29" t="str">
        <f>"0,6413"</f>
        <v>0,6413</v>
      </c>
      <c r="F30" s="29" t="s">
        <v>22</v>
      </c>
      <c r="G30" s="29" t="s">
        <v>389</v>
      </c>
      <c r="H30" s="70" t="s">
        <v>187</v>
      </c>
      <c r="I30" s="79" t="s">
        <v>178</v>
      </c>
      <c r="J30" s="79" t="s">
        <v>178</v>
      </c>
      <c r="K30" s="69"/>
      <c r="L30" s="68">
        <v>127.5</v>
      </c>
      <c r="M30" s="68" t="str">
        <f>"81,7658"</f>
        <v>81,7658</v>
      </c>
      <c r="N30" s="29" t="s">
        <v>47</v>
      </c>
    </row>
    <row r="31" spans="1:14" ht="12.75">
      <c r="A31" s="63">
        <v>6</v>
      </c>
      <c r="B31" s="29" t="s">
        <v>433</v>
      </c>
      <c r="C31" s="29" t="s">
        <v>188</v>
      </c>
      <c r="D31" s="29" t="s">
        <v>189</v>
      </c>
      <c r="E31" s="29" t="str">
        <f>"0,6421"</f>
        <v>0,6421</v>
      </c>
      <c r="F31" s="29" t="s">
        <v>22</v>
      </c>
      <c r="G31" s="29" t="s">
        <v>33</v>
      </c>
      <c r="H31" s="70" t="s">
        <v>34</v>
      </c>
      <c r="I31" s="70" t="s">
        <v>35</v>
      </c>
      <c r="J31" s="79" t="s">
        <v>187</v>
      </c>
      <c r="K31" s="69"/>
      <c r="L31" s="68" t="s">
        <v>35</v>
      </c>
      <c r="M31" s="68" t="str">
        <f>"80,2625"</f>
        <v>80,2625</v>
      </c>
      <c r="N31" s="29" t="s">
        <v>448</v>
      </c>
    </row>
    <row r="32" spans="1:14" ht="12.75">
      <c r="A32" s="63">
        <v>1</v>
      </c>
      <c r="B32" s="29" t="s">
        <v>434</v>
      </c>
      <c r="C32" s="29" t="s">
        <v>190</v>
      </c>
      <c r="D32" s="29" t="s">
        <v>169</v>
      </c>
      <c r="E32" s="29" t="str">
        <f>"0,6503"</f>
        <v>0,6503</v>
      </c>
      <c r="F32" s="29" t="s">
        <v>22</v>
      </c>
      <c r="G32" s="29" t="s">
        <v>398</v>
      </c>
      <c r="H32" s="79" t="s">
        <v>34</v>
      </c>
      <c r="I32" s="70" t="s">
        <v>187</v>
      </c>
      <c r="J32" s="70" t="s">
        <v>178</v>
      </c>
      <c r="K32" s="69"/>
      <c r="L32" s="68">
        <v>132.5</v>
      </c>
      <c r="M32" s="68" t="str">
        <f>"97,5385"</f>
        <v>97,5385</v>
      </c>
      <c r="N32" s="29" t="s">
        <v>47</v>
      </c>
    </row>
    <row r="33" spans="1:14" ht="12.75">
      <c r="A33" s="49">
        <v>1</v>
      </c>
      <c r="B33" s="28" t="s">
        <v>435</v>
      </c>
      <c r="C33" s="28" t="s">
        <v>191</v>
      </c>
      <c r="D33" s="28" t="s">
        <v>192</v>
      </c>
      <c r="E33" s="28" t="str">
        <f>"0,6475"</f>
        <v>0,6475</v>
      </c>
      <c r="F33" s="28" t="s">
        <v>22</v>
      </c>
      <c r="G33" s="28" t="s">
        <v>389</v>
      </c>
      <c r="H33" s="59" t="s">
        <v>36</v>
      </c>
      <c r="I33" s="59" t="s">
        <v>164</v>
      </c>
      <c r="J33" s="61" t="s">
        <v>29</v>
      </c>
      <c r="K33" s="56"/>
      <c r="L33" s="57" t="s">
        <v>164</v>
      </c>
      <c r="M33" s="57" t="str">
        <f>"109,2656"</f>
        <v>109,2656</v>
      </c>
      <c r="N33" s="28" t="s">
        <v>449</v>
      </c>
    </row>
    <row r="35" spans="2:13" ht="15.75">
      <c r="B35" s="108" t="s">
        <v>48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4" ht="12.75">
      <c r="A36" s="48">
        <v>1</v>
      </c>
      <c r="B36" s="27" t="s">
        <v>436</v>
      </c>
      <c r="C36" s="27" t="s">
        <v>193</v>
      </c>
      <c r="D36" s="27" t="s">
        <v>60</v>
      </c>
      <c r="E36" s="27" t="str">
        <f>"0,6254"</f>
        <v>0,6254</v>
      </c>
      <c r="F36" s="27" t="s">
        <v>22</v>
      </c>
      <c r="G36" s="27" t="s">
        <v>194</v>
      </c>
      <c r="H36" s="60" t="s">
        <v>164</v>
      </c>
      <c r="I36" s="58" t="s">
        <v>164</v>
      </c>
      <c r="J36" s="58" t="s">
        <v>195</v>
      </c>
      <c r="K36" s="54"/>
      <c r="L36" s="55">
        <v>142.5</v>
      </c>
      <c r="M36" s="55" t="str">
        <f>"89,1195"</f>
        <v>89,1195</v>
      </c>
      <c r="N36" s="27" t="s">
        <v>450</v>
      </c>
    </row>
    <row r="37" spans="1:14" ht="12.75">
      <c r="A37" s="63">
        <v>1</v>
      </c>
      <c r="B37" s="29" t="s">
        <v>196</v>
      </c>
      <c r="C37" s="29" t="s">
        <v>197</v>
      </c>
      <c r="D37" s="29" t="s">
        <v>198</v>
      </c>
      <c r="E37" s="29" t="str">
        <f>"0,6285"</f>
        <v>0,6285</v>
      </c>
      <c r="F37" s="29" t="s">
        <v>22</v>
      </c>
      <c r="G37" s="29" t="s">
        <v>389</v>
      </c>
      <c r="H37" s="70" t="s">
        <v>46</v>
      </c>
      <c r="I37" s="79" t="s">
        <v>24</v>
      </c>
      <c r="J37" s="70" t="s">
        <v>24</v>
      </c>
      <c r="K37" s="69"/>
      <c r="L37" s="68" t="s">
        <v>24</v>
      </c>
      <c r="M37" s="68" t="str">
        <f>"100,5600"</f>
        <v>100,5600</v>
      </c>
      <c r="N37" s="29" t="s">
        <v>451</v>
      </c>
    </row>
    <row r="38" spans="1:14" ht="12.75">
      <c r="A38" s="63">
        <v>2</v>
      </c>
      <c r="B38" s="29" t="s">
        <v>437</v>
      </c>
      <c r="C38" s="29" t="s">
        <v>200</v>
      </c>
      <c r="D38" s="29" t="s">
        <v>201</v>
      </c>
      <c r="E38" s="29" t="str">
        <f>"0,6269"</f>
        <v>0,6269</v>
      </c>
      <c r="F38" s="29" t="s">
        <v>22</v>
      </c>
      <c r="G38" s="29" t="s">
        <v>157</v>
      </c>
      <c r="H38" s="70" t="s">
        <v>29</v>
      </c>
      <c r="I38" s="70" t="s">
        <v>46</v>
      </c>
      <c r="J38" s="79" t="s">
        <v>77</v>
      </c>
      <c r="K38" s="69"/>
      <c r="L38" s="68" t="s">
        <v>46</v>
      </c>
      <c r="M38" s="68" t="str">
        <f>"94,0350"</f>
        <v>94,0350</v>
      </c>
      <c r="N38" s="29" t="s">
        <v>47</v>
      </c>
    </row>
    <row r="39" spans="1:14" ht="12.75">
      <c r="A39" s="63">
        <v>3</v>
      </c>
      <c r="B39" s="29" t="s">
        <v>438</v>
      </c>
      <c r="C39" s="29" t="s">
        <v>203</v>
      </c>
      <c r="D39" s="29" t="s">
        <v>204</v>
      </c>
      <c r="E39" s="29" t="str">
        <f>"0,6142"</f>
        <v>0,6142</v>
      </c>
      <c r="F39" s="29" t="s">
        <v>22</v>
      </c>
      <c r="G39" s="29" t="s">
        <v>389</v>
      </c>
      <c r="H39" s="70" t="s">
        <v>164</v>
      </c>
      <c r="I39" s="79" t="s">
        <v>195</v>
      </c>
      <c r="J39" s="79" t="s">
        <v>195</v>
      </c>
      <c r="K39" s="69"/>
      <c r="L39" s="68" t="s">
        <v>164</v>
      </c>
      <c r="M39" s="68" t="str">
        <f>"82,9170"</f>
        <v>82,9170</v>
      </c>
      <c r="N39" s="29" t="s">
        <v>452</v>
      </c>
    </row>
    <row r="40" spans="1:14" ht="12.75">
      <c r="A40" s="63">
        <v>1</v>
      </c>
      <c r="B40" s="29" t="s">
        <v>439</v>
      </c>
      <c r="C40" s="29" t="s">
        <v>206</v>
      </c>
      <c r="D40" s="29" t="s">
        <v>207</v>
      </c>
      <c r="E40" s="29" t="str">
        <f>"0,6129"</f>
        <v>0,6129</v>
      </c>
      <c r="F40" s="29" t="s">
        <v>22</v>
      </c>
      <c r="G40" s="29" t="s">
        <v>443</v>
      </c>
      <c r="H40" s="70" t="s">
        <v>164</v>
      </c>
      <c r="I40" s="70" t="s">
        <v>29</v>
      </c>
      <c r="J40" s="82" t="s">
        <v>30</v>
      </c>
      <c r="K40" s="69"/>
      <c r="L40" s="68" t="s">
        <v>30</v>
      </c>
      <c r="M40" s="68" t="str">
        <f>"89,3149"</f>
        <v>89,3149</v>
      </c>
      <c r="N40" s="29" t="s">
        <v>453</v>
      </c>
    </row>
    <row r="41" spans="1:14" ht="12.75">
      <c r="A41" s="49">
        <v>2</v>
      </c>
      <c r="B41" s="28" t="s">
        <v>199</v>
      </c>
      <c r="C41" s="28" t="s">
        <v>208</v>
      </c>
      <c r="D41" s="28" t="s">
        <v>209</v>
      </c>
      <c r="E41" s="28" t="str">
        <f>"0,6155"</f>
        <v>0,6155</v>
      </c>
      <c r="F41" s="28" t="s">
        <v>22</v>
      </c>
      <c r="G41" s="28" t="s">
        <v>398</v>
      </c>
      <c r="H41" s="59" t="s">
        <v>187</v>
      </c>
      <c r="I41" s="59" t="s">
        <v>178</v>
      </c>
      <c r="J41" s="59" t="s">
        <v>179</v>
      </c>
      <c r="K41" s="56"/>
      <c r="L41" s="57">
        <v>137.5</v>
      </c>
      <c r="M41" s="57" t="str">
        <f>"87,0009"</f>
        <v>87,0009</v>
      </c>
      <c r="N41" s="28" t="s">
        <v>47</v>
      </c>
    </row>
    <row r="43" spans="2:13" ht="15.75">
      <c r="B43" s="108" t="s">
        <v>80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4" ht="12.75">
      <c r="A44" s="48">
        <v>1</v>
      </c>
      <c r="B44" s="27" t="s">
        <v>210</v>
      </c>
      <c r="C44" s="27" t="s">
        <v>211</v>
      </c>
      <c r="D44" s="27" t="s">
        <v>212</v>
      </c>
      <c r="E44" s="27" t="str">
        <f>"0,5888"</f>
        <v>0,5888</v>
      </c>
      <c r="F44" s="27" t="s">
        <v>22</v>
      </c>
      <c r="G44" s="27" t="s">
        <v>194</v>
      </c>
      <c r="H44" s="58" t="s">
        <v>41</v>
      </c>
      <c r="I44" s="58" t="s">
        <v>57</v>
      </c>
      <c r="J44" s="60" t="s">
        <v>52</v>
      </c>
      <c r="K44" s="54"/>
      <c r="L44" s="55" t="s">
        <v>57</v>
      </c>
      <c r="M44" s="55" t="str">
        <f>"108,9280"</f>
        <v>108,9280</v>
      </c>
      <c r="N44" s="27" t="s">
        <v>454</v>
      </c>
    </row>
    <row r="45" spans="1:14" ht="12.75">
      <c r="A45" s="63">
        <v>2</v>
      </c>
      <c r="B45" s="29" t="s">
        <v>180</v>
      </c>
      <c r="C45" s="29" t="s">
        <v>213</v>
      </c>
      <c r="D45" s="29" t="s">
        <v>214</v>
      </c>
      <c r="E45" s="29" t="str">
        <f>"0,5919"</f>
        <v>0,5919</v>
      </c>
      <c r="F45" s="29" t="s">
        <v>22</v>
      </c>
      <c r="G45" s="29" t="s">
        <v>389</v>
      </c>
      <c r="H45" s="70" t="s">
        <v>61</v>
      </c>
      <c r="I45" s="79" t="s">
        <v>78</v>
      </c>
      <c r="J45" s="69"/>
      <c r="K45" s="69"/>
      <c r="L45" s="68" t="s">
        <v>61</v>
      </c>
      <c r="M45" s="68" t="str">
        <f>"97,6635"</f>
        <v>97,6635</v>
      </c>
      <c r="N45" s="29" t="s">
        <v>47</v>
      </c>
    </row>
    <row r="46" spans="1:14" ht="12.75">
      <c r="A46" s="63">
        <v>3</v>
      </c>
      <c r="B46" s="29" t="s">
        <v>215</v>
      </c>
      <c r="C46" s="29" t="s">
        <v>216</v>
      </c>
      <c r="D46" s="29" t="s">
        <v>217</v>
      </c>
      <c r="E46" s="29" t="str">
        <f>"0,5917"</f>
        <v>0,5917</v>
      </c>
      <c r="F46" s="29" t="s">
        <v>218</v>
      </c>
      <c r="G46" s="29" t="s">
        <v>389</v>
      </c>
      <c r="H46" s="70" t="s">
        <v>46</v>
      </c>
      <c r="I46" s="70" t="s">
        <v>23</v>
      </c>
      <c r="J46" s="70" t="s">
        <v>219</v>
      </c>
      <c r="K46" s="69"/>
      <c r="L46" s="68">
        <v>157.5</v>
      </c>
      <c r="M46" s="68" t="str">
        <f>"93,1928"</f>
        <v>93,1928</v>
      </c>
      <c r="N46" s="29" t="s">
        <v>220</v>
      </c>
    </row>
    <row r="47" spans="1:14" ht="12.75">
      <c r="A47" s="49">
        <v>1</v>
      </c>
      <c r="B47" s="28" t="s">
        <v>221</v>
      </c>
      <c r="C47" s="28" t="s">
        <v>222</v>
      </c>
      <c r="D47" s="28" t="s">
        <v>223</v>
      </c>
      <c r="E47" s="28" t="str">
        <f>"0,5892"</f>
        <v>0,5892</v>
      </c>
      <c r="F47" s="28" t="s">
        <v>22</v>
      </c>
      <c r="G47" s="28" t="s">
        <v>224</v>
      </c>
      <c r="H47" s="59" t="s">
        <v>84</v>
      </c>
      <c r="I47" s="59" t="s">
        <v>85</v>
      </c>
      <c r="J47" s="59" t="s">
        <v>103</v>
      </c>
      <c r="K47" s="56"/>
      <c r="L47" s="57">
        <v>187.5</v>
      </c>
      <c r="M47" s="57" t="str">
        <f>"112,0217"</f>
        <v>112,0217</v>
      </c>
      <c r="N47" s="28" t="s">
        <v>47</v>
      </c>
    </row>
    <row r="49" spans="2:13" ht="15.75">
      <c r="B49" s="108" t="s">
        <v>108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4" ht="12.75">
      <c r="A50" s="40">
        <v>1</v>
      </c>
      <c r="B50" s="25" t="s">
        <v>440</v>
      </c>
      <c r="C50" s="25" t="s">
        <v>226</v>
      </c>
      <c r="D50" s="25" t="s">
        <v>227</v>
      </c>
      <c r="E50" s="25" t="str">
        <f>"0,5748"</f>
        <v>0,5748</v>
      </c>
      <c r="F50" s="25" t="s">
        <v>22</v>
      </c>
      <c r="G50" s="25" t="s">
        <v>389</v>
      </c>
      <c r="H50" s="45" t="s">
        <v>90</v>
      </c>
      <c r="I50" s="73" t="s">
        <v>228</v>
      </c>
      <c r="J50" s="73" t="s">
        <v>228</v>
      </c>
      <c r="K50" s="44"/>
      <c r="L50" s="43" t="s">
        <v>90</v>
      </c>
      <c r="M50" s="43" t="str">
        <f>"114,9600"</f>
        <v>114,9600</v>
      </c>
      <c r="N50" s="25" t="s">
        <v>229</v>
      </c>
    </row>
    <row r="52" spans="2:3" ht="18">
      <c r="B52" s="31" t="s">
        <v>118</v>
      </c>
      <c r="C52" s="31"/>
    </row>
    <row r="53" spans="2:3" ht="18">
      <c r="B53" s="32" t="s">
        <v>649</v>
      </c>
      <c r="C53" s="31"/>
    </row>
    <row r="54" spans="2:3" ht="13.5">
      <c r="B54" s="34"/>
      <c r="C54" s="35" t="s">
        <v>640</v>
      </c>
    </row>
    <row r="55" spans="2:6" ht="13.5">
      <c r="B55" s="36" t="s">
        <v>121</v>
      </c>
      <c r="C55" s="36" t="s">
        <v>122</v>
      </c>
      <c r="D55" s="36" t="s">
        <v>123</v>
      </c>
      <c r="E55" s="36" t="s">
        <v>124</v>
      </c>
      <c r="F55" s="36" t="s">
        <v>125</v>
      </c>
    </row>
    <row r="56" spans="1:6" ht="12.75">
      <c r="A56">
        <v>1</v>
      </c>
      <c r="B56" s="33" t="s">
        <v>225</v>
      </c>
      <c r="C56" s="24" t="s">
        <v>127</v>
      </c>
      <c r="D56" s="24" t="s">
        <v>130</v>
      </c>
      <c r="E56" s="24" t="s">
        <v>90</v>
      </c>
      <c r="F56" s="37" t="s">
        <v>230</v>
      </c>
    </row>
    <row r="57" spans="1:6" ht="12.75">
      <c r="A57">
        <v>2</v>
      </c>
      <c r="B57" s="33" t="s">
        <v>221</v>
      </c>
      <c r="C57" s="24" t="s">
        <v>127</v>
      </c>
      <c r="D57" s="24" t="s">
        <v>126</v>
      </c>
      <c r="E57" s="24" t="s">
        <v>103</v>
      </c>
      <c r="F57" s="37" t="s">
        <v>231</v>
      </c>
    </row>
    <row r="58" spans="1:6" ht="12.75">
      <c r="A58">
        <v>3</v>
      </c>
      <c r="B58" s="33" t="s">
        <v>210</v>
      </c>
      <c r="C58" s="24" t="s">
        <v>127</v>
      </c>
      <c r="D58" s="24" t="s">
        <v>126</v>
      </c>
      <c r="E58" s="24" t="s">
        <v>57</v>
      </c>
      <c r="F58" s="37" t="s">
        <v>232</v>
      </c>
    </row>
  </sheetData>
  <sheetProtection/>
  <mergeCells count="22">
    <mergeCell ref="F3:F4"/>
    <mergeCell ref="G3:G4"/>
    <mergeCell ref="H3:K3"/>
    <mergeCell ref="L3:L4"/>
    <mergeCell ref="N3:N4"/>
    <mergeCell ref="A3:A4"/>
    <mergeCell ref="B35:M35"/>
    <mergeCell ref="B43:M43"/>
    <mergeCell ref="M3:M4"/>
    <mergeCell ref="B5:M5"/>
    <mergeCell ref="B1:N2"/>
    <mergeCell ref="B3:B4"/>
    <mergeCell ref="C3:C4"/>
    <mergeCell ref="D3:D4"/>
    <mergeCell ref="E3:E4"/>
    <mergeCell ref="B8:M8"/>
    <mergeCell ref="B11:M11"/>
    <mergeCell ref="B49:M49"/>
    <mergeCell ref="B14:M14"/>
    <mergeCell ref="B18:M18"/>
    <mergeCell ref="B22:M22"/>
    <mergeCell ref="B25:M25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1">
      <selection activeCell="B41" sqref="B41"/>
    </sheetView>
  </sheetViews>
  <sheetFormatPr defaultColWidth="9.125" defaultRowHeight="12.75"/>
  <cols>
    <col min="1" max="1" width="9.125" style="1" customWidth="1"/>
    <col min="2" max="2" width="22.25390625" style="4" customWidth="1"/>
    <col min="3" max="3" width="26.875" style="1" bestFit="1" customWidth="1"/>
    <col min="4" max="4" width="10.625" style="1" bestFit="1" customWidth="1"/>
    <col min="5" max="5" width="8.375" style="1" bestFit="1" customWidth="1"/>
    <col min="6" max="6" width="11.75390625" style="5" customWidth="1"/>
    <col min="7" max="7" width="35.875" style="5" customWidth="1"/>
    <col min="8" max="10" width="5.625" style="1" bestFit="1" customWidth="1"/>
    <col min="11" max="11" width="4.625" style="1" bestFit="1" customWidth="1"/>
    <col min="12" max="12" width="11.375" style="4" customWidth="1"/>
    <col min="13" max="13" width="8.625" style="1" bestFit="1" customWidth="1"/>
    <col min="14" max="14" width="15.75390625" style="5" bestFit="1" customWidth="1"/>
    <col min="15" max="16384" width="9.125" style="1" customWidth="1"/>
  </cols>
  <sheetData>
    <row r="1" spans="2:14" ht="15" customHeight="1">
      <c r="B1" s="109" t="s">
        <v>646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2:14" ht="93.7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2</v>
      </c>
      <c r="I3" s="114"/>
      <c r="J3" s="114"/>
      <c r="K3" s="114"/>
      <c r="L3" s="114" t="s">
        <v>384</v>
      </c>
      <c r="M3" s="114" t="s">
        <v>6</v>
      </c>
      <c r="N3" s="121" t="s">
        <v>5</v>
      </c>
    </row>
    <row r="4" spans="1:14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115"/>
      <c r="M4" s="115"/>
      <c r="N4" s="122"/>
    </row>
    <row r="5" spans="2:13" ht="15.75">
      <c r="B5" s="131" t="s">
        <v>11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>
      <c r="A6" s="83" t="s">
        <v>456</v>
      </c>
      <c r="B6" s="8" t="s">
        <v>466</v>
      </c>
      <c r="C6" s="7" t="s">
        <v>12</v>
      </c>
      <c r="D6" s="7" t="s">
        <v>13</v>
      </c>
      <c r="E6" s="7" t="str">
        <f>"0,8133"</f>
        <v>0,8133</v>
      </c>
      <c r="F6" s="8" t="s">
        <v>14</v>
      </c>
      <c r="G6" s="25" t="s">
        <v>389</v>
      </c>
      <c r="H6" s="95" t="s">
        <v>16</v>
      </c>
      <c r="I6" s="45" t="s">
        <v>16</v>
      </c>
      <c r="J6" s="45" t="s">
        <v>17</v>
      </c>
      <c r="K6" s="92"/>
      <c r="L6" s="83" t="s">
        <v>17</v>
      </c>
      <c r="M6" s="83" t="str">
        <f>"89,4630"</f>
        <v>89,4630</v>
      </c>
      <c r="N6" s="8" t="s">
        <v>18</v>
      </c>
    </row>
    <row r="8" spans="2:13" ht="15.75">
      <c r="B8" s="130" t="s">
        <v>19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4" ht="12.75">
      <c r="A9" s="84" t="s">
        <v>456</v>
      </c>
      <c r="B9" s="11" t="s">
        <v>467</v>
      </c>
      <c r="C9" s="10" t="s">
        <v>20</v>
      </c>
      <c r="D9" s="10" t="s">
        <v>21</v>
      </c>
      <c r="E9" s="10" t="str">
        <f>"0,6729"</f>
        <v>0,6729</v>
      </c>
      <c r="F9" s="11" t="s">
        <v>22</v>
      </c>
      <c r="G9" s="11" t="s">
        <v>408</v>
      </c>
      <c r="H9" s="58" t="s">
        <v>23</v>
      </c>
      <c r="I9" s="97" t="s">
        <v>24</v>
      </c>
      <c r="J9" s="58" t="s">
        <v>24</v>
      </c>
      <c r="K9" s="93"/>
      <c r="L9" s="84" t="s">
        <v>24</v>
      </c>
      <c r="M9" s="84" t="str">
        <f>"107,6640"</f>
        <v>107,6640</v>
      </c>
      <c r="N9" s="11" t="s">
        <v>463</v>
      </c>
    </row>
    <row r="10" spans="1:14" ht="12.75">
      <c r="A10" s="85" t="s">
        <v>457</v>
      </c>
      <c r="B10" s="14" t="s">
        <v>468</v>
      </c>
      <c r="C10" s="13" t="s">
        <v>26</v>
      </c>
      <c r="D10" s="13" t="s">
        <v>27</v>
      </c>
      <c r="E10" s="13" t="str">
        <f>"0,6719"</f>
        <v>0,6719</v>
      </c>
      <c r="F10" s="14" t="s">
        <v>22</v>
      </c>
      <c r="G10" s="14" t="s">
        <v>28</v>
      </c>
      <c r="H10" s="96" t="s">
        <v>29</v>
      </c>
      <c r="I10" s="70" t="s">
        <v>29</v>
      </c>
      <c r="J10" s="70" t="s">
        <v>30</v>
      </c>
      <c r="K10" s="71"/>
      <c r="L10" s="85" t="s">
        <v>30</v>
      </c>
      <c r="M10" s="85" t="str">
        <f>"97,4255"</f>
        <v>97,4255</v>
      </c>
      <c r="N10" s="14" t="s">
        <v>47</v>
      </c>
    </row>
    <row r="11" spans="1:14" ht="12.75">
      <c r="A11" s="86" t="s">
        <v>458</v>
      </c>
      <c r="B11" s="17" t="s">
        <v>469</v>
      </c>
      <c r="C11" s="16" t="s">
        <v>31</v>
      </c>
      <c r="D11" s="16" t="s">
        <v>32</v>
      </c>
      <c r="E11" s="16" t="str">
        <f>"0,6754"</f>
        <v>0,6754</v>
      </c>
      <c r="F11" s="17" t="s">
        <v>22</v>
      </c>
      <c r="G11" s="17" t="s">
        <v>33</v>
      </c>
      <c r="H11" s="59" t="s">
        <v>34</v>
      </c>
      <c r="I11" s="59" t="s">
        <v>35</v>
      </c>
      <c r="J11" s="59" t="s">
        <v>36</v>
      </c>
      <c r="K11" s="94"/>
      <c r="L11" s="86" t="s">
        <v>36</v>
      </c>
      <c r="M11" s="86" t="str">
        <f>"87,8020"</f>
        <v>87,8020</v>
      </c>
      <c r="N11" s="17" t="s">
        <v>47</v>
      </c>
    </row>
    <row r="13" spans="2:13" ht="15.75">
      <c r="B13" s="130" t="s">
        <v>37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4" ht="12.75">
      <c r="A14" s="84" t="s">
        <v>456</v>
      </c>
      <c r="B14" s="11" t="s">
        <v>470</v>
      </c>
      <c r="C14" s="10" t="s">
        <v>39</v>
      </c>
      <c r="D14" s="10" t="s">
        <v>40</v>
      </c>
      <c r="E14" s="10" t="str">
        <f>"0,6384"</f>
        <v>0,6384</v>
      </c>
      <c r="F14" s="11" t="s">
        <v>22</v>
      </c>
      <c r="G14" s="27" t="s">
        <v>389</v>
      </c>
      <c r="H14" s="58" t="s">
        <v>41</v>
      </c>
      <c r="I14" s="93"/>
      <c r="J14" s="93"/>
      <c r="K14" s="93"/>
      <c r="L14" s="84" t="s">
        <v>41</v>
      </c>
      <c r="M14" s="84" t="str">
        <f>"114,9120"</f>
        <v>114,9120</v>
      </c>
      <c r="N14" s="11" t="s">
        <v>47</v>
      </c>
    </row>
    <row r="15" spans="1:14" ht="12.75">
      <c r="A15" s="86" t="s">
        <v>456</v>
      </c>
      <c r="B15" s="17" t="s">
        <v>471</v>
      </c>
      <c r="C15" s="16" t="s">
        <v>43</v>
      </c>
      <c r="D15" s="16" t="s">
        <v>44</v>
      </c>
      <c r="E15" s="16" t="str">
        <f>"0,6447"</f>
        <v>0,6447</v>
      </c>
      <c r="F15" s="17" t="s">
        <v>45</v>
      </c>
      <c r="G15" s="28" t="s">
        <v>389</v>
      </c>
      <c r="H15" s="59" t="s">
        <v>46</v>
      </c>
      <c r="I15" s="98" t="s">
        <v>24</v>
      </c>
      <c r="J15" s="98" t="s">
        <v>24</v>
      </c>
      <c r="K15" s="94"/>
      <c r="L15" s="86" t="s">
        <v>46</v>
      </c>
      <c r="M15" s="86" t="str">
        <f>"99,4127"</f>
        <v>99,4127</v>
      </c>
      <c r="N15" s="17" t="s">
        <v>47</v>
      </c>
    </row>
    <row r="17" spans="2:13" ht="15.75">
      <c r="B17" s="130" t="s">
        <v>48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4" ht="12.75">
      <c r="A18" s="84" t="s">
        <v>456</v>
      </c>
      <c r="B18" s="89" t="s">
        <v>49</v>
      </c>
      <c r="C18" s="10" t="s">
        <v>50</v>
      </c>
      <c r="D18" s="10" t="s">
        <v>51</v>
      </c>
      <c r="E18" s="10" t="str">
        <f>"0,6298"</f>
        <v>0,6298</v>
      </c>
      <c r="F18" s="11" t="s">
        <v>22</v>
      </c>
      <c r="G18" s="11" t="s">
        <v>15</v>
      </c>
      <c r="H18" s="58" t="s">
        <v>41</v>
      </c>
      <c r="I18" s="58" t="s">
        <v>52</v>
      </c>
      <c r="J18" s="58" t="s">
        <v>53</v>
      </c>
      <c r="K18" s="93"/>
      <c r="L18" s="84" t="s">
        <v>53</v>
      </c>
      <c r="M18" s="84" t="str">
        <f>"122,8110"</f>
        <v>122,8110</v>
      </c>
      <c r="N18" s="11" t="s">
        <v>47</v>
      </c>
    </row>
    <row r="19" spans="1:14" ht="12.75">
      <c r="A19" s="85" t="s">
        <v>457</v>
      </c>
      <c r="B19" s="90" t="s">
        <v>54</v>
      </c>
      <c r="C19" s="13" t="s">
        <v>55</v>
      </c>
      <c r="D19" s="13" t="s">
        <v>56</v>
      </c>
      <c r="E19" s="13" t="str">
        <f>"0,6098"</f>
        <v>0,6098</v>
      </c>
      <c r="F19" s="14" t="s">
        <v>22</v>
      </c>
      <c r="G19" s="14" t="s">
        <v>33</v>
      </c>
      <c r="H19" s="70" t="s">
        <v>57</v>
      </c>
      <c r="I19" s="71"/>
      <c r="J19" s="71"/>
      <c r="K19" s="71"/>
      <c r="L19" s="85" t="s">
        <v>57</v>
      </c>
      <c r="M19" s="85" t="str">
        <f>"112,8130"</f>
        <v>112,8130</v>
      </c>
      <c r="N19" s="14" t="s">
        <v>47</v>
      </c>
    </row>
    <row r="20" spans="1:14" ht="12.75">
      <c r="A20" s="85" t="s">
        <v>458</v>
      </c>
      <c r="B20" s="14" t="s">
        <v>472</v>
      </c>
      <c r="C20" s="13" t="s">
        <v>59</v>
      </c>
      <c r="D20" s="13" t="s">
        <v>60</v>
      </c>
      <c r="E20" s="13" t="str">
        <f>"0,6254"</f>
        <v>0,6254</v>
      </c>
      <c r="F20" s="14" t="s">
        <v>22</v>
      </c>
      <c r="G20" s="29" t="s">
        <v>389</v>
      </c>
      <c r="H20" s="96" t="s">
        <v>23</v>
      </c>
      <c r="I20" s="96" t="s">
        <v>24</v>
      </c>
      <c r="J20" s="99" t="s">
        <v>61</v>
      </c>
      <c r="K20" s="71"/>
      <c r="L20" s="85" t="s">
        <v>61</v>
      </c>
      <c r="M20" s="85" t="str">
        <f>"103,1910"</f>
        <v>103,1910</v>
      </c>
      <c r="N20" s="14" t="s">
        <v>47</v>
      </c>
    </row>
    <row r="21" spans="1:14" ht="12.75">
      <c r="A21" s="85" t="s">
        <v>459</v>
      </c>
      <c r="B21" s="14" t="s">
        <v>62</v>
      </c>
      <c r="C21" s="13" t="s">
        <v>63</v>
      </c>
      <c r="D21" s="13" t="s">
        <v>64</v>
      </c>
      <c r="E21" s="13" t="str">
        <f>"0,6158"</f>
        <v>0,6158</v>
      </c>
      <c r="F21" s="14" t="s">
        <v>22</v>
      </c>
      <c r="G21" s="29" t="s">
        <v>389</v>
      </c>
      <c r="H21" s="70" t="s">
        <v>66</v>
      </c>
      <c r="I21" s="70" t="s">
        <v>34</v>
      </c>
      <c r="J21" s="96" t="s">
        <v>35</v>
      </c>
      <c r="K21" s="71"/>
      <c r="L21" s="85" t="s">
        <v>34</v>
      </c>
      <c r="M21" s="85" t="str">
        <f>"73,8960"</f>
        <v>73,8960</v>
      </c>
      <c r="N21" s="14" t="s">
        <v>67</v>
      </c>
    </row>
    <row r="22" spans="1:14" ht="12.75">
      <c r="A22" s="85" t="s">
        <v>460</v>
      </c>
      <c r="B22" s="90" t="s">
        <v>68</v>
      </c>
      <c r="C22" s="13" t="s">
        <v>69</v>
      </c>
      <c r="D22" s="13" t="s">
        <v>70</v>
      </c>
      <c r="E22" s="13" t="str">
        <f>"0,6123"</f>
        <v>0,6123</v>
      </c>
      <c r="F22" s="14" t="s">
        <v>22</v>
      </c>
      <c r="G22" s="29" t="s">
        <v>389</v>
      </c>
      <c r="H22" s="96" t="s">
        <v>41</v>
      </c>
      <c r="I22" s="96" t="s">
        <v>41</v>
      </c>
      <c r="J22" s="96" t="s">
        <v>57</v>
      </c>
      <c r="K22" s="71"/>
      <c r="L22" s="85" t="s">
        <v>406</v>
      </c>
      <c r="M22" s="85" t="s">
        <v>406</v>
      </c>
      <c r="N22" s="14" t="s">
        <v>47</v>
      </c>
    </row>
    <row r="23" spans="1:14" ht="12.75">
      <c r="A23" s="85" t="s">
        <v>456</v>
      </c>
      <c r="B23" s="14" t="s">
        <v>86</v>
      </c>
      <c r="C23" s="13" t="s">
        <v>71</v>
      </c>
      <c r="D23" s="13" t="s">
        <v>51</v>
      </c>
      <c r="E23" s="13" t="str">
        <f>"0,6298"</f>
        <v>0,6298</v>
      </c>
      <c r="F23" s="14" t="s">
        <v>45</v>
      </c>
      <c r="G23" s="29" t="s">
        <v>389</v>
      </c>
      <c r="H23" s="70" t="s">
        <v>41</v>
      </c>
      <c r="I23" s="70" t="s">
        <v>52</v>
      </c>
      <c r="J23" s="70" t="s">
        <v>53</v>
      </c>
      <c r="K23" s="71"/>
      <c r="L23" s="85" t="s">
        <v>53</v>
      </c>
      <c r="M23" s="85" t="str">
        <f>"122,8110"</f>
        <v>122,8110</v>
      </c>
      <c r="N23" s="14" t="s">
        <v>47</v>
      </c>
    </row>
    <row r="24" spans="1:14" ht="12.75">
      <c r="A24" s="85" t="s">
        <v>457</v>
      </c>
      <c r="B24" s="90" t="s">
        <v>54</v>
      </c>
      <c r="C24" s="13" t="s">
        <v>72</v>
      </c>
      <c r="D24" s="13" t="s">
        <v>56</v>
      </c>
      <c r="E24" s="13" t="str">
        <f>"0,6098"</f>
        <v>0,6098</v>
      </c>
      <c r="F24" s="14" t="s">
        <v>22</v>
      </c>
      <c r="G24" s="14" t="s">
        <v>33</v>
      </c>
      <c r="H24" s="70" t="s">
        <v>57</v>
      </c>
      <c r="I24" s="96" t="s">
        <v>52</v>
      </c>
      <c r="J24" s="71"/>
      <c r="K24" s="71"/>
      <c r="L24" s="85" t="s">
        <v>57</v>
      </c>
      <c r="M24" s="85" t="str">
        <f>"113,3771"</f>
        <v>113,3771</v>
      </c>
      <c r="N24" s="14" t="s">
        <v>47</v>
      </c>
    </row>
    <row r="25" spans="1:14" ht="12.75">
      <c r="A25" s="86" t="s">
        <v>456</v>
      </c>
      <c r="B25" s="17" t="s">
        <v>473</v>
      </c>
      <c r="C25" s="16" t="s">
        <v>74</v>
      </c>
      <c r="D25" s="16" t="s">
        <v>75</v>
      </c>
      <c r="E25" s="16" t="str">
        <f>"0,6108"</f>
        <v>0,6108</v>
      </c>
      <c r="F25" s="17" t="s">
        <v>22</v>
      </c>
      <c r="G25" s="17" t="s">
        <v>398</v>
      </c>
      <c r="H25" s="59" t="s">
        <v>23</v>
      </c>
      <c r="I25" s="59" t="s">
        <v>77</v>
      </c>
      <c r="J25" s="59" t="s">
        <v>78</v>
      </c>
      <c r="K25" s="94"/>
      <c r="L25" s="86" t="s">
        <v>462</v>
      </c>
      <c r="M25" s="86" t="str">
        <f>"115,8138"</f>
        <v>115,8138</v>
      </c>
      <c r="N25" s="17" t="s">
        <v>47</v>
      </c>
    </row>
    <row r="27" spans="2:13" ht="15.75">
      <c r="B27" s="130" t="s">
        <v>80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4" ht="12.75">
      <c r="A28" s="84" t="s">
        <v>456</v>
      </c>
      <c r="B28" s="11" t="s">
        <v>81</v>
      </c>
      <c r="C28" s="10" t="s">
        <v>82</v>
      </c>
      <c r="D28" s="10" t="s">
        <v>83</v>
      </c>
      <c r="E28" s="10" t="str">
        <f>"0,5976"</f>
        <v>0,5976</v>
      </c>
      <c r="F28" s="11" t="s">
        <v>45</v>
      </c>
      <c r="G28" s="11" t="s">
        <v>408</v>
      </c>
      <c r="H28" s="58" t="s">
        <v>78</v>
      </c>
      <c r="I28" s="58" t="s">
        <v>84</v>
      </c>
      <c r="J28" s="97" t="s">
        <v>85</v>
      </c>
      <c r="K28" s="93"/>
      <c r="L28" s="84" t="s">
        <v>84</v>
      </c>
      <c r="M28" s="84" t="str">
        <f>"104,5800"</f>
        <v>104,5800</v>
      </c>
      <c r="N28" s="11" t="s">
        <v>86</v>
      </c>
    </row>
    <row r="29" spans="1:14" ht="12.75">
      <c r="A29" s="85" t="s">
        <v>456</v>
      </c>
      <c r="B29" s="14" t="s">
        <v>474</v>
      </c>
      <c r="C29" s="13" t="s">
        <v>88</v>
      </c>
      <c r="D29" s="13" t="s">
        <v>89</v>
      </c>
      <c r="E29" s="13" t="str">
        <f>"0,5916"</f>
        <v>0,5916</v>
      </c>
      <c r="F29" s="14" t="s">
        <v>22</v>
      </c>
      <c r="G29" s="29" t="s">
        <v>389</v>
      </c>
      <c r="H29" s="70" t="s">
        <v>90</v>
      </c>
      <c r="I29" s="70" t="s">
        <v>91</v>
      </c>
      <c r="J29" s="96" t="s">
        <v>92</v>
      </c>
      <c r="K29" s="71"/>
      <c r="L29" s="85" t="s">
        <v>91</v>
      </c>
      <c r="M29" s="85" t="str">
        <f>"121,2780"</f>
        <v>121,2780</v>
      </c>
      <c r="N29" s="14" t="s">
        <v>47</v>
      </c>
    </row>
    <row r="30" spans="1:14" ht="12.75">
      <c r="A30" s="85" t="s">
        <v>457</v>
      </c>
      <c r="B30" s="14" t="s">
        <v>93</v>
      </c>
      <c r="C30" s="13" t="s">
        <v>94</v>
      </c>
      <c r="D30" s="13" t="s">
        <v>95</v>
      </c>
      <c r="E30" s="13" t="str">
        <f>"0,6067"</f>
        <v>0,6067</v>
      </c>
      <c r="F30" s="14" t="s">
        <v>22</v>
      </c>
      <c r="G30" s="14" t="s">
        <v>455</v>
      </c>
      <c r="H30" s="70" t="s">
        <v>57</v>
      </c>
      <c r="I30" s="96" t="s">
        <v>96</v>
      </c>
      <c r="J30" s="96" t="s">
        <v>96</v>
      </c>
      <c r="K30" s="71"/>
      <c r="L30" s="85" t="s">
        <v>57</v>
      </c>
      <c r="M30" s="85" t="str">
        <f>"112,2395"</f>
        <v>112,2395</v>
      </c>
      <c r="N30" s="14" t="s">
        <v>47</v>
      </c>
    </row>
    <row r="31" spans="1:14" ht="12.75">
      <c r="A31" s="85" t="s">
        <v>458</v>
      </c>
      <c r="B31" s="14" t="s">
        <v>423</v>
      </c>
      <c r="C31" s="13" t="s">
        <v>97</v>
      </c>
      <c r="D31" s="13" t="s">
        <v>98</v>
      </c>
      <c r="E31" s="13" t="str">
        <f>"0,5909"</f>
        <v>0,5909</v>
      </c>
      <c r="F31" s="14" t="s">
        <v>22</v>
      </c>
      <c r="G31" s="14" t="s">
        <v>99</v>
      </c>
      <c r="H31" s="70" t="s">
        <v>85</v>
      </c>
      <c r="I31" s="71"/>
      <c r="J31" s="71"/>
      <c r="K31" s="71"/>
      <c r="L31" s="85" t="s">
        <v>85</v>
      </c>
      <c r="M31" s="85" t="str">
        <f>"107,8393"</f>
        <v>107,8393</v>
      </c>
      <c r="N31" s="14" t="s">
        <v>47</v>
      </c>
    </row>
    <row r="32" spans="1:14" ht="12.75">
      <c r="A32" s="87" t="s">
        <v>459</v>
      </c>
      <c r="B32" s="102" t="s">
        <v>475</v>
      </c>
      <c r="C32" s="13" t="s">
        <v>100</v>
      </c>
      <c r="D32" s="13" t="s">
        <v>101</v>
      </c>
      <c r="E32" s="13" t="str">
        <f>"0,5887"</f>
        <v>0,5887</v>
      </c>
      <c r="F32" s="14" t="s">
        <v>22</v>
      </c>
      <c r="G32" s="14" t="s">
        <v>102</v>
      </c>
      <c r="H32" s="70" t="s">
        <v>84</v>
      </c>
      <c r="I32" s="70" t="s">
        <v>85</v>
      </c>
      <c r="J32" s="96" t="s">
        <v>103</v>
      </c>
      <c r="K32" s="71"/>
      <c r="L32" s="85" t="s">
        <v>85</v>
      </c>
      <c r="M32" s="85" t="str">
        <f>"107,4377"</f>
        <v>107,4377</v>
      </c>
      <c r="N32" s="14" t="s">
        <v>47</v>
      </c>
    </row>
    <row r="33" spans="1:14" ht="12.75">
      <c r="A33" s="86" t="s">
        <v>460</v>
      </c>
      <c r="B33" s="17" t="s">
        <v>476</v>
      </c>
      <c r="C33" s="16" t="s">
        <v>105</v>
      </c>
      <c r="D33" s="16" t="s">
        <v>106</v>
      </c>
      <c r="E33" s="16" t="str">
        <f>"0,6028"</f>
        <v>0,6028</v>
      </c>
      <c r="F33" s="17" t="s">
        <v>45</v>
      </c>
      <c r="G33" s="17" t="s">
        <v>107</v>
      </c>
      <c r="H33" s="59" t="s">
        <v>24</v>
      </c>
      <c r="I33" s="98" t="s">
        <v>61</v>
      </c>
      <c r="J33" s="98" t="s">
        <v>61</v>
      </c>
      <c r="K33" s="94"/>
      <c r="L33" s="86" t="s">
        <v>24</v>
      </c>
      <c r="M33" s="86" t="str">
        <f>"96,4480"</f>
        <v>96,4480</v>
      </c>
      <c r="N33" s="17" t="s">
        <v>47</v>
      </c>
    </row>
    <row r="35" spans="2:13" ht="15.75">
      <c r="B35" s="130" t="s">
        <v>108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4" ht="12.75">
      <c r="A36" s="84" t="s">
        <v>456</v>
      </c>
      <c r="B36" s="11" t="s">
        <v>477</v>
      </c>
      <c r="C36" s="10" t="s">
        <v>110</v>
      </c>
      <c r="D36" s="10" t="s">
        <v>111</v>
      </c>
      <c r="E36" s="10" t="str">
        <f>"0,5747"</f>
        <v>0,5747</v>
      </c>
      <c r="F36" s="11" t="s">
        <v>22</v>
      </c>
      <c r="G36" s="11" t="s">
        <v>441</v>
      </c>
      <c r="H36" s="97" t="s">
        <v>52</v>
      </c>
      <c r="I36" s="58" t="s">
        <v>112</v>
      </c>
      <c r="J36" s="97" t="s">
        <v>113</v>
      </c>
      <c r="K36" s="93"/>
      <c r="L36" s="84" t="s">
        <v>112</v>
      </c>
      <c r="M36" s="84" t="str">
        <f>"116,3767"</f>
        <v>116,3767</v>
      </c>
      <c r="N36" s="11" t="s">
        <v>47</v>
      </c>
    </row>
    <row r="37" spans="1:14" ht="12.75">
      <c r="A37" s="86" t="s">
        <v>457</v>
      </c>
      <c r="B37" s="91" t="s">
        <v>114</v>
      </c>
      <c r="C37" s="16" t="s">
        <v>115</v>
      </c>
      <c r="D37" s="16" t="s">
        <v>116</v>
      </c>
      <c r="E37" s="16" t="str">
        <f>"0,5858"</f>
        <v>0,5858</v>
      </c>
      <c r="F37" s="17" t="s">
        <v>14</v>
      </c>
      <c r="G37" s="28" t="s">
        <v>389</v>
      </c>
      <c r="H37" s="98" t="s">
        <v>91</v>
      </c>
      <c r="I37" s="98" t="s">
        <v>91</v>
      </c>
      <c r="J37" s="94"/>
      <c r="K37" s="94"/>
      <c r="L37" s="86" t="s">
        <v>406</v>
      </c>
      <c r="M37" s="86" t="s">
        <v>406</v>
      </c>
      <c r="N37" s="17" t="s">
        <v>18</v>
      </c>
    </row>
    <row r="40" spans="2:3" ht="18">
      <c r="B40" s="18" t="s">
        <v>118</v>
      </c>
      <c r="C40" s="19"/>
    </row>
    <row r="41" spans="2:3" ht="15.75">
      <c r="B41" s="106" t="s">
        <v>119</v>
      </c>
      <c r="C41" s="20"/>
    </row>
    <row r="42" spans="2:3" ht="13.5">
      <c r="B42" s="21"/>
      <c r="C42" s="22" t="s">
        <v>640</v>
      </c>
    </row>
    <row r="43" spans="2:6" ht="13.5">
      <c r="B43" s="23" t="s">
        <v>121</v>
      </c>
      <c r="C43" s="23" t="s">
        <v>122</v>
      </c>
      <c r="D43" s="23" t="s">
        <v>123</v>
      </c>
      <c r="E43" s="23" t="s">
        <v>124</v>
      </c>
      <c r="F43" s="23" t="s">
        <v>125</v>
      </c>
    </row>
    <row r="44" spans="1:6" ht="12.75">
      <c r="A44" s="1" t="s">
        <v>456</v>
      </c>
      <c r="B44" s="107" t="s">
        <v>49</v>
      </c>
      <c r="C44" s="1" t="s">
        <v>127</v>
      </c>
      <c r="D44" s="1" t="s">
        <v>461</v>
      </c>
      <c r="E44" s="1" t="s">
        <v>53</v>
      </c>
      <c r="F44" s="4" t="s">
        <v>128</v>
      </c>
    </row>
    <row r="45" spans="1:6" ht="12.75">
      <c r="A45" s="1" t="s">
        <v>457</v>
      </c>
      <c r="B45" s="107" t="s">
        <v>87</v>
      </c>
      <c r="C45" s="1" t="s">
        <v>127</v>
      </c>
      <c r="D45" s="1" t="s">
        <v>17</v>
      </c>
      <c r="E45" s="1" t="s">
        <v>91</v>
      </c>
      <c r="F45" s="4" t="s">
        <v>129</v>
      </c>
    </row>
    <row r="46" spans="1:6" ht="12.75">
      <c r="A46" s="1" t="s">
        <v>458</v>
      </c>
      <c r="B46" s="107" t="s">
        <v>109</v>
      </c>
      <c r="C46" s="1" t="s">
        <v>127</v>
      </c>
      <c r="D46" s="1" t="s">
        <v>35</v>
      </c>
      <c r="E46" s="1" t="s">
        <v>112</v>
      </c>
      <c r="F46" s="4" t="s">
        <v>131</v>
      </c>
    </row>
  </sheetData>
  <sheetProtection/>
  <mergeCells count="18">
    <mergeCell ref="A3:A4"/>
    <mergeCell ref="L3:L4"/>
    <mergeCell ref="M3:M4"/>
    <mergeCell ref="B1:N2"/>
    <mergeCell ref="H3:K3"/>
    <mergeCell ref="B3:B4"/>
    <mergeCell ref="C3:C4"/>
    <mergeCell ref="D3:D4"/>
    <mergeCell ref="B17:M17"/>
    <mergeCell ref="B27:M27"/>
    <mergeCell ref="B35:M35"/>
    <mergeCell ref="N3:N4"/>
    <mergeCell ref="G3:G4"/>
    <mergeCell ref="F3:F4"/>
    <mergeCell ref="B5:M5"/>
    <mergeCell ref="B8:M8"/>
    <mergeCell ref="B13:M13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8" sqref="G18"/>
    </sheetView>
  </sheetViews>
  <sheetFormatPr defaultColWidth="8.75390625" defaultRowHeight="12.75"/>
  <cols>
    <col min="1" max="1" width="7.25390625" style="0" customWidth="1"/>
    <col min="2" max="2" width="26.00390625" style="24" bestFit="1" customWidth="1"/>
    <col min="3" max="3" width="28.00390625" style="24" customWidth="1"/>
    <col min="4" max="4" width="10.625" style="24" bestFit="1" customWidth="1"/>
    <col min="5" max="5" width="8.375" style="24" bestFit="1" customWidth="1"/>
    <col min="6" max="6" width="14.25390625" style="24" customWidth="1"/>
    <col min="7" max="7" width="37.00390625" style="24" customWidth="1"/>
    <col min="8" max="8" width="5.125" style="24" customWidth="1"/>
    <col min="9" max="10" width="9.375" style="24" customWidth="1"/>
    <col min="11" max="11" width="8.625" style="24" bestFit="1" customWidth="1"/>
    <col min="12" max="12" width="15.75390625" style="24" bestFit="1" customWidth="1"/>
  </cols>
  <sheetData>
    <row r="1" spans="2:12" s="1" customFormat="1" ht="15" customHeight="1">
      <c r="B1" s="109" t="s">
        <v>645</v>
      </c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2:12" s="1" customFormat="1" ht="84.7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379</v>
      </c>
      <c r="F3" s="114" t="s">
        <v>7</v>
      </c>
      <c r="G3" s="114" t="s">
        <v>380</v>
      </c>
      <c r="H3" s="114" t="s">
        <v>2</v>
      </c>
      <c r="I3" s="114"/>
      <c r="J3" s="114" t="s">
        <v>478</v>
      </c>
      <c r="K3" s="114" t="s">
        <v>6</v>
      </c>
      <c r="L3" s="121" t="s">
        <v>5</v>
      </c>
    </row>
    <row r="4" spans="1:12" s="2" customFormat="1" ht="21" customHeight="1" thickBot="1">
      <c r="A4" s="120"/>
      <c r="B4" s="115"/>
      <c r="C4" s="115"/>
      <c r="D4" s="115"/>
      <c r="E4" s="115"/>
      <c r="F4" s="115"/>
      <c r="G4" s="115"/>
      <c r="H4" s="3" t="s">
        <v>479</v>
      </c>
      <c r="I4" s="3" t="s">
        <v>480</v>
      </c>
      <c r="J4" s="115"/>
      <c r="K4" s="115"/>
      <c r="L4" s="122"/>
    </row>
    <row r="5" spans="2:11" ht="15.75">
      <c r="B5" s="123" t="s">
        <v>132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2" ht="12.75">
      <c r="A6" s="39"/>
      <c r="B6" s="25" t="s">
        <v>133</v>
      </c>
      <c r="C6" s="25" t="s">
        <v>134</v>
      </c>
      <c r="D6" s="25" t="s">
        <v>135</v>
      </c>
      <c r="E6" s="25" t="str">
        <f>"1,1230"</f>
        <v>1,1230</v>
      </c>
      <c r="F6" s="25" t="s">
        <v>22</v>
      </c>
      <c r="G6" s="25" t="s">
        <v>383</v>
      </c>
      <c r="H6" s="43" t="s">
        <v>137</v>
      </c>
      <c r="I6" s="43" t="s">
        <v>562</v>
      </c>
      <c r="J6" s="43">
        <v>0</v>
      </c>
      <c r="K6" s="43" t="s">
        <v>406</v>
      </c>
      <c r="L6" s="25" t="s">
        <v>47</v>
      </c>
    </row>
    <row r="8" spans="2:11" ht="15.75">
      <c r="B8" s="108" t="s">
        <v>139</v>
      </c>
      <c r="C8" s="108"/>
      <c r="D8" s="108"/>
      <c r="E8" s="108"/>
      <c r="F8" s="108"/>
      <c r="G8" s="108"/>
      <c r="H8" s="108"/>
      <c r="I8" s="108"/>
      <c r="J8" s="108"/>
      <c r="K8" s="108"/>
    </row>
    <row r="9" spans="1:12" ht="12.75">
      <c r="A9" s="40">
        <v>1</v>
      </c>
      <c r="B9" s="25" t="s">
        <v>140</v>
      </c>
      <c r="C9" s="25" t="s">
        <v>141</v>
      </c>
      <c r="D9" s="25" t="s">
        <v>142</v>
      </c>
      <c r="E9" s="25" t="str">
        <f>"0,8444"</f>
        <v>0,8444</v>
      </c>
      <c r="F9" s="25" t="s">
        <v>22</v>
      </c>
      <c r="G9" s="25" t="s">
        <v>563</v>
      </c>
      <c r="H9" s="43" t="s">
        <v>564</v>
      </c>
      <c r="I9" s="43" t="s">
        <v>524</v>
      </c>
      <c r="J9" s="43" t="s">
        <v>565</v>
      </c>
      <c r="K9" s="43" t="str">
        <f>"886,6725"</f>
        <v>886,6725</v>
      </c>
      <c r="L9" s="25" t="s">
        <v>47</v>
      </c>
    </row>
  </sheetData>
  <sheetProtection/>
  <mergeCells count="14">
    <mergeCell ref="B1:L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  <mergeCell ref="B8:K8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26" sqref="E26"/>
    </sheetView>
  </sheetViews>
  <sheetFormatPr defaultColWidth="9.125" defaultRowHeight="12.75"/>
  <cols>
    <col min="1" max="1" width="9.125" style="1" customWidth="1"/>
    <col min="2" max="2" width="21.875" style="4" customWidth="1"/>
    <col min="3" max="3" width="26.875" style="1" bestFit="1" customWidth="1"/>
    <col min="4" max="4" width="10.625" style="1" bestFit="1" customWidth="1"/>
    <col min="5" max="5" width="8.375" style="1" bestFit="1" customWidth="1"/>
    <col min="6" max="6" width="13.25390625" style="5" customWidth="1"/>
    <col min="7" max="7" width="36.00390625" style="5" customWidth="1"/>
    <col min="8" max="8" width="5.625" style="1" bestFit="1" customWidth="1"/>
    <col min="9" max="9" width="11.125" style="1" customWidth="1"/>
    <col min="10" max="10" width="9.25390625" style="4" customWidth="1"/>
    <col min="11" max="11" width="9.625" style="1" bestFit="1" customWidth="1"/>
    <col min="12" max="12" width="15.625" style="5" customWidth="1"/>
    <col min="13" max="16384" width="9.125" style="1" customWidth="1"/>
  </cols>
  <sheetData>
    <row r="1" spans="2:12" ht="15" customHeight="1">
      <c r="B1" s="109" t="s">
        <v>535</v>
      </c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2:12" ht="80.2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379</v>
      </c>
      <c r="F3" s="114" t="s">
        <v>7</v>
      </c>
      <c r="G3" s="114" t="s">
        <v>380</v>
      </c>
      <c r="H3" s="114" t="s">
        <v>2</v>
      </c>
      <c r="I3" s="114"/>
      <c r="J3" s="114" t="s">
        <v>478</v>
      </c>
      <c r="K3" s="114" t="s">
        <v>6</v>
      </c>
      <c r="L3" s="121" t="s">
        <v>5</v>
      </c>
    </row>
    <row r="4" spans="1:12" s="2" customFormat="1" ht="21" customHeight="1" thickBot="1">
      <c r="A4" s="120"/>
      <c r="B4" s="115"/>
      <c r="C4" s="115"/>
      <c r="D4" s="115"/>
      <c r="E4" s="115"/>
      <c r="F4" s="115"/>
      <c r="G4" s="115"/>
      <c r="H4" s="3" t="s">
        <v>479</v>
      </c>
      <c r="I4" s="3" t="s">
        <v>480</v>
      </c>
      <c r="J4" s="115"/>
      <c r="K4" s="115"/>
      <c r="L4" s="122"/>
    </row>
    <row r="5" spans="2:11" ht="15.75">
      <c r="B5" s="131" t="s">
        <v>139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2" ht="12.75">
      <c r="A6" s="83" t="s">
        <v>456</v>
      </c>
      <c r="B6" s="88" t="s">
        <v>536</v>
      </c>
      <c r="C6" s="7" t="s">
        <v>537</v>
      </c>
      <c r="D6" s="7" t="s">
        <v>538</v>
      </c>
      <c r="E6" s="7" t="str">
        <f>"0,6927"</f>
        <v>0,6927</v>
      </c>
      <c r="F6" s="8" t="s">
        <v>22</v>
      </c>
      <c r="G6" s="8" t="s">
        <v>360</v>
      </c>
      <c r="H6" s="83" t="s">
        <v>152</v>
      </c>
      <c r="I6" s="83" t="s">
        <v>539</v>
      </c>
      <c r="J6" s="6" t="s">
        <v>540</v>
      </c>
      <c r="K6" s="83" t="str">
        <f>"2389,6426"</f>
        <v>2389,6426</v>
      </c>
      <c r="L6" s="8" t="s">
        <v>47</v>
      </c>
    </row>
    <row r="8" spans="2:11" ht="15.75">
      <c r="B8" s="130" t="s">
        <v>19</v>
      </c>
      <c r="C8" s="108"/>
      <c r="D8" s="108"/>
      <c r="E8" s="108"/>
      <c r="F8" s="108"/>
      <c r="G8" s="108"/>
      <c r="H8" s="108"/>
      <c r="I8" s="108"/>
      <c r="J8" s="108"/>
      <c r="K8" s="108"/>
    </row>
    <row r="9" spans="1:12" ht="12.75">
      <c r="A9" s="84" t="s">
        <v>456</v>
      </c>
      <c r="B9" s="89" t="s">
        <v>541</v>
      </c>
      <c r="C9" s="10" t="s">
        <v>542</v>
      </c>
      <c r="D9" s="10" t="s">
        <v>369</v>
      </c>
      <c r="E9" s="10" t="str">
        <f>"0,6600"</f>
        <v>0,6600</v>
      </c>
      <c r="F9" s="11" t="s">
        <v>22</v>
      </c>
      <c r="G9" s="11" t="s">
        <v>157</v>
      </c>
      <c r="H9" s="84" t="s">
        <v>297</v>
      </c>
      <c r="I9" s="84" t="s">
        <v>543</v>
      </c>
      <c r="J9" s="9" t="s">
        <v>544</v>
      </c>
      <c r="K9" s="84" t="str">
        <f>"844,8640"</f>
        <v>844,8640</v>
      </c>
      <c r="L9" s="11" t="s">
        <v>445</v>
      </c>
    </row>
    <row r="10" spans="1:12" ht="12.75">
      <c r="A10" s="85" t="s">
        <v>456</v>
      </c>
      <c r="B10" s="90" t="s">
        <v>545</v>
      </c>
      <c r="C10" s="13" t="s">
        <v>546</v>
      </c>
      <c r="D10" s="13" t="s">
        <v>547</v>
      </c>
      <c r="E10" s="13" t="str">
        <f>"0,6487"</f>
        <v>0,6487</v>
      </c>
      <c r="F10" s="14" t="s">
        <v>22</v>
      </c>
      <c r="G10" s="14" t="s">
        <v>383</v>
      </c>
      <c r="H10" s="85" t="s">
        <v>349</v>
      </c>
      <c r="I10" s="85" t="s">
        <v>500</v>
      </c>
      <c r="J10" s="12" t="s">
        <v>548</v>
      </c>
      <c r="K10" s="85" t="str">
        <f>"1177,3905"</f>
        <v>1177,3905</v>
      </c>
      <c r="L10" s="14" t="s">
        <v>47</v>
      </c>
    </row>
    <row r="11" spans="1:12" ht="12.75">
      <c r="A11" s="86" t="s">
        <v>456</v>
      </c>
      <c r="B11" s="91" t="s">
        <v>549</v>
      </c>
      <c r="C11" s="16" t="s">
        <v>550</v>
      </c>
      <c r="D11" s="16" t="s">
        <v>551</v>
      </c>
      <c r="E11" s="16" t="str">
        <f>"0,6749"</f>
        <v>0,6749</v>
      </c>
      <c r="F11" s="17" t="s">
        <v>22</v>
      </c>
      <c r="G11" s="17" t="s">
        <v>552</v>
      </c>
      <c r="H11" s="86" t="s">
        <v>553</v>
      </c>
      <c r="I11" s="86" t="s">
        <v>554</v>
      </c>
      <c r="J11" s="15" t="s">
        <v>555</v>
      </c>
      <c r="K11" s="86" t="str">
        <f>"1075,2810"</f>
        <v>1075,2810</v>
      </c>
      <c r="L11" s="17" t="s">
        <v>47</v>
      </c>
    </row>
    <row r="13" spans="2:11" ht="15.75">
      <c r="B13" s="130" t="s">
        <v>37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2" ht="12.75">
      <c r="A14" s="84" t="s">
        <v>456</v>
      </c>
      <c r="B14" s="89" t="s">
        <v>173</v>
      </c>
      <c r="C14" s="10" t="s">
        <v>174</v>
      </c>
      <c r="D14" s="10" t="s">
        <v>175</v>
      </c>
      <c r="E14" s="10" t="str">
        <f>"0,6126"</f>
        <v>0,6126</v>
      </c>
      <c r="F14" s="11" t="s">
        <v>22</v>
      </c>
      <c r="G14" s="11" t="s">
        <v>76</v>
      </c>
      <c r="H14" s="84" t="s">
        <v>268</v>
      </c>
      <c r="I14" s="84" t="s">
        <v>444</v>
      </c>
      <c r="J14" s="9" t="s">
        <v>556</v>
      </c>
      <c r="K14" s="84" t="str">
        <f>"1654,0201"</f>
        <v>1654,0201</v>
      </c>
      <c r="L14" s="11" t="s">
        <v>47</v>
      </c>
    </row>
    <row r="15" spans="1:12" ht="12.75">
      <c r="A15" s="86" t="s">
        <v>457</v>
      </c>
      <c r="B15" s="91" t="s">
        <v>184</v>
      </c>
      <c r="C15" s="16" t="s">
        <v>185</v>
      </c>
      <c r="D15" s="16" t="s">
        <v>186</v>
      </c>
      <c r="E15" s="16" t="str">
        <f>"0,6149"</f>
        <v>0,6149</v>
      </c>
      <c r="F15" s="17" t="s">
        <v>22</v>
      </c>
      <c r="G15" s="17" t="s">
        <v>383</v>
      </c>
      <c r="H15" s="86" t="s">
        <v>268</v>
      </c>
      <c r="I15" s="86" t="s">
        <v>527</v>
      </c>
      <c r="J15" s="15" t="s">
        <v>557</v>
      </c>
      <c r="K15" s="86" t="str">
        <f>"940,7970"</f>
        <v>940,7970</v>
      </c>
      <c r="L15" s="17" t="s">
        <v>47</v>
      </c>
    </row>
    <row r="17" spans="2:11" ht="15.75">
      <c r="B17" s="130" t="s">
        <v>48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>
      <c r="A18" s="84" t="s">
        <v>456</v>
      </c>
      <c r="B18" s="89" t="s">
        <v>196</v>
      </c>
      <c r="C18" s="10" t="s">
        <v>197</v>
      </c>
      <c r="D18" s="10" t="s">
        <v>198</v>
      </c>
      <c r="E18" s="10" t="str">
        <f>"0,6016"</f>
        <v>0,6016</v>
      </c>
      <c r="F18" s="11" t="s">
        <v>22</v>
      </c>
      <c r="G18" s="11" t="s">
        <v>383</v>
      </c>
      <c r="H18" s="84" t="s">
        <v>269</v>
      </c>
      <c r="I18" s="84" t="s">
        <v>505</v>
      </c>
      <c r="J18" s="9" t="s">
        <v>558</v>
      </c>
      <c r="K18" s="84" t="str">
        <f>"1143,0400"</f>
        <v>1143,0400</v>
      </c>
      <c r="L18" s="11" t="s">
        <v>451</v>
      </c>
    </row>
    <row r="19" spans="1:12" ht="12.75">
      <c r="A19" s="86" t="s">
        <v>456</v>
      </c>
      <c r="B19" s="91" t="s">
        <v>205</v>
      </c>
      <c r="C19" s="16" t="s">
        <v>559</v>
      </c>
      <c r="D19" s="16" t="s">
        <v>207</v>
      </c>
      <c r="E19" s="16" t="str">
        <f>"0,5856"</f>
        <v>0,5856</v>
      </c>
      <c r="F19" s="17" t="s">
        <v>22</v>
      </c>
      <c r="G19" s="17" t="s">
        <v>560</v>
      </c>
      <c r="H19" s="86" t="s">
        <v>16</v>
      </c>
      <c r="I19" s="86" t="s">
        <v>561</v>
      </c>
      <c r="J19" s="15" t="s">
        <v>506</v>
      </c>
      <c r="K19" s="86" t="str">
        <f>"1064,6208"</f>
        <v>1064,6208</v>
      </c>
      <c r="L19" s="17" t="s">
        <v>453</v>
      </c>
    </row>
    <row r="21" spans="2:11" ht="15.75">
      <c r="B21" s="130" t="s">
        <v>80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12.75">
      <c r="A22" s="83" t="s">
        <v>456</v>
      </c>
      <c r="B22" s="88" t="s">
        <v>210</v>
      </c>
      <c r="C22" s="7" t="s">
        <v>211</v>
      </c>
      <c r="D22" s="7" t="s">
        <v>212</v>
      </c>
      <c r="E22" s="7" t="str">
        <f>"0,5627"</f>
        <v>0,5627</v>
      </c>
      <c r="F22" s="8" t="s">
        <v>22</v>
      </c>
      <c r="G22" s="8" t="s">
        <v>528</v>
      </c>
      <c r="H22" s="83" t="s">
        <v>17</v>
      </c>
      <c r="I22" s="83" t="s">
        <v>505</v>
      </c>
      <c r="J22" s="6" t="s">
        <v>523</v>
      </c>
      <c r="K22" s="83" t="str">
        <f>"1238,0500"</f>
        <v>1238,0500</v>
      </c>
      <c r="L22" s="8" t="s">
        <v>454</v>
      </c>
    </row>
  </sheetData>
  <sheetProtection/>
  <mergeCells count="17">
    <mergeCell ref="B21:K21"/>
    <mergeCell ref="K3:K4"/>
    <mergeCell ref="L3:L4"/>
    <mergeCell ref="B5:K5"/>
    <mergeCell ref="B8:K8"/>
    <mergeCell ref="B13:K13"/>
    <mergeCell ref="B17:K17"/>
    <mergeCell ref="B1:L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G31" sqref="G31"/>
    </sheetView>
  </sheetViews>
  <sheetFormatPr defaultColWidth="8.75390625" defaultRowHeight="12.75"/>
  <cols>
    <col min="1" max="1" width="8.75390625" style="0" customWidth="1"/>
    <col min="2" max="2" width="21.875" style="24" customWidth="1"/>
    <col min="3" max="3" width="26.875" style="24" bestFit="1" customWidth="1"/>
    <col min="4" max="4" width="10.625" style="24" bestFit="1" customWidth="1"/>
    <col min="5" max="5" width="8.375" style="24" bestFit="1" customWidth="1"/>
    <col min="6" max="6" width="12.25390625" style="24" customWidth="1"/>
    <col min="7" max="7" width="35.625" style="24" customWidth="1"/>
    <col min="8" max="8" width="5.625" style="24" bestFit="1" customWidth="1"/>
    <col min="9" max="9" width="9.625" style="24" bestFit="1" customWidth="1"/>
    <col min="10" max="10" width="9.75390625" style="24" customWidth="1"/>
    <col min="11" max="11" width="9.625" style="24" bestFit="1" customWidth="1"/>
    <col min="12" max="12" width="15.75390625" style="24" customWidth="1"/>
  </cols>
  <sheetData>
    <row r="1" spans="2:12" s="1" customFormat="1" ht="15" customHeight="1">
      <c r="B1" s="109" t="s">
        <v>644</v>
      </c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2:12" s="1" customFormat="1" ht="84.7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379</v>
      </c>
      <c r="F3" s="114" t="s">
        <v>7</v>
      </c>
      <c r="G3" s="114" t="s">
        <v>9</v>
      </c>
      <c r="H3" s="114" t="s">
        <v>2</v>
      </c>
      <c r="I3" s="114"/>
      <c r="J3" s="114" t="s">
        <v>478</v>
      </c>
      <c r="K3" s="114" t="s">
        <v>6</v>
      </c>
      <c r="L3" s="121" t="s">
        <v>5</v>
      </c>
    </row>
    <row r="4" spans="1:12" s="2" customFormat="1" ht="21" customHeight="1" thickBot="1">
      <c r="A4" s="120"/>
      <c r="B4" s="115"/>
      <c r="C4" s="115"/>
      <c r="D4" s="115"/>
      <c r="E4" s="115"/>
      <c r="F4" s="115"/>
      <c r="G4" s="115"/>
      <c r="H4" s="3" t="s">
        <v>479</v>
      </c>
      <c r="I4" s="3" t="s">
        <v>480</v>
      </c>
      <c r="J4" s="115"/>
      <c r="K4" s="115"/>
      <c r="L4" s="122"/>
    </row>
    <row r="5" spans="2:11" ht="15.75">
      <c r="B5" s="123" t="s">
        <v>139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2" ht="12.75">
      <c r="A6" s="48">
        <v>1</v>
      </c>
      <c r="B6" s="27" t="s">
        <v>481</v>
      </c>
      <c r="C6" s="27" t="s">
        <v>482</v>
      </c>
      <c r="D6" s="27" t="s">
        <v>483</v>
      </c>
      <c r="E6" s="27" t="str">
        <f>"0,6934"</f>
        <v>0,6934</v>
      </c>
      <c r="F6" s="27" t="s">
        <v>45</v>
      </c>
      <c r="G6" s="27" t="s">
        <v>383</v>
      </c>
      <c r="H6" s="55" t="s">
        <v>152</v>
      </c>
      <c r="I6" s="55" t="s">
        <v>484</v>
      </c>
      <c r="J6" s="55" t="s">
        <v>485</v>
      </c>
      <c r="K6" s="51" t="str">
        <f>"1612,0388"</f>
        <v>1612,0388</v>
      </c>
      <c r="L6" s="27" t="s">
        <v>399</v>
      </c>
    </row>
    <row r="7" spans="1:12" ht="12.75">
      <c r="A7" s="49">
        <v>1</v>
      </c>
      <c r="B7" s="28" t="s">
        <v>486</v>
      </c>
      <c r="C7" s="28" t="s">
        <v>487</v>
      </c>
      <c r="D7" s="28" t="s">
        <v>488</v>
      </c>
      <c r="E7" s="28" t="str">
        <f>"0,7140"</f>
        <v>0,7140</v>
      </c>
      <c r="F7" s="28" t="s">
        <v>22</v>
      </c>
      <c r="G7" s="28" t="s">
        <v>383</v>
      </c>
      <c r="H7" s="57" t="s">
        <v>489</v>
      </c>
      <c r="I7" s="57" t="s">
        <v>444</v>
      </c>
      <c r="J7" s="57" t="s">
        <v>490</v>
      </c>
      <c r="K7" s="53" t="str">
        <f>"1638,4770"</f>
        <v>1638,4770</v>
      </c>
      <c r="L7" s="28" t="s">
        <v>47</v>
      </c>
    </row>
    <row r="9" spans="2:11" ht="15.75">
      <c r="B9" s="108" t="s">
        <v>37</v>
      </c>
      <c r="C9" s="108"/>
      <c r="D9" s="108"/>
      <c r="E9" s="108"/>
      <c r="F9" s="108"/>
      <c r="G9" s="108"/>
      <c r="H9" s="108"/>
      <c r="I9" s="108"/>
      <c r="J9" s="108"/>
      <c r="K9" s="108"/>
    </row>
    <row r="10" spans="1:12" ht="12.75">
      <c r="A10" s="48">
        <v>1</v>
      </c>
      <c r="B10" s="27" t="s">
        <v>491</v>
      </c>
      <c r="C10" s="27" t="s">
        <v>492</v>
      </c>
      <c r="D10" s="27" t="s">
        <v>493</v>
      </c>
      <c r="E10" s="27" t="str">
        <f>"0,6273"</f>
        <v>0,6273</v>
      </c>
      <c r="F10" s="27" t="s">
        <v>22</v>
      </c>
      <c r="G10" s="27" t="s">
        <v>389</v>
      </c>
      <c r="H10" s="60" t="s">
        <v>153</v>
      </c>
      <c r="I10" s="54"/>
      <c r="J10" s="55">
        <v>0</v>
      </c>
      <c r="K10" s="55" t="s">
        <v>406</v>
      </c>
      <c r="L10" s="27" t="s">
        <v>47</v>
      </c>
    </row>
    <row r="11" spans="1:12" ht="12.75">
      <c r="A11" s="63">
        <v>1</v>
      </c>
      <c r="B11" s="29" t="s">
        <v>494</v>
      </c>
      <c r="C11" s="29" t="s">
        <v>495</v>
      </c>
      <c r="D11" s="29" t="s">
        <v>496</v>
      </c>
      <c r="E11" s="29" t="str">
        <f>"0,6161"</f>
        <v>0,6161</v>
      </c>
      <c r="F11" s="29" t="s">
        <v>22</v>
      </c>
      <c r="G11" s="29" t="s">
        <v>389</v>
      </c>
      <c r="H11" s="68" t="s">
        <v>268</v>
      </c>
      <c r="I11" s="68" t="s">
        <v>497</v>
      </c>
      <c r="J11" s="68" t="s">
        <v>498</v>
      </c>
      <c r="K11" s="66" t="str">
        <f>"1829,6685"</f>
        <v>1829,6685</v>
      </c>
      <c r="L11" s="29" t="s">
        <v>499</v>
      </c>
    </row>
    <row r="12" spans="1:12" ht="12.75">
      <c r="A12" s="63">
        <v>2</v>
      </c>
      <c r="B12" s="29" t="s">
        <v>322</v>
      </c>
      <c r="C12" s="29" t="s">
        <v>323</v>
      </c>
      <c r="D12" s="29" t="s">
        <v>324</v>
      </c>
      <c r="E12" s="29" t="str">
        <f>"0,6145"</f>
        <v>0,6145</v>
      </c>
      <c r="F12" s="29" t="s">
        <v>22</v>
      </c>
      <c r="G12" s="29" t="s">
        <v>33</v>
      </c>
      <c r="H12" s="68" t="s">
        <v>268</v>
      </c>
      <c r="I12" s="68" t="s">
        <v>500</v>
      </c>
      <c r="J12" s="68" t="s">
        <v>501</v>
      </c>
      <c r="K12" s="66" t="str">
        <f>"1216,8090"</f>
        <v>1216,8090</v>
      </c>
      <c r="L12" s="29" t="s">
        <v>47</v>
      </c>
    </row>
    <row r="13" spans="1:12" ht="12.75">
      <c r="A13" s="63">
        <v>3</v>
      </c>
      <c r="B13" s="29" t="s">
        <v>502</v>
      </c>
      <c r="C13" s="29" t="s">
        <v>503</v>
      </c>
      <c r="D13" s="29" t="s">
        <v>504</v>
      </c>
      <c r="E13" s="29" t="str">
        <f>"0,6205"</f>
        <v>0,6205</v>
      </c>
      <c r="F13" s="29" t="s">
        <v>22</v>
      </c>
      <c r="G13" s="29" t="s">
        <v>389</v>
      </c>
      <c r="H13" s="68" t="s">
        <v>268</v>
      </c>
      <c r="I13" s="68" t="s">
        <v>505</v>
      </c>
      <c r="J13" s="68" t="s">
        <v>506</v>
      </c>
      <c r="K13" s="66" t="str">
        <f>"1116,9001"</f>
        <v>1116,9001</v>
      </c>
      <c r="L13" s="29" t="s">
        <v>47</v>
      </c>
    </row>
    <row r="14" spans="1:12" ht="12.75">
      <c r="A14" s="49">
        <v>1</v>
      </c>
      <c r="B14" s="28" t="s">
        <v>42</v>
      </c>
      <c r="C14" s="28" t="s">
        <v>507</v>
      </c>
      <c r="D14" s="28" t="s">
        <v>44</v>
      </c>
      <c r="E14" s="28" t="str">
        <f>"0,6184"</f>
        <v>0,6184</v>
      </c>
      <c r="F14" s="28" t="s">
        <v>45</v>
      </c>
      <c r="G14" s="28" t="s">
        <v>389</v>
      </c>
      <c r="H14" s="57" t="s">
        <v>268</v>
      </c>
      <c r="I14" s="57" t="s">
        <v>508</v>
      </c>
      <c r="J14" s="57" t="s">
        <v>509</v>
      </c>
      <c r="K14" s="53" t="str">
        <f>"1664,1933"</f>
        <v>1664,1933</v>
      </c>
      <c r="L14" s="28" t="s">
        <v>47</v>
      </c>
    </row>
    <row r="16" spans="2:11" ht="15.75">
      <c r="B16" s="108" t="s">
        <v>48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>
      <c r="A17" s="48">
        <v>1</v>
      </c>
      <c r="B17" s="27" t="s">
        <v>510</v>
      </c>
      <c r="C17" s="27" t="s">
        <v>511</v>
      </c>
      <c r="D17" s="27" t="s">
        <v>512</v>
      </c>
      <c r="E17" s="27" t="str">
        <f>"0,5864"</f>
        <v>0,5864</v>
      </c>
      <c r="F17" s="27" t="s">
        <v>22</v>
      </c>
      <c r="G17" s="27" t="s">
        <v>513</v>
      </c>
      <c r="H17" s="55" t="s">
        <v>16</v>
      </c>
      <c r="I17" s="55" t="s">
        <v>508</v>
      </c>
      <c r="J17" s="55" t="s">
        <v>514</v>
      </c>
      <c r="K17" s="51" t="str">
        <f>"1700,4151"</f>
        <v>1700,4151</v>
      </c>
      <c r="L17" s="27" t="s">
        <v>47</v>
      </c>
    </row>
    <row r="18" spans="1:12" ht="12.75">
      <c r="A18" s="63">
        <v>1</v>
      </c>
      <c r="B18" s="29" t="s">
        <v>49</v>
      </c>
      <c r="C18" s="29" t="s">
        <v>50</v>
      </c>
      <c r="D18" s="29" t="s">
        <v>515</v>
      </c>
      <c r="E18" s="29" t="str">
        <f>"0,6061"</f>
        <v>0,6061</v>
      </c>
      <c r="F18" s="29" t="s">
        <v>45</v>
      </c>
      <c r="G18" s="29" t="s">
        <v>383</v>
      </c>
      <c r="H18" s="68" t="s">
        <v>516</v>
      </c>
      <c r="I18" s="68" t="s">
        <v>517</v>
      </c>
      <c r="J18" s="68" t="s">
        <v>518</v>
      </c>
      <c r="K18" s="66" t="str">
        <f>"2354,5043"</f>
        <v>2354,5043</v>
      </c>
      <c r="L18" s="29" t="s">
        <v>47</v>
      </c>
    </row>
    <row r="19" spans="1:12" ht="12.75">
      <c r="A19" s="63">
        <v>2</v>
      </c>
      <c r="B19" s="29" t="s">
        <v>519</v>
      </c>
      <c r="C19" s="29" t="s">
        <v>520</v>
      </c>
      <c r="D19" s="29" t="s">
        <v>521</v>
      </c>
      <c r="E19" s="29" t="str">
        <f>"0,6075"</f>
        <v>0,6075</v>
      </c>
      <c r="F19" s="29" t="s">
        <v>22</v>
      </c>
      <c r="G19" s="29" t="s">
        <v>383</v>
      </c>
      <c r="H19" s="68" t="s">
        <v>516</v>
      </c>
      <c r="I19" s="68" t="s">
        <v>497</v>
      </c>
      <c r="J19" s="68">
        <v>3052.5</v>
      </c>
      <c r="K19" s="66" t="str">
        <f>"1854,3938"</f>
        <v>1854,3938</v>
      </c>
      <c r="L19" s="29" t="s">
        <v>47</v>
      </c>
    </row>
    <row r="20" spans="1:12" ht="12.75">
      <c r="A20" s="63">
        <v>3</v>
      </c>
      <c r="B20" s="29" t="s">
        <v>68</v>
      </c>
      <c r="C20" s="29" t="s">
        <v>69</v>
      </c>
      <c r="D20" s="29" t="s">
        <v>70</v>
      </c>
      <c r="E20" s="29" t="str">
        <f>"0,5850"</f>
        <v>0,5850</v>
      </c>
      <c r="F20" s="29" t="s">
        <v>22</v>
      </c>
      <c r="G20" s="29" t="s">
        <v>383</v>
      </c>
      <c r="H20" s="68" t="s">
        <v>16</v>
      </c>
      <c r="I20" s="68" t="s">
        <v>508</v>
      </c>
      <c r="J20" s="68" t="s">
        <v>514</v>
      </c>
      <c r="K20" s="66" t="str">
        <f>"1696,6450"</f>
        <v>1696,6450</v>
      </c>
      <c r="L20" s="29" t="s">
        <v>47</v>
      </c>
    </row>
    <row r="21" spans="1:12" ht="12.75">
      <c r="A21" s="49">
        <v>1</v>
      </c>
      <c r="B21" s="28" t="s">
        <v>73</v>
      </c>
      <c r="C21" s="28" t="s">
        <v>522</v>
      </c>
      <c r="D21" s="28" t="s">
        <v>75</v>
      </c>
      <c r="E21" s="28" t="str">
        <f>"0,5835"</f>
        <v>0,5835</v>
      </c>
      <c r="F21" s="28" t="s">
        <v>22</v>
      </c>
      <c r="G21" s="28" t="s">
        <v>398</v>
      </c>
      <c r="H21" s="57" t="s">
        <v>16</v>
      </c>
      <c r="I21" s="57" t="s">
        <v>500</v>
      </c>
      <c r="J21" s="57" t="s">
        <v>523</v>
      </c>
      <c r="K21" s="53" t="str">
        <f>"1428,8805"</f>
        <v>1428,8805</v>
      </c>
      <c r="L21" s="28" t="s">
        <v>47</v>
      </c>
    </row>
    <row r="23" spans="2:11" ht="15.75">
      <c r="B23" s="108" t="s">
        <v>80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2" ht="12.75">
      <c r="A24" s="48">
        <v>1</v>
      </c>
      <c r="B24" s="27" t="s">
        <v>81</v>
      </c>
      <c r="C24" s="27" t="s">
        <v>82</v>
      </c>
      <c r="D24" s="27" t="s">
        <v>83</v>
      </c>
      <c r="E24" s="27" t="str">
        <f>"0,5706"</f>
        <v>0,5706</v>
      </c>
      <c r="F24" s="27" t="s">
        <v>45</v>
      </c>
      <c r="G24" s="27" t="s">
        <v>389</v>
      </c>
      <c r="H24" s="55" t="s">
        <v>262</v>
      </c>
      <c r="I24" s="55" t="s">
        <v>524</v>
      </c>
      <c r="J24" s="55" t="s">
        <v>525</v>
      </c>
      <c r="K24" s="51" t="str">
        <f>"1677,7109"</f>
        <v>1677,7109</v>
      </c>
      <c r="L24" s="27" t="s">
        <v>399</v>
      </c>
    </row>
    <row r="25" spans="1:12" ht="12.75">
      <c r="A25" s="63">
        <v>1</v>
      </c>
      <c r="B25" s="29" t="s">
        <v>104</v>
      </c>
      <c r="C25" s="29" t="s">
        <v>105</v>
      </c>
      <c r="D25" s="29" t="s">
        <v>106</v>
      </c>
      <c r="E25" s="29" t="str">
        <f>"0,5756"</f>
        <v>0,5756</v>
      </c>
      <c r="F25" s="29" t="s">
        <v>45</v>
      </c>
      <c r="G25" s="29" t="s">
        <v>107</v>
      </c>
      <c r="H25" s="68" t="s">
        <v>526</v>
      </c>
      <c r="I25" s="68" t="s">
        <v>527</v>
      </c>
      <c r="J25" s="68">
        <v>1742.5</v>
      </c>
      <c r="K25" s="66" t="str">
        <f>"1003,0701"</f>
        <v>1003,0701</v>
      </c>
      <c r="L25" s="29" t="s">
        <v>47</v>
      </c>
    </row>
    <row r="26" spans="1:12" ht="12.75">
      <c r="A26" s="49">
        <v>2</v>
      </c>
      <c r="B26" s="28" t="s">
        <v>210</v>
      </c>
      <c r="C26" s="28" t="s">
        <v>211</v>
      </c>
      <c r="D26" s="28" t="s">
        <v>212</v>
      </c>
      <c r="E26" s="28" t="str">
        <f>"0,5627"</f>
        <v>0,5627</v>
      </c>
      <c r="F26" s="28" t="s">
        <v>22</v>
      </c>
      <c r="G26" s="28" t="s">
        <v>528</v>
      </c>
      <c r="H26" s="57" t="s">
        <v>17</v>
      </c>
      <c r="I26" s="57" t="s">
        <v>406</v>
      </c>
      <c r="J26" s="57">
        <v>0</v>
      </c>
      <c r="K26" s="57" t="s">
        <v>406</v>
      </c>
      <c r="L26" s="28" t="s">
        <v>454</v>
      </c>
    </row>
    <row r="28" ht="15.75">
      <c r="F28" s="30"/>
    </row>
    <row r="30" spans="2:3" ht="18">
      <c r="B30" s="31" t="s">
        <v>118</v>
      </c>
      <c r="C30" s="31"/>
    </row>
    <row r="31" spans="2:3" ht="15.75">
      <c r="B31" s="32" t="s">
        <v>119</v>
      </c>
      <c r="C31" s="32"/>
    </row>
    <row r="32" spans="2:3" ht="13.5">
      <c r="B32" s="34"/>
      <c r="C32" s="35" t="s">
        <v>640</v>
      </c>
    </row>
    <row r="33" spans="2:6" ht="13.5">
      <c r="B33" s="36" t="s">
        <v>121</v>
      </c>
      <c r="C33" s="36" t="s">
        <v>122</v>
      </c>
      <c r="D33" s="36" t="s">
        <v>123</v>
      </c>
      <c r="E33" s="36" t="s">
        <v>124</v>
      </c>
      <c r="F33" s="36" t="s">
        <v>529</v>
      </c>
    </row>
    <row r="34" spans="1:6" ht="12.75">
      <c r="A34">
        <v>1</v>
      </c>
      <c r="B34" s="33" t="s">
        <v>49</v>
      </c>
      <c r="C34" s="24" t="s">
        <v>127</v>
      </c>
      <c r="D34" s="103" t="s">
        <v>461</v>
      </c>
      <c r="E34" s="103" t="s">
        <v>518</v>
      </c>
      <c r="F34" s="37" t="s">
        <v>530</v>
      </c>
    </row>
    <row r="35" spans="1:6" ht="12.75">
      <c r="A35">
        <v>2</v>
      </c>
      <c r="B35" s="33" t="s">
        <v>519</v>
      </c>
      <c r="C35" s="24" t="s">
        <v>127</v>
      </c>
      <c r="D35" s="103" t="s">
        <v>16</v>
      </c>
      <c r="E35" s="103" t="s">
        <v>531</v>
      </c>
      <c r="F35" s="37" t="s">
        <v>532</v>
      </c>
    </row>
    <row r="36" spans="1:6" ht="12.75">
      <c r="A36">
        <v>3</v>
      </c>
      <c r="B36" s="33" t="s">
        <v>494</v>
      </c>
      <c r="C36" s="24" t="s">
        <v>127</v>
      </c>
      <c r="D36" s="103" t="s">
        <v>533</v>
      </c>
      <c r="E36" s="103" t="s">
        <v>498</v>
      </c>
      <c r="F36" s="37" t="s">
        <v>534</v>
      </c>
    </row>
  </sheetData>
  <sheetProtection/>
  <mergeCells count="16">
    <mergeCell ref="K3:K4"/>
    <mergeCell ref="L3:L4"/>
    <mergeCell ref="B5:K5"/>
    <mergeCell ref="B9:K9"/>
    <mergeCell ref="B16:K16"/>
    <mergeCell ref="B23:K23"/>
    <mergeCell ref="B1:L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4">
      <selection activeCell="C29" sqref="C29"/>
    </sheetView>
  </sheetViews>
  <sheetFormatPr defaultColWidth="8.75390625" defaultRowHeight="12.75"/>
  <cols>
    <col min="1" max="1" width="8.75390625" style="0" customWidth="1"/>
    <col min="2" max="2" width="22.25390625" style="24" customWidth="1"/>
    <col min="3" max="3" width="26.00390625" style="24" bestFit="1" customWidth="1"/>
    <col min="4" max="4" width="10.625" style="24" bestFit="1" customWidth="1"/>
    <col min="5" max="5" width="8.375" style="24" bestFit="1" customWidth="1"/>
    <col min="6" max="6" width="13.25390625" style="24" customWidth="1"/>
    <col min="7" max="7" width="36.75390625" style="24" customWidth="1"/>
    <col min="8" max="9" width="4.625" style="24" bestFit="1" customWidth="1"/>
    <col min="10" max="10" width="5.625" style="24" bestFit="1" customWidth="1"/>
    <col min="11" max="15" width="4.625" style="24" bestFit="1" customWidth="1"/>
    <col min="16" max="16" width="7.875" style="24" bestFit="1" customWidth="1"/>
    <col min="17" max="17" width="8.625" style="24" bestFit="1" customWidth="1"/>
    <col min="18" max="18" width="20.625" style="24" bestFit="1" customWidth="1"/>
  </cols>
  <sheetData>
    <row r="1" spans="2:18" s="1" customFormat="1" ht="15" customHeight="1">
      <c r="B1" s="109" t="s">
        <v>643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2:18" s="1" customFormat="1" ht="99.7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</row>
    <row r="3" spans="1:18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379</v>
      </c>
      <c r="F3" s="114" t="s">
        <v>7</v>
      </c>
      <c r="G3" s="117" t="s">
        <v>380</v>
      </c>
      <c r="H3" s="114" t="s">
        <v>566</v>
      </c>
      <c r="I3" s="114"/>
      <c r="J3" s="114"/>
      <c r="K3" s="114"/>
      <c r="L3" s="114" t="s">
        <v>660</v>
      </c>
      <c r="M3" s="114"/>
      <c r="N3" s="114"/>
      <c r="O3" s="114"/>
      <c r="P3" s="114" t="s">
        <v>4</v>
      </c>
      <c r="Q3" s="114" t="s">
        <v>6</v>
      </c>
      <c r="R3" s="121" t="s">
        <v>5</v>
      </c>
    </row>
    <row r="4" spans="1:18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15"/>
      <c r="Q4" s="115"/>
      <c r="R4" s="122"/>
    </row>
    <row r="5" spans="2:17" ht="15.75">
      <c r="B5" s="123" t="s">
        <v>132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8" ht="12.75">
      <c r="A6" s="40">
        <v>1</v>
      </c>
      <c r="B6" s="25" t="s">
        <v>133</v>
      </c>
      <c r="C6" s="25" t="s">
        <v>134</v>
      </c>
      <c r="D6" s="25" t="s">
        <v>135</v>
      </c>
      <c r="E6" s="25" t="str">
        <f>"1,1230"</f>
        <v>1,1230</v>
      </c>
      <c r="F6" s="25" t="s">
        <v>22</v>
      </c>
      <c r="G6" s="25" t="s">
        <v>389</v>
      </c>
      <c r="H6" s="41" t="s">
        <v>567</v>
      </c>
      <c r="I6" s="74" t="s">
        <v>567</v>
      </c>
      <c r="J6" s="42"/>
      <c r="K6" s="42"/>
      <c r="L6" s="41" t="s">
        <v>567</v>
      </c>
      <c r="M6" s="41" t="s">
        <v>567</v>
      </c>
      <c r="N6" s="42"/>
      <c r="O6" s="42"/>
      <c r="P6" s="43">
        <v>0</v>
      </c>
      <c r="Q6" s="43" t="s">
        <v>406</v>
      </c>
      <c r="R6" s="25" t="s">
        <v>47</v>
      </c>
    </row>
    <row r="7" spans="16:17" ht="12.75">
      <c r="P7" s="104"/>
      <c r="Q7" s="104"/>
    </row>
    <row r="8" spans="2:17" ht="15.75">
      <c r="B8" s="108" t="s">
        <v>11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8" ht="12.75">
      <c r="A9" s="40">
        <v>1</v>
      </c>
      <c r="B9" s="25" t="s">
        <v>568</v>
      </c>
      <c r="C9" s="25" t="s">
        <v>569</v>
      </c>
      <c r="D9" s="25" t="s">
        <v>570</v>
      </c>
      <c r="E9" s="25" t="str">
        <f>"0,9000"</f>
        <v>0,9000</v>
      </c>
      <c r="F9" s="25" t="s">
        <v>22</v>
      </c>
      <c r="G9" s="25" t="s">
        <v>389</v>
      </c>
      <c r="H9" s="41" t="s">
        <v>136</v>
      </c>
      <c r="I9" s="74" t="s">
        <v>136</v>
      </c>
      <c r="J9" s="41" t="s">
        <v>138</v>
      </c>
      <c r="K9" s="42"/>
      <c r="L9" s="74" t="s">
        <v>567</v>
      </c>
      <c r="M9" s="74" t="s">
        <v>136</v>
      </c>
      <c r="N9" s="74" t="s">
        <v>138</v>
      </c>
      <c r="O9" s="42"/>
      <c r="P9" s="43" t="s">
        <v>148</v>
      </c>
      <c r="Q9" s="43" t="str">
        <f>"49,4973"</f>
        <v>49,4973</v>
      </c>
      <c r="R9" s="25" t="s">
        <v>47</v>
      </c>
    </row>
    <row r="11" spans="2:17" ht="15.75">
      <c r="B11" s="108" t="s">
        <v>11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8" ht="12.75">
      <c r="A12" s="40">
        <v>1</v>
      </c>
      <c r="B12" s="25" t="s">
        <v>154</v>
      </c>
      <c r="C12" s="25" t="s">
        <v>155</v>
      </c>
      <c r="D12" s="25" t="s">
        <v>156</v>
      </c>
      <c r="E12" s="25" t="str">
        <f>"0,7570"</f>
        <v>0,7570</v>
      </c>
      <c r="F12" s="25" t="s">
        <v>22</v>
      </c>
      <c r="G12" s="25" t="s">
        <v>157</v>
      </c>
      <c r="H12" s="105" t="s">
        <v>348</v>
      </c>
      <c r="I12" s="41" t="s">
        <v>348</v>
      </c>
      <c r="J12" s="41" t="s">
        <v>348</v>
      </c>
      <c r="K12" s="42"/>
      <c r="L12" s="41" t="s">
        <v>147</v>
      </c>
      <c r="M12" s="42"/>
      <c r="N12" s="42"/>
      <c r="O12" s="42"/>
      <c r="P12" s="43">
        <v>0</v>
      </c>
      <c r="Q12" s="43" t="s">
        <v>406</v>
      </c>
      <c r="R12" s="25" t="s">
        <v>47</v>
      </c>
    </row>
    <row r="14" spans="2:17" ht="15.75">
      <c r="B14" s="108" t="s">
        <v>139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8" ht="12.75">
      <c r="A15" s="40">
        <v>1</v>
      </c>
      <c r="B15" s="25" t="s">
        <v>571</v>
      </c>
      <c r="C15" s="25" t="s">
        <v>572</v>
      </c>
      <c r="D15" s="25" t="s">
        <v>573</v>
      </c>
      <c r="E15" s="25" t="str">
        <f>"0,6975"</f>
        <v>0,6975</v>
      </c>
      <c r="F15" s="25" t="s">
        <v>364</v>
      </c>
      <c r="G15" s="25" t="s">
        <v>360</v>
      </c>
      <c r="H15" s="41" t="s">
        <v>148</v>
      </c>
      <c r="I15" s="74" t="s">
        <v>348</v>
      </c>
      <c r="J15" s="41" t="s">
        <v>152</v>
      </c>
      <c r="K15" s="42"/>
      <c r="L15" s="74" t="s">
        <v>147</v>
      </c>
      <c r="M15" s="74" t="s">
        <v>148</v>
      </c>
      <c r="N15" s="74" t="s">
        <v>263</v>
      </c>
      <c r="O15" s="42"/>
      <c r="P15" s="43" t="s">
        <v>35</v>
      </c>
      <c r="Q15" s="43" t="str">
        <f>"87,1937"</f>
        <v>87,1937</v>
      </c>
      <c r="R15" s="25" t="s">
        <v>574</v>
      </c>
    </row>
    <row r="17" spans="2:17" ht="15.75">
      <c r="B17" s="108" t="s">
        <v>37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8" ht="12.75">
      <c r="A18" s="48">
        <v>1</v>
      </c>
      <c r="B18" s="27" t="s">
        <v>575</v>
      </c>
      <c r="C18" s="27" t="s">
        <v>576</v>
      </c>
      <c r="D18" s="27" t="s">
        <v>577</v>
      </c>
      <c r="E18" s="27" t="str">
        <f>"0,6188"</f>
        <v>0,6188</v>
      </c>
      <c r="F18" s="27" t="s">
        <v>364</v>
      </c>
      <c r="G18" s="27" t="s">
        <v>360</v>
      </c>
      <c r="H18" s="75" t="s">
        <v>148</v>
      </c>
      <c r="I18" s="75" t="s">
        <v>348</v>
      </c>
      <c r="J18" s="76" t="s">
        <v>489</v>
      </c>
      <c r="K18" s="50"/>
      <c r="L18" s="76" t="s">
        <v>270</v>
      </c>
      <c r="M18" s="75" t="s">
        <v>147</v>
      </c>
      <c r="N18" s="75" t="s">
        <v>148</v>
      </c>
      <c r="O18" s="50"/>
      <c r="P18" s="55" t="s">
        <v>34</v>
      </c>
      <c r="Q18" s="55" t="str">
        <f>"74,2620"</f>
        <v>74,2620</v>
      </c>
      <c r="R18" s="27" t="s">
        <v>387</v>
      </c>
    </row>
    <row r="19" spans="1:18" ht="12.75">
      <c r="A19" s="133" t="s">
        <v>661</v>
      </c>
      <c r="B19" s="29" t="s">
        <v>578</v>
      </c>
      <c r="C19" s="29" t="s">
        <v>579</v>
      </c>
      <c r="D19" s="29" t="s">
        <v>580</v>
      </c>
      <c r="E19" s="29" t="str">
        <f>"0,6197"</f>
        <v>0,6197</v>
      </c>
      <c r="F19" s="29" t="s">
        <v>22</v>
      </c>
      <c r="G19" s="29" t="s">
        <v>383</v>
      </c>
      <c r="H19" s="77" t="s">
        <v>268</v>
      </c>
      <c r="I19" s="77" t="s">
        <v>269</v>
      </c>
      <c r="J19" s="77" t="s">
        <v>16</v>
      </c>
      <c r="K19" s="67"/>
      <c r="L19" s="77" t="s">
        <v>263</v>
      </c>
      <c r="M19" s="77" t="s">
        <v>143</v>
      </c>
      <c r="N19" s="77" t="s">
        <v>489</v>
      </c>
      <c r="O19" s="67"/>
      <c r="P19" s="68" t="s">
        <v>659</v>
      </c>
      <c r="Q19" s="68" t="str">
        <f>"106,8983"</f>
        <v>106,8983</v>
      </c>
      <c r="R19" s="29" t="s">
        <v>47</v>
      </c>
    </row>
    <row r="20" spans="1:18" ht="12.75">
      <c r="A20" s="49">
        <v>1</v>
      </c>
      <c r="B20" s="28" t="s">
        <v>431</v>
      </c>
      <c r="C20" s="28" t="s">
        <v>174</v>
      </c>
      <c r="D20" s="28" t="s">
        <v>175</v>
      </c>
      <c r="E20" s="28" t="str">
        <f>"0,6126"</f>
        <v>0,6126</v>
      </c>
      <c r="F20" s="28" t="s">
        <v>22</v>
      </c>
      <c r="G20" s="28" t="s">
        <v>398</v>
      </c>
      <c r="H20" s="78" t="s">
        <v>297</v>
      </c>
      <c r="I20" s="78" t="s">
        <v>268</v>
      </c>
      <c r="J20" s="78" t="s">
        <v>516</v>
      </c>
      <c r="K20" s="52"/>
      <c r="L20" s="78" t="s">
        <v>270</v>
      </c>
      <c r="M20" s="78" t="s">
        <v>147</v>
      </c>
      <c r="N20" s="78" t="s">
        <v>148</v>
      </c>
      <c r="O20" s="52"/>
      <c r="P20" s="57" t="s">
        <v>171</v>
      </c>
      <c r="Q20" s="57" t="str">
        <f>"90,3585"</f>
        <v>90,3585</v>
      </c>
      <c r="R20" s="28" t="s">
        <v>47</v>
      </c>
    </row>
    <row r="22" spans="2:17" ht="15.75">
      <c r="B22" s="108" t="s">
        <v>48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8" ht="12.75">
      <c r="A23" s="40">
        <v>1</v>
      </c>
      <c r="B23" s="25" t="s">
        <v>202</v>
      </c>
      <c r="C23" s="25" t="s">
        <v>203</v>
      </c>
      <c r="D23" s="25" t="s">
        <v>204</v>
      </c>
      <c r="E23" s="25" t="str">
        <f>"0,5870"</f>
        <v>0,5870</v>
      </c>
      <c r="F23" s="25" t="s">
        <v>22</v>
      </c>
      <c r="G23" s="25" t="s">
        <v>389</v>
      </c>
      <c r="H23" s="74" t="s">
        <v>297</v>
      </c>
      <c r="I23" s="41" t="s">
        <v>293</v>
      </c>
      <c r="J23" s="41" t="s">
        <v>293</v>
      </c>
      <c r="K23" s="42"/>
      <c r="L23" s="74" t="s">
        <v>147</v>
      </c>
      <c r="M23" s="42"/>
      <c r="N23" s="42"/>
      <c r="O23" s="42"/>
      <c r="P23" s="43" t="s">
        <v>36</v>
      </c>
      <c r="Q23" s="43" t="str">
        <f>"76,3035"</f>
        <v>76,3035</v>
      </c>
      <c r="R23" s="25" t="s">
        <v>581</v>
      </c>
    </row>
  </sheetData>
  <sheetProtection/>
  <mergeCells count="19">
    <mergeCell ref="B14:Q14"/>
    <mergeCell ref="B17:Q17"/>
    <mergeCell ref="B22:Q22"/>
    <mergeCell ref="P3:P4"/>
    <mergeCell ref="Q3:Q4"/>
    <mergeCell ref="R3:R4"/>
    <mergeCell ref="B5:Q5"/>
    <mergeCell ref="B8:Q8"/>
    <mergeCell ref="B11:Q11"/>
    <mergeCell ref="B1:R2"/>
    <mergeCell ref="A3:A4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C14" sqref="C14:C15"/>
    </sheetView>
  </sheetViews>
  <sheetFormatPr defaultColWidth="9.125" defaultRowHeight="12.75"/>
  <cols>
    <col min="1" max="1" width="7.375" style="1" customWidth="1"/>
    <col min="2" max="2" width="22.625" style="4" customWidth="1"/>
    <col min="3" max="3" width="25.375" style="1" customWidth="1"/>
    <col min="4" max="4" width="10.625" style="1" bestFit="1" customWidth="1"/>
    <col min="5" max="5" width="8.375" style="1" bestFit="1" customWidth="1"/>
    <col min="6" max="6" width="13.00390625" style="5" customWidth="1"/>
    <col min="7" max="7" width="37.00390625" style="5" customWidth="1"/>
    <col min="8" max="10" width="5.625" style="1" bestFit="1" customWidth="1"/>
    <col min="11" max="15" width="4.625" style="1" bestFit="1" customWidth="1"/>
    <col min="16" max="16" width="7.875" style="4" bestFit="1" customWidth="1"/>
    <col min="17" max="17" width="8.625" style="1" bestFit="1" customWidth="1"/>
    <col min="18" max="18" width="15.75390625" style="5" bestFit="1" customWidth="1"/>
    <col min="19" max="16384" width="9.125" style="1" customWidth="1"/>
  </cols>
  <sheetData>
    <row r="1" spans="2:18" ht="15" customHeight="1">
      <c r="B1" s="109" t="s">
        <v>642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2:18" ht="89.2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</row>
    <row r="3" spans="1:18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379</v>
      </c>
      <c r="F3" s="114" t="s">
        <v>7</v>
      </c>
      <c r="G3" s="114" t="s">
        <v>380</v>
      </c>
      <c r="H3" s="114" t="s">
        <v>566</v>
      </c>
      <c r="I3" s="114"/>
      <c r="J3" s="114"/>
      <c r="K3" s="114"/>
      <c r="L3" s="114" t="s">
        <v>660</v>
      </c>
      <c r="M3" s="114"/>
      <c r="N3" s="114"/>
      <c r="O3" s="114"/>
      <c r="P3" s="114" t="s">
        <v>4</v>
      </c>
      <c r="Q3" s="114" t="s">
        <v>6</v>
      </c>
      <c r="R3" s="121" t="s">
        <v>5</v>
      </c>
    </row>
    <row r="4" spans="1:18" s="2" customFormat="1" ht="21" customHeight="1" thickBot="1">
      <c r="A4" s="120"/>
      <c r="B4" s="115"/>
      <c r="C4" s="115"/>
      <c r="D4" s="115"/>
      <c r="E4" s="115"/>
      <c r="F4" s="115"/>
      <c r="G4" s="1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15"/>
      <c r="Q4" s="115"/>
      <c r="R4" s="122"/>
    </row>
    <row r="5" spans="2:17" ht="15.75">
      <c r="B5" s="131" t="s">
        <v>37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8" ht="12.75">
      <c r="A6" s="84" t="s">
        <v>456</v>
      </c>
      <c r="B6" s="11" t="s">
        <v>582</v>
      </c>
      <c r="C6" s="10" t="s">
        <v>579</v>
      </c>
      <c r="D6" s="10" t="s">
        <v>580</v>
      </c>
      <c r="E6" s="10" t="str">
        <f>"0,6197"</f>
        <v>0,6197</v>
      </c>
      <c r="F6" s="11" t="s">
        <v>22</v>
      </c>
      <c r="G6" s="11" t="s">
        <v>389</v>
      </c>
      <c r="H6" s="58" t="s">
        <v>16</v>
      </c>
      <c r="I6" s="93"/>
      <c r="J6" s="93"/>
      <c r="K6" s="93"/>
      <c r="L6" s="58" t="s">
        <v>489</v>
      </c>
      <c r="M6" s="93"/>
      <c r="N6" s="93"/>
      <c r="O6" s="93"/>
      <c r="P6" s="9" t="s">
        <v>583</v>
      </c>
      <c r="Q6" s="84" t="str">
        <f>"106,8983"</f>
        <v>106,8983</v>
      </c>
      <c r="R6" s="11" t="s">
        <v>47</v>
      </c>
    </row>
    <row r="7" spans="1:18" ht="12.75">
      <c r="A7" s="86" t="s">
        <v>457</v>
      </c>
      <c r="B7" s="91" t="s">
        <v>584</v>
      </c>
      <c r="C7" s="16" t="s">
        <v>585</v>
      </c>
      <c r="D7" s="16" t="s">
        <v>189</v>
      </c>
      <c r="E7" s="16" t="str">
        <f>"0,6157"</f>
        <v>0,6157</v>
      </c>
      <c r="F7" s="17" t="s">
        <v>22</v>
      </c>
      <c r="G7" s="17" t="s">
        <v>383</v>
      </c>
      <c r="H7" s="59" t="s">
        <v>293</v>
      </c>
      <c r="I7" s="59" t="s">
        <v>516</v>
      </c>
      <c r="J7" s="59" t="s">
        <v>16</v>
      </c>
      <c r="K7" s="94"/>
      <c r="L7" s="59" t="s">
        <v>263</v>
      </c>
      <c r="M7" s="98" t="s">
        <v>143</v>
      </c>
      <c r="N7" s="98" t="s">
        <v>143</v>
      </c>
      <c r="O7" s="94"/>
      <c r="P7" s="15" t="s">
        <v>25</v>
      </c>
      <c r="Q7" s="86" t="str">
        <f>"98,5120"</f>
        <v>98,5120</v>
      </c>
      <c r="R7" s="17" t="s">
        <v>47</v>
      </c>
    </row>
    <row r="9" spans="2:17" ht="15.75">
      <c r="B9" s="130" t="s">
        <v>48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8" ht="12.75">
      <c r="A10" s="84" t="s">
        <v>456</v>
      </c>
      <c r="B10" s="11" t="s">
        <v>586</v>
      </c>
      <c r="C10" s="10" t="s">
        <v>587</v>
      </c>
      <c r="D10" s="10" t="s">
        <v>75</v>
      </c>
      <c r="E10" s="10" t="str">
        <f>"0,5835"</f>
        <v>0,5835</v>
      </c>
      <c r="F10" s="11" t="s">
        <v>588</v>
      </c>
      <c r="G10" s="11" t="s">
        <v>389</v>
      </c>
      <c r="H10" s="58" t="s">
        <v>268</v>
      </c>
      <c r="I10" s="58" t="s">
        <v>589</v>
      </c>
      <c r="J10" s="58" t="s">
        <v>526</v>
      </c>
      <c r="K10" s="93"/>
      <c r="L10" s="58" t="s">
        <v>148</v>
      </c>
      <c r="M10" s="97" t="s">
        <v>348</v>
      </c>
      <c r="N10" s="58" t="s">
        <v>348</v>
      </c>
      <c r="O10" s="93"/>
      <c r="P10" s="9" t="s">
        <v>79</v>
      </c>
      <c r="Q10" s="84" t="str">
        <f>"97,7446"</f>
        <v>97,7446</v>
      </c>
      <c r="R10" s="11" t="s">
        <v>47</v>
      </c>
    </row>
    <row r="11" spans="1:18" ht="12.75">
      <c r="A11" s="86" t="s">
        <v>457</v>
      </c>
      <c r="B11" s="17" t="s">
        <v>590</v>
      </c>
      <c r="C11" s="16" t="s">
        <v>591</v>
      </c>
      <c r="D11" s="16" t="s">
        <v>592</v>
      </c>
      <c r="E11" s="16" t="str">
        <f>"0,5823"</f>
        <v>0,5823</v>
      </c>
      <c r="F11" s="17" t="s">
        <v>22</v>
      </c>
      <c r="G11" s="17" t="s">
        <v>383</v>
      </c>
      <c r="H11" s="59" t="s">
        <v>297</v>
      </c>
      <c r="I11" s="59" t="s">
        <v>268</v>
      </c>
      <c r="J11" s="98" t="s">
        <v>589</v>
      </c>
      <c r="K11" s="94"/>
      <c r="L11" s="59" t="s">
        <v>147</v>
      </c>
      <c r="M11" s="59" t="s">
        <v>263</v>
      </c>
      <c r="N11" s="59" t="s">
        <v>264</v>
      </c>
      <c r="O11" s="94"/>
      <c r="P11" s="15" t="s">
        <v>593</v>
      </c>
      <c r="Q11" s="86" t="str">
        <f>"91,7123"</f>
        <v>91,7123</v>
      </c>
      <c r="R11" s="17" t="s">
        <v>47</v>
      </c>
    </row>
    <row r="13" spans="2:17" ht="15.75">
      <c r="B13" s="130" t="s">
        <v>108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8" ht="12.75">
      <c r="A14" s="83" t="s">
        <v>456</v>
      </c>
      <c r="B14" s="8" t="s">
        <v>594</v>
      </c>
      <c r="C14" s="7" t="s">
        <v>595</v>
      </c>
      <c r="D14" s="7" t="s">
        <v>596</v>
      </c>
      <c r="E14" s="7" t="str">
        <f>"0,5476"</f>
        <v>0,5476</v>
      </c>
      <c r="F14" s="8" t="s">
        <v>22</v>
      </c>
      <c r="G14" s="8" t="s">
        <v>33</v>
      </c>
      <c r="H14" s="45" t="s">
        <v>16</v>
      </c>
      <c r="I14" s="45" t="s">
        <v>17</v>
      </c>
      <c r="J14" s="45" t="s">
        <v>66</v>
      </c>
      <c r="K14" s="92"/>
      <c r="L14" s="45" t="s">
        <v>263</v>
      </c>
      <c r="M14" s="45" t="s">
        <v>143</v>
      </c>
      <c r="N14" s="95" t="s">
        <v>152</v>
      </c>
      <c r="O14" s="92"/>
      <c r="P14" s="6" t="s">
        <v>58</v>
      </c>
      <c r="Q14" s="83" t="str">
        <f>"101,3152"</f>
        <v>101,3152</v>
      </c>
      <c r="R14" s="8" t="s">
        <v>597</v>
      </c>
    </row>
  </sheetData>
  <sheetProtection/>
  <mergeCells count="16">
    <mergeCell ref="P3:P4"/>
    <mergeCell ref="Q3:Q4"/>
    <mergeCell ref="R3:R4"/>
    <mergeCell ref="B5:Q5"/>
    <mergeCell ref="B9:Q9"/>
    <mergeCell ref="B13:Q13"/>
    <mergeCell ref="B1:R2"/>
    <mergeCell ref="A3:A4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B3" sqref="B3:B4"/>
    </sheetView>
  </sheetViews>
  <sheetFormatPr defaultColWidth="8.75390625" defaultRowHeight="12.75"/>
  <cols>
    <col min="1" max="1" width="8.75390625" style="0" customWidth="1"/>
    <col min="2" max="2" width="14.375" style="24" customWidth="1"/>
    <col min="3" max="3" width="26.375" style="24" customWidth="1"/>
    <col min="4" max="4" width="10.625" style="24" bestFit="1" customWidth="1"/>
    <col min="5" max="5" width="8.375" style="24" bestFit="1" customWidth="1"/>
    <col min="6" max="6" width="22.75390625" style="24" bestFit="1" customWidth="1"/>
    <col min="7" max="7" width="21.625" style="24" bestFit="1" customWidth="1"/>
    <col min="8" max="8" width="11.75390625" style="24" customWidth="1"/>
    <col min="9" max="9" width="7.625" style="24" bestFit="1" customWidth="1"/>
    <col min="10" max="10" width="19.375" style="24" bestFit="1" customWidth="1"/>
  </cols>
  <sheetData>
    <row r="1" spans="2:10" s="1" customFormat="1" ht="15" customHeight="1">
      <c r="B1" s="109" t="s">
        <v>641</v>
      </c>
      <c r="C1" s="110"/>
      <c r="D1" s="110"/>
      <c r="E1" s="110"/>
      <c r="F1" s="110"/>
      <c r="G1" s="110"/>
      <c r="H1" s="110"/>
      <c r="I1" s="110"/>
      <c r="J1" s="111"/>
    </row>
    <row r="2" spans="2:10" s="1" customFormat="1" ht="81.75" customHeight="1" thickBot="1">
      <c r="B2" s="112"/>
      <c r="C2" s="112"/>
      <c r="D2" s="112"/>
      <c r="E2" s="112"/>
      <c r="F2" s="112"/>
      <c r="G2" s="112"/>
      <c r="H2" s="112"/>
      <c r="I2" s="112"/>
      <c r="J2" s="113"/>
    </row>
    <row r="3" spans="1:10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4" t="s">
        <v>380</v>
      </c>
      <c r="H3" s="114" t="s">
        <v>384</v>
      </c>
      <c r="I3" s="114" t="s">
        <v>6</v>
      </c>
      <c r="J3" s="121" t="s">
        <v>5</v>
      </c>
    </row>
    <row r="4" spans="1:10" s="2" customFormat="1" ht="21" customHeight="1" thickBot="1">
      <c r="A4" s="120"/>
      <c r="B4" s="115"/>
      <c r="C4" s="115"/>
      <c r="D4" s="115"/>
      <c r="E4" s="115"/>
      <c r="F4" s="115"/>
      <c r="G4" s="115"/>
      <c r="H4" s="115"/>
      <c r="I4" s="115"/>
      <c r="J4" s="122"/>
    </row>
    <row r="5" spans="2:9" ht="15.75">
      <c r="B5" s="123" t="s">
        <v>37</v>
      </c>
      <c r="C5" s="123"/>
      <c r="D5" s="123"/>
      <c r="E5" s="123"/>
      <c r="F5" s="123"/>
      <c r="G5" s="123"/>
      <c r="H5" s="123"/>
      <c r="I5" s="123"/>
    </row>
    <row r="6" spans="1:10" ht="12.75">
      <c r="A6" s="40">
        <v>1</v>
      </c>
      <c r="B6" s="25" t="s">
        <v>598</v>
      </c>
      <c r="C6" s="25" t="s">
        <v>599</v>
      </c>
      <c r="D6" s="25" t="s">
        <v>577</v>
      </c>
      <c r="E6" s="25" t="str">
        <f>"0,6451"</f>
        <v>0,6451</v>
      </c>
      <c r="F6" s="25" t="s">
        <v>364</v>
      </c>
      <c r="G6" s="25" t="s">
        <v>360</v>
      </c>
      <c r="H6" s="43">
        <v>48.5</v>
      </c>
      <c r="I6" s="43" t="str">
        <f>"31,2873"</f>
        <v>31,2873</v>
      </c>
      <c r="J6" s="25" t="s">
        <v>574</v>
      </c>
    </row>
  </sheetData>
  <sheetProtection/>
  <mergeCells count="12">
    <mergeCell ref="J3:J4"/>
    <mergeCell ref="B5:I5"/>
    <mergeCell ref="B1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D21" sqref="D21"/>
    </sheetView>
  </sheetViews>
  <sheetFormatPr defaultColWidth="8.75390625" defaultRowHeight="12.75"/>
  <cols>
    <col min="1" max="1" width="8.75390625" style="0" customWidth="1"/>
    <col min="2" max="2" width="14.625" style="24" customWidth="1"/>
    <col min="3" max="3" width="27.125" style="24" bestFit="1" customWidth="1"/>
    <col min="4" max="4" width="10.625" style="24" bestFit="1" customWidth="1"/>
    <col min="5" max="5" width="8.375" style="24" bestFit="1" customWidth="1"/>
    <col min="6" max="6" width="22.75390625" style="24" bestFit="1" customWidth="1"/>
    <col min="7" max="7" width="21.625" style="24" bestFit="1" customWidth="1"/>
    <col min="8" max="10" width="5.625" style="24" bestFit="1" customWidth="1"/>
    <col min="11" max="11" width="4.625" style="24" bestFit="1" customWidth="1"/>
    <col min="12" max="12" width="11.125" style="24" customWidth="1"/>
    <col min="13" max="13" width="8.625" style="24" bestFit="1" customWidth="1"/>
    <col min="14" max="14" width="19.375" style="24" bestFit="1" customWidth="1"/>
  </cols>
  <sheetData>
    <row r="1" spans="2:14" s="1" customFormat="1" ht="15" customHeight="1">
      <c r="B1" s="109" t="s">
        <v>658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2:14" s="1" customFormat="1" ht="101.2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1</v>
      </c>
      <c r="I3" s="114"/>
      <c r="J3" s="114"/>
      <c r="K3" s="114"/>
      <c r="L3" s="114" t="s">
        <v>384</v>
      </c>
      <c r="M3" s="114" t="s">
        <v>6</v>
      </c>
      <c r="N3" s="121" t="s">
        <v>5</v>
      </c>
    </row>
    <row r="4" spans="1:14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115"/>
      <c r="M4" s="115"/>
      <c r="N4" s="122"/>
    </row>
    <row r="5" spans="2:13" ht="15.75">
      <c r="B5" s="123" t="s">
        <v>19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>
      <c r="A6" s="48">
        <v>1</v>
      </c>
      <c r="B6" s="46" t="s">
        <v>386</v>
      </c>
      <c r="C6" s="27" t="s">
        <v>362</v>
      </c>
      <c r="D6" s="27" t="s">
        <v>363</v>
      </c>
      <c r="E6" s="27" t="str">
        <f>"0,7086"</f>
        <v>0,7086</v>
      </c>
      <c r="F6" s="27" t="s">
        <v>364</v>
      </c>
      <c r="G6" s="27" t="s">
        <v>360</v>
      </c>
      <c r="H6" s="60" t="s">
        <v>29</v>
      </c>
      <c r="I6" s="58" t="s">
        <v>46</v>
      </c>
      <c r="J6" s="60" t="s">
        <v>78</v>
      </c>
      <c r="K6" s="54"/>
      <c r="L6" s="55" t="s">
        <v>46</v>
      </c>
      <c r="M6" s="55" t="str">
        <f>"106,2900"</f>
        <v>106,2900</v>
      </c>
      <c r="N6" s="27" t="s">
        <v>387</v>
      </c>
    </row>
    <row r="7" spans="1:14" ht="12.75">
      <c r="A7" s="49">
        <v>2</v>
      </c>
      <c r="B7" s="47" t="s">
        <v>365</v>
      </c>
      <c r="C7" s="28" t="s">
        <v>366</v>
      </c>
      <c r="D7" s="28" t="s">
        <v>367</v>
      </c>
      <c r="E7" s="28" t="str">
        <f>"0,6822"</f>
        <v>0,6822</v>
      </c>
      <c r="F7" s="28" t="s">
        <v>364</v>
      </c>
      <c r="G7" s="28" t="s">
        <v>360</v>
      </c>
      <c r="H7" s="61" t="s">
        <v>29</v>
      </c>
      <c r="I7" s="59" t="s">
        <v>29</v>
      </c>
      <c r="J7" s="61" t="s">
        <v>24</v>
      </c>
      <c r="K7" s="56"/>
      <c r="L7" s="57" t="s">
        <v>29</v>
      </c>
      <c r="M7" s="57" t="str">
        <f>"95,5080"</f>
        <v>95,5080</v>
      </c>
      <c r="N7" s="28" t="s">
        <v>387</v>
      </c>
    </row>
  </sheetData>
  <sheetProtection/>
  <mergeCells count="13"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</mergeCells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3">
      <selection activeCell="B33" sqref="B33"/>
    </sheetView>
  </sheetViews>
  <sheetFormatPr defaultColWidth="8.75390625" defaultRowHeight="12.75"/>
  <cols>
    <col min="1" max="1" width="8.75390625" style="0" customWidth="1"/>
    <col min="2" max="2" width="26.00390625" style="24" bestFit="1" customWidth="1"/>
    <col min="3" max="3" width="25.75390625" style="24" customWidth="1"/>
    <col min="4" max="4" width="10.625" style="24" bestFit="1" customWidth="1"/>
    <col min="5" max="5" width="8.375" style="24" bestFit="1" customWidth="1"/>
    <col min="6" max="6" width="22.75390625" style="24" bestFit="1" customWidth="1"/>
    <col min="7" max="7" width="36.625" style="24" customWidth="1"/>
    <col min="8" max="8" width="12.25390625" style="24" customWidth="1"/>
    <col min="9" max="9" width="8.625" style="24" bestFit="1" customWidth="1"/>
    <col min="10" max="10" width="19.375" style="24" bestFit="1" customWidth="1"/>
  </cols>
  <sheetData>
    <row r="1" spans="2:10" s="1" customFormat="1" ht="15" customHeight="1">
      <c r="B1" s="109" t="s">
        <v>637</v>
      </c>
      <c r="C1" s="110"/>
      <c r="D1" s="110"/>
      <c r="E1" s="110"/>
      <c r="F1" s="110"/>
      <c r="G1" s="110"/>
      <c r="H1" s="110"/>
      <c r="I1" s="110"/>
      <c r="J1" s="111"/>
    </row>
    <row r="2" spans="2:10" s="1" customFormat="1" ht="87" customHeight="1" thickBot="1">
      <c r="B2" s="112"/>
      <c r="C2" s="112"/>
      <c r="D2" s="112"/>
      <c r="E2" s="112"/>
      <c r="F2" s="112"/>
      <c r="G2" s="112"/>
      <c r="H2" s="112"/>
      <c r="I2" s="112"/>
      <c r="J2" s="113"/>
    </row>
    <row r="3" spans="1:10" s="2" customFormat="1" ht="12.75" customHeight="1">
      <c r="A3" s="119" t="s">
        <v>376</v>
      </c>
      <c r="B3" s="114" t="s">
        <v>0</v>
      </c>
      <c r="C3" s="116" t="s">
        <v>638</v>
      </c>
      <c r="D3" s="116" t="s">
        <v>378</v>
      </c>
      <c r="E3" s="114" t="s">
        <v>10</v>
      </c>
      <c r="F3" s="114" t="s">
        <v>7</v>
      </c>
      <c r="G3" s="114" t="s">
        <v>380</v>
      </c>
      <c r="H3" s="114" t="s">
        <v>384</v>
      </c>
      <c r="I3" s="114" t="s">
        <v>6</v>
      </c>
      <c r="J3" s="121" t="s">
        <v>5</v>
      </c>
    </row>
    <row r="4" spans="1:10" s="2" customFormat="1" ht="21" customHeight="1" thickBot="1">
      <c r="A4" s="120"/>
      <c r="B4" s="115"/>
      <c r="C4" s="115"/>
      <c r="D4" s="115"/>
      <c r="E4" s="115"/>
      <c r="F4" s="115"/>
      <c r="G4" s="115"/>
      <c r="H4" s="115"/>
      <c r="I4" s="115"/>
      <c r="J4" s="122"/>
    </row>
    <row r="5" spans="2:9" ht="15.75">
      <c r="B5" s="123" t="s">
        <v>600</v>
      </c>
      <c r="C5" s="123"/>
      <c r="D5" s="123"/>
      <c r="E5" s="123"/>
      <c r="F5" s="123"/>
      <c r="G5" s="123"/>
      <c r="H5" s="123"/>
      <c r="I5" s="123"/>
    </row>
    <row r="6" spans="1:10" ht="12.75">
      <c r="A6" s="48">
        <v>1</v>
      </c>
      <c r="B6" s="27" t="s">
        <v>601</v>
      </c>
      <c r="C6" s="27" t="s">
        <v>602</v>
      </c>
      <c r="D6" s="27" t="s">
        <v>603</v>
      </c>
      <c r="E6" s="27" t="str">
        <f>"0,7586"</f>
        <v>0,7586</v>
      </c>
      <c r="F6" s="27" t="s">
        <v>364</v>
      </c>
      <c r="G6" s="27" t="s">
        <v>360</v>
      </c>
      <c r="H6" s="55" t="s">
        <v>16</v>
      </c>
      <c r="I6" s="55" t="str">
        <f>"75,8600"</f>
        <v>75,8600</v>
      </c>
      <c r="J6" s="27" t="s">
        <v>574</v>
      </c>
    </row>
    <row r="7" spans="1:10" ht="12.75">
      <c r="A7" s="49">
        <v>1</v>
      </c>
      <c r="B7" s="28" t="s">
        <v>154</v>
      </c>
      <c r="C7" s="28" t="s">
        <v>155</v>
      </c>
      <c r="D7" s="28" t="s">
        <v>156</v>
      </c>
      <c r="E7" s="28" t="str">
        <f>"0,7794"</f>
        <v>0,7794</v>
      </c>
      <c r="F7" s="28" t="s">
        <v>22</v>
      </c>
      <c r="G7" s="28" t="s">
        <v>157</v>
      </c>
      <c r="H7" s="57" t="s">
        <v>36</v>
      </c>
      <c r="I7" s="57" t="str">
        <f>"101,3220"</f>
        <v>101,3220</v>
      </c>
      <c r="J7" s="28" t="s">
        <v>47</v>
      </c>
    </row>
    <row r="9" spans="2:9" ht="15.75">
      <c r="B9" s="108" t="s">
        <v>604</v>
      </c>
      <c r="C9" s="108"/>
      <c r="D9" s="108"/>
      <c r="E9" s="108"/>
      <c r="F9" s="108"/>
      <c r="G9" s="108"/>
      <c r="H9" s="108"/>
      <c r="I9" s="108"/>
    </row>
    <row r="10" spans="1:10" ht="12.75">
      <c r="A10" s="48">
        <v>1</v>
      </c>
      <c r="B10" s="27" t="s">
        <v>605</v>
      </c>
      <c r="C10" s="27" t="s">
        <v>606</v>
      </c>
      <c r="D10" s="27" t="s">
        <v>573</v>
      </c>
      <c r="E10" s="27" t="str">
        <f>"0,7214"</f>
        <v>0,7214</v>
      </c>
      <c r="F10" s="27" t="s">
        <v>364</v>
      </c>
      <c r="G10" s="27" t="s">
        <v>360</v>
      </c>
      <c r="H10" s="55" t="s">
        <v>36</v>
      </c>
      <c r="I10" s="55" t="str">
        <f>"93,7820"</f>
        <v>93,7820</v>
      </c>
      <c r="J10" s="27" t="s">
        <v>387</v>
      </c>
    </row>
    <row r="11" spans="1:10" ht="12.75">
      <c r="A11" s="63">
        <v>2</v>
      </c>
      <c r="B11" s="29" t="s">
        <v>607</v>
      </c>
      <c r="C11" s="29" t="s">
        <v>608</v>
      </c>
      <c r="D11" s="29" t="s">
        <v>163</v>
      </c>
      <c r="E11" s="29" t="str">
        <f>"0,7152"</f>
        <v>0,7152</v>
      </c>
      <c r="F11" s="29" t="s">
        <v>22</v>
      </c>
      <c r="G11" s="29" t="s">
        <v>609</v>
      </c>
      <c r="H11" s="68" t="s">
        <v>36</v>
      </c>
      <c r="I11" s="68" t="str">
        <f>"92,9760"</f>
        <v>92,9760</v>
      </c>
      <c r="J11" s="29" t="s">
        <v>597</v>
      </c>
    </row>
    <row r="12" spans="1:10" ht="12.75">
      <c r="A12" s="63">
        <v>3</v>
      </c>
      <c r="B12" s="29" t="s">
        <v>356</v>
      </c>
      <c r="C12" s="29" t="s">
        <v>610</v>
      </c>
      <c r="D12" s="29" t="s">
        <v>611</v>
      </c>
      <c r="E12" s="29" t="str">
        <f>"0,7132"</f>
        <v>0,7132</v>
      </c>
      <c r="F12" s="29" t="s">
        <v>364</v>
      </c>
      <c r="G12" s="29" t="s">
        <v>360</v>
      </c>
      <c r="H12" s="68" t="s">
        <v>36</v>
      </c>
      <c r="I12" s="68" t="str">
        <f>"92,7160"</f>
        <v>92,7160</v>
      </c>
      <c r="J12" s="29" t="s">
        <v>574</v>
      </c>
    </row>
    <row r="13" spans="1:10" ht="12.75">
      <c r="A13" s="63">
        <v>4</v>
      </c>
      <c r="B13" s="29" t="s">
        <v>612</v>
      </c>
      <c r="C13" s="29" t="s">
        <v>613</v>
      </c>
      <c r="D13" s="29" t="s">
        <v>614</v>
      </c>
      <c r="E13" s="29" t="str">
        <f>"0,6922"</f>
        <v>0,6922</v>
      </c>
      <c r="F13" s="29" t="s">
        <v>364</v>
      </c>
      <c r="G13" s="29" t="s">
        <v>360</v>
      </c>
      <c r="H13" s="68" t="s">
        <v>17</v>
      </c>
      <c r="I13" s="68" t="str">
        <f>"76,1420"</f>
        <v>76,1420</v>
      </c>
      <c r="J13" s="29" t="s">
        <v>574</v>
      </c>
    </row>
    <row r="14" spans="1:10" ht="12.75">
      <c r="A14" s="49">
        <v>1</v>
      </c>
      <c r="B14" s="28" t="s">
        <v>615</v>
      </c>
      <c r="C14" s="28" t="s">
        <v>616</v>
      </c>
      <c r="D14" s="28" t="s">
        <v>617</v>
      </c>
      <c r="E14" s="28" t="str">
        <f>"0,6975"</f>
        <v>0,6975</v>
      </c>
      <c r="F14" s="28" t="s">
        <v>22</v>
      </c>
      <c r="G14" s="28" t="s">
        <v>618</v>
      </c>
      <c r="H14" s="57" t="s">
        <v>46</v>
      </c>
      <c r="I14" s="57" t="str">
        <f>"104,6250"</f>
        <v>104,6250</v>
      </c>
      <c r="J14" s="28" t="s">
        <v>597</v>
      </c>
    </row>
    <row r="16" spans="2:9" ht="15.75">
      <c r="B16" s="108" t="s">
        <v>37</v>
      </c>
      <c r="C16" s="108"/>
      <c r="D16" s="108"/>
      <c r="E16" s="108"/>
      <c r="F16" s="108"/>
      <c r="G16" s="108"/>
      <c r="H16" s="108"/>
      <c r="I16" s="108"/>
    </row>
    <row r="17" spans="1:10" ht="12.75">
      <c r="A17" s="48">
        <v>1</v>
      </c>
      <c r="B17" s="27" t="s">
        <v>598</v>
      </c>
      <c r="C17" s="27" t="s">
        <v>599</v>
      </c>
      <c r="D17" s="27" t="s">
        <v>577</v>
      </c>
      <c r="E17" s="27" t="str">
        <f>"0,6451"</f>
        <v>0,6451</v>
      </c>
      <c r="F17" s="27" t="s">
        <v>364</v>
      </c>
      <c r="G17" s="27" t="s">
        <v>360</v>
      </c>
      <c r="H17" s="55" t="s">
        <v>46</v>
      </c>
      <c r="I17" s="55" t="str">
        <f>"96,7650"</f>
        <v>96,7650</v>
      </c>
      <c r="J17" s="27" t="s">
        <v>387</v>
      </c>
    </row>
    <row r="18" spans="1:10" ht="12.75">
      <c r="A18" s="63">
        <v>2</v>
      </c>
      <c r="B18" s="29" t="s">
        <v>365</v>
      </c>
      <c r="C18" s="29" t="s">
        <v>619</v>
      </c>
      <c r="D18" s="29" t="s">
        <v>620</v>
      </c>
      <c r="E18" s="29" t="str">
        <f>"0,6774"</f>
        <v>0,6774</v>
      </c>
      <c r="F18" s="29" t="s">
        <v>364</v>
      </c>
      <c r="G18" s="29" t="s">
        <v>360</v>
      </c>
      <c r="H18" s="68" t="s">
        <v>34</v>
      </c>
      <c r="I18" s="68" t="str">
        <f>"81,2880"</f>
        <v>81,2880</v>
      </c>
      <c r="J18" s="29" t="s">
        <v>387</v>
      </c>
    </row>
    <row r="19" spans="1:10" ht="12.75">
      <c r="A19" s="63">
        <v>3</v>
      </c>
      <c r="B19" s="29" t="s">
        <v>361</v>
      </c>
      <c r="C19" s="29" t="s">
        <v>621</v>
      </c>
      <c r="D19" s="29" t="s">
        <v>620</v>
      </c>
      <c r="E19" s="29" t="str">
        <f>"0,6774"</f>
        <v>0,6774</v>
      </c>
      <c r="F19" s="29" t="s">
        <v>22</v>
      </c>
      <c r="G19" s="29" t="s">
        <v>360</v>
      </c>
      <c r="H19" s="68" t="s">
        <v>16</v>
      </c>
      <c r="I19" s="68" t="str">
        <f>"67,7400"</f>
        <v>67,7400</v>
      </c>
      <c r="J19" s="29" t="s">
        <v>574</v>
      </c>
    </row>
    <row r="20" spans="1:10" ht="12.75">
      <c r="A20" s="49">
        <v>1</v>
      </c>
      <c r="B20" s="28" t="s">
        <v>622</v>
      </c>
      <c r="C20" s="28" t="s">
        <v>623</v>
      </c>
      <c r="D20" s="28" t="s">
        <v>493</v>
      </c>
      <c r="E20" s="28" t="str">
        <f>"0,6532"</f>
        <v>0,6532</v>
      </c>
      <c r="F20" s="28" t="s">
        <v>22</v>
      </c>
      <c r="G20" s="28" t="s">
        <v>389</v>
      </c>
      <c r="H20" s="57" t="s">
        <v>46</v>
      </c>
      <c r="I20" s="57" t="str">
        <f>"97,9800"</f>
        <v>97,9800</v>
      </c>
      <c r="J20" s="28" t="s">
        <v>597</v>
      </c>
    </row>
    <row r="21" ht="15.75" customHeight="1">
      <c r="F21" s="30" t="s">
        <v>117</v>
      </c>
    </row>
    <row r="23" spans="2:3" ht="18">
      <c r="B23" s="31" t="s">
        <v>118</v>
      </c>
      <c r="C23" s="31"/>
    </row>
    <row r="24" spans="2:3" ht="15.75">
      <c r="B24" s="32" t="s">
        <v>639</v>
      </c>
      <c r="C24" s="32"/>
    </row>
    <row r="25" spans="2:3" ht="13.5">
      <c r="B25" s="34"/>
      <c r="C25" s="35" t="s">
        <v>640</v>
      </c>
    </row>
    <row r="26" spans="2:6" ht="13.5">
      <c r="B26" s="36" t="s">
        <v>121</v>
      </c>
      <c r="C26" s="36" t="s">
        <v>122</v>
      </c>
      <c r="D26" s="36" t="s">
        <v>123</v>
      </c>
      <c r="E26" s="36" t="s">
        <v>124</v>
      </c>
      <c r="F26" s="36" t="s">
        <v>125</v>
      </c>
    </row>
    <row r="27" spans="1:6" ht="12.75">
      <c r="A27">
        <v>1</v>
      </c>
      <c r="B27" s="33" t="s">
        <v>598</v>
      </c>
      <c r="C27" s="24" t="s">
        <v>120</v>
      </c>
      <c r="D27" s="103" t="s">
        <v>268</v>
      </c>
      <c r="E27" s="37" t="s">
        <v>46</v>
      </c>
      <c r="F27" s="37" t="s">
        <v>624</v>
      </c>
    </row>
    <row r="28" spans="1:6" ht="12.75">
      <c r="A28">
        <v>2</v>
      </c>
      <c r="B28" s="33" t="s">
        <v>605</v>
      </c>
      <c r="C28" s="24" t="s">
        <v>120</v>
      </c>
      <c r="D28" s="103" t="s">
        <v>625</v>
      </c>
      <c r="E28" s="37" t="s">
        <v>36</v>
      </c>
      <c r="F28" s="37" t="s">
        <v>626</v>
      </c>
    </row>
    <row r="29" spans="1:6" ht="12.75">
      <c r="A29">
        <v>3</v>
      </c>
      <c r="B29" s="33" t="s">
        <v>607</v>
      </c>
      <c r="C29" s="24" t="s">
        <v>120</v>
      </c>
      <c r="D29" s="103" t="s">
        <v>625</v>
      </c>
      <c r="E29" s="37" t="s">
        <v>36</v>
      </c>
      <c r="F29" s="37" t="s">
        <v>627</v>
      </c>
    </row>
  </sheetData>
  <sheetProtection/>
  <mergeCells count="14">
    <mergeCell ref="B1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B5:I5"/>
    <mergeCell ref="B9:I9"/>
    <mergeCell ref="B16:I16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F26" sqref="F26"/>
    </sheetView>
  </sheetViews>
  <sheetFormatPr defaultColWidth="8.75390625" defaultRowHeight="12.75"/>
  <cols>
    <col min="1" max="1" width="8.75390625" style="0" customWidth="1"/>
    <col min="2" max="2" width="26.00390625" style="24" bestFit="1" customWidth="1"/>
    <col min="3" max="3" width="26.25390625" style="24" customWidth="1"/>
    <col min="4" max="4" width="10.625" style="24" bestFit="1" customWidth="1"/>
    <col min="5" max="5" width="8.375" style="24" bestFit="1" customWidth="1"/>
    <col min="6" max="6" width="22.75390625" style="24" bestFit="1" customWidth="1"/>
    <col min="7" max="7" width="36.125" style="24" customWidth="1"/>
    <col min="8" max="8" width="11.875" style="24" customWidth="1"/>
    <col min="9" max="9" width="7.625" style="24" bestFit="1" customWidth="1"/>
    <col min="10" max="10" width="19.375" style="24" bestFit="1" customWidth="1"/>
  </cols>
  <sheetData>
    <row r="1" spans="2:10" s="1" customFormat="1" ht="15" customHeight="1">
      <c r="B1" s="109" t="s">
        <v>635</v>
      </c>
      <c r="C1" s="110"/>
      <c r="D1" s="110"/>
      <c r="E1" s="110"/>
      <c r="F1" s="110"/>
      <c r="G1" s="110"/>
      <c r="H1" s="110"/>
      <c r="I1" s="110"/>
      <c r="J1" s="111"/>
    </row>
    <row r="2" spans="2:10" s="1" customFormat="1" ht="89.25" customHeight="1" thickBot="1">
      <c r="B2" s="112"/>
      <c r="C2" s="112"/>
      <c r="D2" s="112"/>
      <c r="E2" s="112"/>
      <c r="F2" s="112"/>
      <c r="G2" s="112"/>
      <c r="H2" s="112"/>
      <c r="I2" s="112"/>
      <c r="J2" s="113"/>
    </row>
    <row r="3" spans="1:10" s="2" customFormat="1" ht="12.75" customHeight="1">
      <c r="A3" s="119" t="s">
        <v>376</v>
      </c>
      <c r="B3" s="114" t="s">
        <v>0</v>
      </c>
      <c r="C3" s="116" t="s">
        <v>636</v>
      </c>
      <c r="D3" s="116" t="s">
        <v>378</v>
      </c>
      <c r="E3" s="114" t="s">
        <v>10</v>
      </c>
      <c r="F3" s="114" t="s">
        <v>7</v>
      </c>
      <c r="G3" s="114" t="s">
        <v>380</v>
      </c>
      <c r="H3" s="114" t="s">
        <v>384</v>
      </c>
      <c r="I3" s="114" t="s">
        <v>6</v>
      </c>
      <c r="J3" s="121" t="s">
        <v>5</v>
      </c>
    </row>
    <row r="4" spans="1:10" s="2" customFormat="1" ht="21" customHeight="1" thickBot="1">
      <c r="A4" s="120"/>
      <c r="B4" s="115"/>
      <c r="C4" s="115"/>
      <c r="D4" s="115"/>
      <c r="E4" s="115"/>
      <c r="F4" s="115"/>
      <c r="G4" s="115"/>
      <c r="H4" s="115"/>
      <c r="I4" s="115"/>
      <c r="J4" s="122"/>
    </row>
    <row r="5" spans="2:9" ht="15.75">
      <c r="B5" s="123" t="s">
        <v>604</v>
      </c>
      <c r="C5" s="123"/>
      <c r="D5" s="123"/>
      <c r="E5" s="123"/>
      <c r="F5" s="123"/>
      <c r="G5" s="123"/>
      <c r="H5" s="123"/>
      <c r="I5" s="123"/>
    </row>
    <row r="6" spans="1:10" ht="12.75">
      <c r="A6" s="48">
        <v>1</v>
      </c>
      <c r="B6" s="27" t="s">
        <v>607</v>
      </c>
      <c r="C6" s="27" t="s">
        <v>608</v>
      </c>
      <c r="D6" s="27" t="s">
        <v>163</v>
      </c>
      <c r="E6" s="27" t="str">
        <f>"0,7152"</f>
        <v>0,7152</v>
      </c>
      <c r="F6" s="27" t="s">
        <v>22</v>
      </c>
      <c r="G6" s="27" t="s">
        <v>609</v>
      </c>
      <c r="H6" s="55" t="s">
        <v>628</v>
      </c>
      <c r="I6" s="55" t="str">
        <f>"45,0576"</f>
        <v>45,0576</v>
      </c>
      <c r="J6" s="27" t="s">
        <v>597</v>
      </c>
    </row>
    <row r="7" spans="1:10" ht="12.75">
      <c r="A7" s="49">
        <v>1</v>
      </c>
      <c r="B7" s="28" t="s">
        <v>615</v>
      </c>
      <c r="C7" s="28" t="s">
        <v>616</v>
      </c>
      <c r="D7" s="28" t="s">
        <v>617</v>
      </c>
      <c r="E7" s="28" t="str">
        <f>"0,6975"</f>
        <v>0,6975</v>
      </c>
      <c r="F7" s="28" t="s">
        <v>22</v>
      </c>
      <c r="G7" s="28" t="s">
        <v>618</v>
      </c>
      <c r="H7" s="57">
        <v>80.5</v>
      </c>
      <c r="I7" s="57" t="str">
        <f>"56,1487"</f>
        <v>56,1487</v>
      </c>
      <c r="J7" s="28" t="s">
        <v>597</v>
      </c>
    </row>
    <row r="9" spans="2:9" ht="15.75">
      <c r="B9" s="108" t="s">
        <v>37</v>
      </c>
      <c r="C9" s="108"/>
      <c r="D9" s="108"/>
      <c r="E9" s="108"/>
      <c r="F9" s="108"/>
      <c r="G9" s="108"/>
      <c r="H9" s="108"/>
      <c r="I9" s="108"/>
    </row>
    <row r="10" spans="1:10" ht="12.75">
      <c r="A10" s="48">
        <v>1</v>
      </c>
      <c r="B10" s="27" t="s">
        <v>598</v>
      </c>
      <c r="C10" s="27" t="s">
        <v>599</v>
      </c>
      <c r="D10" s="27" t="s">
        <v>577</v>
      </c>
      <c r="E10" s="27" t="str">
        <f>"0,6451"</f>
        <v>0,6451</v>
      </c>
      <c r="F10" s="27" t="s">
        <v>364</v>
      </c>
      <c r="G10" s="27" t="s">
        <v>360</v>
      </c>
      <c r="H10" s="55" t="s">
        <v>629</v>
      </c>
      <c r="I10" s="55" t="str">
        <f>"47,0923"</f>
        <v>47,0923</v>
      </c>
      <c r="J10" s="27" t="s">
        <v>574</v>
      </c>
    </row>
    <row r="11" spans="1:10" ht="12.75">
      <c r="A11" s="63">
        <v>2</v>
      </c>
      <c r="B11" s="29" t="s">
        <v>365</v>
      </c>
      <c r="C11" s="29" t="s">
        <v>619</v>
      </c>
      <c r="D11" s="29" t="s">
        <v>620</v>
      </c>
      <c r="E11" s="29" t="str">
        <f>"0,6774"</f>
        <v>0,6774</v>
      </c>
      <c r="F11" s="29" t="s">
        <v>364</v>
      </c>
      <c r="G11" s="29" t="s">
        <v>360</v>
      </c>
      <c r="H11" s="68" t="s">
        <v>630</v>
      </c>
      <c r="I11" s="68" t="str">
        <f>"39,2892"</f>
        <v>39,2892</v>
      </c>
      <c r="J11" s="29" t="s">
        <v>387</v>
      </c>
    </row>
    <row r="12" spans="1:10" ht="12.75">
      <c r="A12" s="49">
        <v>1</v>
      </c>
      <c r="B12" s="28" t="s">
        <v>622</v>
      </c>
      <c r="C12" s="28" t="s">
        <v>623</v>
      </c>
      <c r="D12" s="28" t="s">
        <v>493</v>
      </c>
      <c r="E12" s="28" t="str">
        <f>"0,6532"</f>
        <v>0,6532</v>
      </c>
      <c r="F12" s="28" t="s">
        <v>22</v>
      </c>
      <c r="G12" s="28" t="s">
        <v>383</v>
      </c>
      <c r="H12" s="57" t="s">
        <v>631</v>
      </c>
      <c r="I12" s="57" t="str">
        <f>"50,9496"</f>
        <v>50,9496</v>
      </c>
      <c r="J12" s="28" t="s">
        <v>597</v>
      </c>
    </row>
  </sheetData>
  <sheetProtection/>
  <mergeCells count="13">
    <mergeCell ref="G3:G4"/>
    <mergeCell ref="H3:H4"/>
    <mergeCell ref="I3:I4"/>
    <mergeCell ref="J3:J4"/>
    <mergeCell ref="B5:I5"/>
    <mergeCell ref="B9:I9"/>
    <mergeCell ref="B1:J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C26" sqref="C26"/>
    </sheetView>
  </sheetViews>
  <sheetFormatPr defaultColWidth="8.75390625" defaultRowHeight="12.75"/>
  <cols>
    <col min="1" max="1" width="8.75390625" style="0" customWidth="1"/>
    <col min="2" max="2" width="18.75390625" style="24" customWidth="1"/>
    <col min="3" max="3" width="26.00390625" style="24" customWidth="1"/>
    <col min="4" max="4" width="10.625" style="24" bestFit="1" customWidth="1"/>
    <col min="5" max="5" width="8.375" style="24" bestFit="1" customWidth="1"/>
    <col min="6" max="6" width="22.75390625" style="24" bestFit="1" customWidth="1"/>
    <col min="7" max="7" width="33.625" style="24" bestFit="1" customWidth="1"/>
    <col min="8" max="8" width="11.625" style="24" customWidth="1"/>
    <col min="9" max="9" width="7.625" style="24" bestFit="1" customWidth="1"/>
    <col min="10" max="10" width="15.75390625" style="24" bestFit="1" customWidth="1"/>
  </cols>
  <sheetData>
    <row r="1" spans="2:10" s="1" customFormat="1" ht="15" customHeight="1">
      <c r="B1" s="109" t="s">
        <v>633</v>
      </c>
      <c r="C1" s="110"/>
      <c r="D1" s="110"/>
      <c r="E1" s="110"/>
      <c r="F1" s="110"/>
      <c r="G1" s="110"/>
      <c r="H1" s="110"/>
      <c r="I1" s="110"/>
      <c r="J1" s="111"/>
    </row>
    <row r="2" spans="2:10" s="1" customFormat="1" ht="91.5" customHeight="1" thickBot="1">
      <c r="B2" s="112"/>
      <c r="C2" s="112"/>
      <c r="D2" s="112"/>
      <c r="E2" s="112"/>
      <c r="F2" s="112"/>
      <c r="G2" s="112"/>
      <c r="H2" s="112"/>
      <c r="I2" s="112"/>
      <c r="J2" s="113"/>
    </row>
    <row r="3" spans="1:10" s="2" customFormat="1" ht="12.75" customHeight="1">
      <c r="A3" s="119" t="s">
        <v>376</v>
      </c>
      <c r="B3" s="114" t="s">
        <v>0</v>
      </c>
      <c r="C3" s="116" t="s">
        <v>634</v>
      </c>
      <c r="D3" s="116" t="s">
        <v>378</v>
      </c>
      <c r="E3" s="114" t="s">
        <v>10</v>
      </c>
      <c r="F3" s="114" t="s">
        <v>7</v>
      </c>
      <c r="G3" s="114" t="s">
        <v>380</v>
      </c>
      <c r="H3" s="114" t="s">
        <v>384</v>
      </c>
      <c r="I3" s="114" t="s">
        <v>6</v>
      </c>
      <c r="J3" s="121" t="s">
        <v>5</v>
      </c>
    </row>
    <row r="4" spans="1:10" s="2" customFormat="1" ht="21" customHeight="1" thickBot="1">
      <c r="A4" s="120"/>
      <c r="B4" s="115"/>
      <c r="C4" s="115"/>
      <c r="D4" s="115"/>
      <c r="E4" s="115"/>
      <c r="F4" s="115"/>
      <c r="G4" s="115"/>
      <c r="H4" s="115"/>
      <c r="I4" s="115"/>
      <c r="J4" s="122"/>
    </row>
    <row r="5" spans="2:9" ht="15.75">
      <c r="B5" s="123" t="s">
        <v>600</v>
      </c>
      <c r="C5" s="123"/>
      <c r="D5" s="123"/>
      <c r="E5" s="123"/>
      <c r="F5" s="123"/>
      <c r="G5" s="123"/>
      <c r="H5" s="123"/>
      <c r="I5" s="123"/>
    </row>
    <row r="6" spans="1:10" ht="12.75">
      <c r="A6" s="40">
        <v>1</v>
      </c>
      <c r="B6" s="25" t="s">
        <v>154</v>
      </c>
      <c r="C6" s="25" t="s">
        <v>155</v>
      </c>
      <c r="D6" s="25" t="s">
        <v>156</v>
      </c>
      <c r="E6" s="25" t="str">
        <f>"0,7794"</f>
        <v>0,7794</v>
      </c>
      <c r="F6" s="25" t="s">
        <v>22</v>
      </c>
      <c r="G6" s="25" t="s">
        <v>157</v>
      </c>
      <c r="H6" s="43" t="s">
        <v>631</v>
      </c>
      <c r="I6" s="43" t="str">
        <f>"60,7932"</f>
        <v>60,7932</v>
      </c>
      <c r="J6" s="25" t="s">
        <v>47</v>
      </c>
    </row>
    <row r="8" spans="2:9" ht="15.75">
      <c r="B8" s="108" t="s">
        <v>604</v>
      </c>
      <c r="C8" s="108"/>
      <c r="D8" s="108"/>
      <c r="E8" s="108"/>
      <c r="F8" s="108"/>
      <c r="G8" s="108"/>
      <c r="H8" s="108"/>
      <c r="I8" s="108"/>
    </row>
    <row r="9" spans="1:10" ht="12.75">
      <c r="A9" s="40">
        <v>1</v>
      </c>
      <c r="B9" s="25" t="s">
        <v>615</v>
      </c>
      <c r="C9" s="25" t="s">
        <v>616</v>
      </c>
      <c r="D9" s="25" t="s">
        <v>617</v>
      </c>
      <c r="E9" s="25" t="str">
        <f>"0,6975"</f>
        <v>0,6975</v>
      </c>
      <c r="F9" s="25" t="s">
        <v>22</v>
      </c>
      <c r="G9" s="25" t="s">
        <v>618</v>
      </c>
      <c r="H9" s="43">
        <v>95.5</v>
      </c>
      <c r="I9" s="43" t="str">
        <f>"66,6112"</f>
        <v>66,6112</v>
      </c>
      <c r="J9" s="25" t="s">
        <v>47</v>
      </c>
    </row>
  </sheetData>
  <sheetProtection/>
  <mergeCells count="13">
    <mergeCell ref="G3:G4"/>
    <mergeCell ref="H3:H4"/>
    <mergeCell ref="I3:I4"/>
    <mergeCell ref="J3:J4"/>
    <mergeCell ref="B5:I5"/>
    <mergeCell ref="B8:I8"/>
    <mergeCell ref="B1:J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B22" sqref="B22"/>
    </sheetView>
  </sheetViews>
  <sheetFormatPr defaultColWidth="9.125" defaultRowHeight="12.75"/>
  <cols>
    <col min="1" max="1" width="9.125" style="1" customWidth="1"/>
    <col min="2" max="2" width="15.875" style="4" customWidth="1"/>
    <col min="3" max="3" width="25.87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1.625" style="5" bestFit="1" customWidth="1"/>
    <col min="8" max="8" width="12.00390625" style="4" customWidth="1"/>
    <col min="9" max="9" width="7.625" style="1" bestFit="1" customWidth="1"/>
    <col min="10" max="10" width="19.375" style="5" bestFit="1" customWidth="1"/>
    <col min="11" max="16384" width="9.125" style="1" customWidth="1"/>
  </cols>
  <sheetData>
    <row r="1" spans="2:10" ht="15" customHeight="1">
      <c r="B1" s="109" t="s">
        <v>632</v>
      </c>
      <c r="C1" s="110"/>
      <c r="D1" s="110"/>
      <c r="E1" s="110"/>
      <c r="F1" s="110"/>
      <c r="G1" s="110"/>
      <c r="H1" s="110"/>
      <c r="I1" s="110"/>
      <c r="J1" s="111"/>
    </row>
    <row r="2" spans="2:10" ht="83.25" customHeight="1" thickBot="1">
      <c r="B2" s="112"/>
      <c r="C2" s="112"/>
      <c r="D2" s="112"/>
      <c r="E2" s="112"/>
      <c r="F2" s="112"/>
      <c r="G2" s="112"/>
      <c r="H2" s="112"/>
      <c r="I2" s="112"/>
      <c r="J2" s="113"/>
    </row>
    <row r="3" spans="1:10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4" t="s">
        <v>380</v>
      </c>
      <c r="H3" s="114" t="s">
        <v>384</v>
      </c>
      <c r="I3" s="114" t="s">
        <v>6</v>
      </c>
      <c r="J3" s="121" t="s">
        <v>5</v>
      </c>
    </row>
    <row r="4" spans="1:10" s="2" customFormat="1" ht="21" customHeight="1" thickBot="1">
      <c r="A4" s="120"/>
      <c r="B4" s="115"/>
      <c r="C4" s="115"/>
      <c r="D4" s="115"/>
      <c r="E4" s="115"/>
      <c r="F4" s="115"/>
      <c r="G4" s="115"/>
      <c r="H4" s="115"/>
      <c r="I4" s="115"/>
      <c r="J4" s="122"/>
    </row>
    <row r="5" spans="2:9" ht="15.75">
      <c r="B5" s="132" t="s">
        <v>37</v>
      </c>
      <c r="C5" s="123"/>
      <c r="D5" s="123"/>
      <c r="E5" s="123"/>
      <c r="F5" s="123"/>
      <c r="G5" s="123"/>
      <c r="H5" s="123"/>
      <c r="I5" s="123"/>
    </row>
    <row r="6" spans="1:10" ht="12.75">
      <c r="A6" s="83" t="s">
        <v>456</v>
      </c>
      <c r="B6" s="88" t="s">
        <v>598</v>
      </c>
      <c r="C6" s="7" t="s">
        <v>599</v>
      </c>
      <c r="D6" s="7" t="s">
        <v>577</v>
      </c>
      <c r="E6" s="7" t="str">
        <f>"0,6451"</f>
        <v>0,6451</v>
      </c>
      <c r="F6" s="8" t="s">
        <v>364</v>
      </c>
      <c r="G6" s="8" t="s">
        <v>360</v>
      </c>
      <c r="H6" s="83" t="s">
        <v>567</v>
      </c>
      <c r="I6" s="83" t="str">
        <f>"12,9020"</f>
        <v>12,9020</v>
      </c>
      <c r="J6" s="8" t="s">
        <v>574</v>
      </c>
    </row>
  </sheetData>
  <sheetProtection/>
  <mergeCells count="12">
    <mergeCell ref="J3:J4"/>
    <mergeCell ref="B5:I5"/>
    <mergeCell ref="B1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C24" sqref="C24"/>
    </sheetView>
  </sheetViews>
  <sheetFormatPr defaultColWidth="8.75390625" defaultRowHeight="12.75"/>
  <cols>
    <col min="1" max="1" width="8.75390625" style="0" customWidth="1"/>
    <col min="2" max="2" width="16.875" style="24" customWidth="1"/>
    <col min="3" max="3" width="26.00390625" style="24" customWidth="1"/>
    <col min="4" max="4" width="10.625" style="24" bestFit="1" customWidth="1"/>
    <col min="5" max="5" width="8.375" style="24" bestFit="1" customWidth="1"/>
    <col min="6" max="6" width="11.375" style="24" customWidth="1"/>
    <col min="7" max="7" width="36.125" style="24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6" width="7.875" style="24" bestFit="1" customWidth="1"/>
    <col min="17" max="17" width="8.625" style="24" bestFit="1" customWidth="1"/>
    <col min="18" max="18" width="15.75390625" style="24" bestFit="1" customWidth="1"/>
  </cols>
  <sheetData>
    <row r="1" spans="2:18" s="1" customFormat="1" ht="15" customHeight="1">
      <c r="B1" s="109" t="s">
        <v>657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2:18" s="1" customFormat="1" ht="90.7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</row>
    <row r="3" spans="1:18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2</v>
      </c>
      <c r="I3" s="114"/>
      <c r="J3" s="114"/>
      <c r="K3" s="114"/>
      <c r="L3" s="114" t="s">
        <v>3</v>
      </c>
      <c r="M3" s="114"/>
      <c r="N3" s="114"/>
      <c r="O3" s="114"/>
      <c r="P3" s="114" t="s">
        <v>4</v>
      </c>
      <c r="Q3" s="114" t="s">
        <v>6</v>
      </c>
      <c r="R3" s="121" t="s">
        <v>5</v>
      </c>
    </row>
    <row r="4" spans="1:18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15"/>
      <c r="Q4" s="115"/>
      <c r="R4" s="122"/>
    </row>
    <row r="5" spans="2:17" ht="15.75">
      <c r="B5" s="123" t="s">
        <v>19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8" ht="12.75">
      <c r="A6" s="40">
        <v>1</v>
      </c>
      <c r="B6" s="25" t="s">
        <v>388</v>
      </c>
      <c r="C6" s="25" t="s">
        <v>303</v>
      </c>
      <c r="D6" s="25" t="s">
        <v>374</v>
      </c>
      <c r="E6" s="25" t="str">
        <f>"0,6714"</f>
        <v>0,6714</v>
      </c>
      <c r="F6" s="25" t="s">
        <v>22</v>
      </c>
      <c r="G6" s="25" t="s">
        <v>389</v>
      </c>
      <c r="H6" s="45" t="s">
        <v>17</v>
      </c>
      <c r="I6" s="45" t="s">
        <v>34</v>
      </c>
      <c r="J6" s="45" t="s">
        <v>35</v>
      </c>
      <c r="K6" s="44"/>
      <c r="L6" s="45" t="s">
        <v>24</v>
      </c>
      <c r="M6" s="45" t="s">
        <v>284</v>
      </c>
      <c r="N6" s="45" t="s">
        <v>41</v>
      </c>
      <c r="O6" s="44"/>
      <c r="P6" s="43" t="s">
        <v>287</v>
      </c>
      <c r="Q6" s="43" t="str">
        <f>"204,7770"</f>
        <v>204,7770</v>
      </c>
      <c r="R6" s="25" t="s">
        <v>47</v>
      </c>
    </row>
  </sheetData>
  <sheetProtection/>
  <mergeCells count="14">
    <mergeCell ref="A3:A4"/>
    <mergeCell ref="P3:P4"/>
    <mergeCell ref="Q3:Q4"/>
    <mergeCell ref="R3:R4"/>
    <mergeCell ref="B5:Q5"/>
    <mergeCell ref="B1:R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B21" sqref="B21:M21"/>
    </sheetView>
  </sheetViews>
  <sheetFormatPr defaultColWidth="8.75390625" defaultRowHeight="12.75"/>
  <cols>
    <col min="1" max="1" width="8.75390625" style="0" customWidth="1"/>
    <col min="2" max="2" width="17.25390625" style="24" customWidth="1"/>
    <col min="3" max="3" width="27.125" style="24" bestFit="1" customWidth="1"/>
    <col min="4" max="4" width="10.625" style="24" bestFit="1" customWidth="1"/>
    <col min="5" max="5" width="8.375" style="24" bestFit="1" customWidth="1"/>
    <col min="6" max="6" width="19.375" style="24" customWidth="1"/>
    <col min="7" max="7" width="36.375" style="24" customWidth="1"/>
    <col min="8" max="10" width="5.625" style="24" bestFit="1" customWidth="1"/>
    <col min="11" max="11" width="4.625" style="24" bestFit="1" customWidth="1"/>
    <col min="12" max="12" width="12.125" style="24" customWidth="1"/>
    <col min="13" max="13" width="8.625" style="24" bestFit="1" customWidth="1"/>
    <col min="14" max="14" width="15.75390625" style="24" customWidth="1"/>
  </cols>
  <sheetData>
    <row r="1" spans="2:14" s="1" customFormat="1" ht="15" customHeight="1">
      <c r="B1" s="109" t="s">
        <v>656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2:14" s="1" customFormat="1" ht="97.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3</v>
      </c>
      <c r="I3" s="114"/>
      <c r="J3" s="114"/>
      <c r="K3" s="114"/>
      <c r="L3" s="114" t="s">
        <v>384</v>
      </c>
      <c r="M3" s="114" t="s">
        <v>6</v>
      </c>
      <c r="N3" s="121" t="s">
        <v>5</v>
      </c>
    </row>
    <row r="4" spans="1:14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115"/>
      <c r="M4" s="115"/>
      <c r="N4" s="122"/>
    </row>
    <row r="5" spans="2:13" ht="15.75">
      <c r="B5" s="123" t="s">
        <v>345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>
      <c r="A6" s="40">
        <v>1</v>
      </c>
      <c r="B6" s="38" t="s">
        <v>390</v>
      </c>
      <c r="C6" s="25" t="s">
        <v>346</v>
      </c>
      <c r="D6" s="25" t="s">
        <v>347</v>
      </c>
      <c r="E6" s="25" t="str">
        <f>"1,3285"</f>
        <v>1,3285</v>
      </c>
      <c r="F6" s="25" t="s">
        <v>45</v>
      </c>
      <c r="G6" s="25" t="s">
        <v>389</v>
      </c>
      <c r="H6" s="45" t="s">
        <v>348</v>
      </c>
      <c r="I6" s="45" t="s">
        <v>152</v>
      </c>
      <c r="J6" s="45" t="s">
        <v>349</v>
      </c>
      <c r="K6" s="44"/>
      <c r="L6" s="43">
        <v>82.5</v>
      </c>
      <c r="M6" s="43" t="str">
        <f>"109,6013"</f>
        <v>109,6013</v>
      </c>
      <c r="N6" s="25" t="s">
        <v>399</v>
      </c>
    </row>
    <row r="8" spans="2:13" ht="15.75">
      <c r="B8" s="108" t="s">
        <v>350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4" ht="12.75">
      <c r="A9" s="40">
        <v>1</v>
      </c>
      <c r="B9" s="38" t="s">
        <v>391</v>
      </c>
      <c r="C9" s="25" t="s">
        <v>351</v>
      </c>
      <c r="D9" s="25" t="s">
        <v>352</v>
      </c>
      <c r="E9" s="25" t="str">
        <f>"1,2019"</f>
        <v>1,2019</v>
      </c>
      <c r="F9" s="25" t="s">
        <v>22</v>
      </c>
      <c r="G9" s="25" t="s">
        <v>389</v>
      </c>
      <c r="H9" s="45" t="s">
        <v>66</v>
      </c>
      <c r="I9" s="45" t="s">
        <v>35</v>
      </c>
      <c r="J9" s="45" t="s">
        <v>164</v>
      </c>
      <c r="K9" s="44"/>
      <c r="L9" s="43" t="s">
        <v>164</v>
      </c>
      <c r="M9" s="43" t="str">
        <f>"162,2565"</f>
        <v>162,2565</v>
      </c>
      <c r="N9" s="25" t="s">
        <v>400</v>
      </c>
    </row>
    <row r="11" spans="2:13" ht="15.75">
      <c r="B11" s="108" t="s">
        <v>139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4" ht="12.75">
      <c r="A12" s="40">
        <v>1</v>
      </c>
      <c r="B12" s="38" t="s">
        <v>381</v>
      </c>
      <c r="C12" s="25" t="s">
        <v>312</v>
      </c>
      <c r="D12" s="25" t="s">
        <v>313</v>
      </c>
      <c r="E12" s="25" t="str">
        <f>"0,9506"</f>
        <v>0,9506</v>
      </c>
      <c r="F12" s="25" t="s">
        <v>22</v>
      </c>
      <c r="G12" s="25" t="s">
        <v>389</v>
      </c>
      <c r="H12" s="45" t="s">
        <v>269</v>
      </c>
      <c r="I12" s="44"/>
      <c r="J12" s="44"/>
      <c r="K12" s="44"/>
      <c r="L12" s="43" t="s">
        <v>269</v>
      </c>
      <c r="M12" s="43" t="str">
        <f>"90,3070"</f>
        <v>90,3070</v>
      </c>
      <c r="N12" s="25" t="s">
        <v>47</v>
      </c>
    </row>
    <row r="14" spans="2:13" ht="15.75">
      <c r="B14" s="108" t="s">
        <v>11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4" ht="12.75">
      <c r="A15" s="48">
        <v>1</v>
      </c>
      <c r="B15" s="46" t="s">
        <v>392</v>
      </c>
      <c r="C15" s="27" t="s">
        <v>354</v>
      </c>
      <c r="D15" s="27" t="s">
        <v>355</v>
      </c>
      <c r="E15" s="27" t="str">
        <f>"0,7785"</f>
        <v>0,7785</v>
      </c>
      <c r="F15" s="27" t="s">
        <v>22</v>
      </c>
      <c r="G15" s="27" t="s">
        <v>383</v>
      </c>
      <c r="H15" s="58" t="s">
        <v>46</v>
      </c>
      <c r="I15" s="58" t="s">
        <v>284</v>
      </c>
      <c r="J15" s="58" t="s">
        <v>84</v>
      </c>
      <c r="K15" s="54"/>
      <c r="L15" s="55" t="s">
        <v>84</v>
      </c>
      <c r="M15" s="55" t="str">
        <f>"136,2375"</f>
        <v>136,2375</v>
      </c>
      <c r="N15" s="27" t="s">
        <v>401</v>
      </c>
    </row>
    <row r="16" spans="1:14" ht="12.75">
      <c r="A16" s="49">
        <v>1</v>
      </c>
      <c r="B16" s="47" t="s">
        <v>393</v>
      </c>
      <c r="C16" s="28" t="s">
        <v>155</v>
      </c>
      <c r="D16" s="28" t="s">
        <v>156</v>
      </c>
      <c r="E16" s="28" t="str">
        <f>"0,7794"</f>
        <v>0,7794</v>
      </c>
      <c r="F16" s="28" t="s">
        <v>22</v>
      </c>
      <c r="G16" s="28" t="s">
        <v>157</v>
      </c>
      <c r="H16" s="59" t="s">
        <v>41</v>
      </c>
      <c r="I16" s="59" t="s">
        <v>57</v>
      </c>
      <c r="J16" s="59" t="s">
        <v>52</v>
      </c>
      <c r="K16" s="56"/>
      <c r="L16" s="57" t="s">
        <v>52</v>
      </c>
      <c r="M16" s="57" t="str">
        <f>"148,0860"</f>
        <v>148,0860</v>
      </c>
      <c r="N16" s="28" t="s">
        <v>47</v>
      </c>
    </row>
    <row r="18" spans="2:13" ht="15.75">
      <c r="B18" s="108" t="s">
        <v>139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4" ht="12.75">
      <c r="A19" s="40">
        <v>1</v>
      </c>
      <c r="B19" s="38" t="s">
        <v>394</v>
      </c>
      <c r="C19" s="25" t="s">
        <v>357</v>
      </c>
      <c r="D19" s="25" t="s">
        <v>358</v>
      </c>
      <c r="E19" s="25" t="str">
        <f>"0,7139"</f>
        <v>0,7139</v>
      </c>
      <c r="F19" s="25" t="s">
        <v>359</v>
      </c>
      <c r="G19" s="25" t="s">
        <v>360</v>
      </c>
      <c r="H19" s="45" t="s">
        <v>284</v>
      </c>
      <c r="I19" s="45" t="s">
        <v>85</v>
      </c>
      <c r="J19" s="45" t="s">
        <v>53</v>
      </c>
      <c r="K19" s="44"/>
      <c r="L19" s="43" t="s">
        <v>53</v>
      </c>
      <c r="M19" s="43" t="str">
        <f>"139,2105"</f>
        <v>139,2105</v>
      </c>
      <c r="N19" s="25" t="s">
        <v>387</v>
      </c>
    </row>
    <row r="21" spans="2:13" ht="15.75">
      <c r="B21" s="108" t="s">
        <v>19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4" ht="12.75">
      <c r="A22" s="48">
        <v>1</v>
      </c>
      <c r="B22" s="46" t="s">
        <v>386</v>
      </c>
      <c r="C22" s="27" t="s">
        <v>362</v>
      </c>
      <c r="D22" s="27" t="s">
        <v>363</v>
      </c>
      <c r="E22" s="27" t="str">
        <f>"0,7086"</f>
        <v>0,7086</v>
      </c>
      <c r="F22" s="27" t="s">
        <v>364</v>
      </c>
      <c r="G22" s="27" t="s">
        <v>360</v>
      </c>
      <c r="H22" s="58" t="s">
        <v>284</v>
      </c>
      <c r="I22" s="58" t="s">
        <v>41</v>
      </c>
      <c r="J22" s="58" t="s">
        <v>52</v>
      </c>
      <c r="K22" s="54"/>
      <c r="L22" s="55" t="s">
        <v>52</v>
      </c>
      <c r="M22" s="55" t="str">
        <f>"134,6340"</f>
        <v>134,6340</v>
      </c>
      <c r="N22" s="27" t="s">
        <v>387</v>
      </c>
    </row>
    <row r="23" spans="1:14" ht="12.75">
      <c r="A23" s="63">
        <v>2</v>
      </c>
      <c r="B23" s="62" t="s">
        <v>395</v>
      </c>
      <c r="C23" s="29" t="s">
        <v>366</v>
      </c>
      <c r="D23" s="29" t="s">
        <v>367</v>
      </c>
      <c r="E23" s="29" t="str">
        <f>"0,6822"</f>
        <v>0,6822</v>
      </c>
      <c r="F23" s="29" t="s">
        <v>359</v>
      </c>
      <c r="G23" s="29" t="s">
        <v>360</v>
      </c>
      <c r="H23" s="70" t="s">
        <v>36</v>
      </c>
      <c r="I23" s="70" t="s">
        <v>46</v>
      </c>
      <c r="J23" s="70" t="s">
        <v>284</v>
      </c>
      <c r="K23" s="69"/>
      <c r="L23" s="68" t="s">
        <v>284</v>
      </c>
      <c r="M23" s="68" t="str">
        <f>"115,9740"</f>
        <v>115,9740</v>
      </c>
      <c r="N23" s="29" t="s">
        <v>387</v>
      </c>
    </row>
    <row r="24" spans="1:14" ht="12.75">
      <c r="A24" s="63">
        <v>1</v>
      </c>
      <c r="B24" s="62" t="s">
        <v>396</v>
      </c>
      <c r="C24" s="29" t="s">
        <v>368</v>
      </c>
      <c r="D24" s="29" t="s">
        <v>369</v>
      </c>
      <c r="E24" s="29" t="str">
        <f>"0,6849"</f>
        <v>0,6849</v>
      </c>
      <c r="F24" s="29" t="s">
        <v>22</v>
      </c>
      <c r="G24" s="29" t="s">
        <v>398</v>
      </c>
      <c r="H24" s="70" t="s">
        <v>90</v>
      </c>
      <c r="I24" s="70" t="s">
        <v>113</v>
      </c>
      <c r="J24" s="72" t="s">
        <v>236</v>
      </c>
      <c r="K24" s="69"/>
      <c r="L24" s="68" t="s">
        <v>113</v>
      </c>
      <c r="M24" s="68" t="str">
        <f>"143,8290"</f>
        <v>143,8290</v>
      </c>
      <c r="N24" s="29" t="s">
        <v>402</v>
      </c>
    </row>
    <row r="25" spans="1:14" ht="12.75">
      <c r="A25" s="65">
        <v>2</v>
      </c>
      <c r="B25" s="47" t="s">
        <v>370</v>
      </c>
      <c r="C25" s="28" t="s">
        <v>371</v>
      </c>
      <c r="D25" s="28" t="s">
        <v>32</v>
      </c>
      <c r="E25" s="28" t="str">
        <f>"0,6754"</f>
        <v>0,6754</v>
      </c>
      <c r="F25" s="28" t="s">
        <v>267</v>
      </c>
      <c r="G25" s="28" t="s">
        <v>383</v>
      </c>
      <c r="H25" s="59" t="s">
        <v>41</v>
      </c>
      <c r="I25" s="59" t="s">
        <v>52</v>
      </c>
      <c r="J25" s="59" t="s">
        <v>90</v>
      </c>
      <c r="K25" s="56"/>
      <c r="L25" s="57" t="s">
        <v>90</v>
      </c>
      <c r="M25" s="57" t="str">
        <f>"135,0800"</f>
        <v>135,0800</v>
      </c>
      <c r="N25" s="28" t="s">
        <v>403</v>
      </c>
    </row>
    <row r="26" ht="12.75">
      <c r="A26" s="64"/>
    </row>
    <row r="27" spans="2:13" ht="15.75">
      <c r="B27" s="108" t="s">
        <v>37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4" ht="12.75">
      <c r="A28" s="40">
        <v>1</v>
      </c>
      <c r="B28" s="38" t="s">
        <v>397</v>
      </c>
      <c r="C28" s="25" t="s">
        <v>372</v>
      </c>
      <c r="D28" s="25" t="s">
        <v>373</v>
      </c>
      <c r="E28" s="25" t="str">
        <f>"0,6398"</f>
        <v>0,6398</v>
      </c>
      <c r="F28" s="25" t="s">
        <v>267</v>
      </c>
      <c r="G28" s="25" t="s">
        <v>389</v>
      </c>
      <c r="H28" s="45" t="s">
        <v>41</v>
      </c>
      <c r="I28" s="73" t="s">
        <v>52</v>
      </c>
      <c r="J28" s="45" t="s">
        <v>52</v>
      </c>
      <c r="K28" s="44"/>
      <c r="L28" s="43" t="s">
        <v>52</v>
      </c>
      <c r="M28" s="43" t="str">
        <f>"121,5620"</f>
        <v>121,5620</v>
      </c>
      <c r="N28" s="25" t="s">
        <v>403</v>
      </c>
    </row>
  </sheetData>
  <sheetProtection/>
  <mergeCells count="19">
    <mergeCell ref="A3:A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B14:M14"/>
    <mergeCell ref="B18:M18"/>
    <mergeCell ref="B21:M21"/>
    <mergeCell ref="B27:M27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B26" sqref="B26"/>
    </sheetView>
  </sheetViews>
  <sheetFormatPr defaultColWidth="8.75390625" defaultRowHeight="12.75"/>
  <cols>
    <col min="1" max="1" width="8.75390625" style="0" customWidth="1"/>
    <col min="2" max="2" width="19.375" style="24" customWidth="1"/>
    <col min="3" max="3" width="26.875" style="24" bestFit="1" customWidth="1"/>
    <col min="4" max="4" width="10.625" style="24" bestFit="1" customWidth="1"/>
    <col min="5" max="5" width="8.375" style="24" bestFit="1" customWidth="1"/>
    <col min="6" max="6" width="12.375" style="24" customWidth="1"/>
    <col min="7" max="7" width="36.00390625" style="24" customWidth="1"/>
    <col min="8" max="10" width="5.625" style="24" bestFit="1" customWidth="1"/>
    <col min="11" max="11" width="4.625" style="24" bestFit="1" customWidth="1"/>
    <col min="12" max="12" width="11.25390625" style="24" customWidth="1"/>
    <col min="13" max="13" width="8.625" style="24" bestFit="1" customWidth="1"/>
    <col min="14" max="14" width="16.25390625" style="24" customWidth="1"/>
  </cols>
  <sheetData>
    <row r="1" spans="2:14" s="1" customFormat="1" ht="15" customHeight="1">
      <c r="B1" s="109" t="s">
        <v>655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2:14" s="1" customFormat="1" ht="83.2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3</v>
      </c>
      <c r="I3" s="114"/>
      <c r="J3" s="114"/>
      <c r="K3" s="114"/>
      <c r="L3" s="114" t="s">
        <v>384</v>
      </c>
      <c r="M3" s="114" t="s">
        <v>6</v>
      </c>
      <c r="N3" s="121" t="s">
        <v>5</v>
      </c>
    </row>
    <row r="4" spans="1:14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115"/>
      <c r="M4" s="115"/>
      <c r="N4" s="122"/>
    </row>
    <row r="5" spans="2:13" ht="15.75">
      <c r="B5" s="123" t="s">
        <v>19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>
      <c r="A6" s="40">
        <v>1</v>
      </c>
      <c r="B6" s="25" t="s">
        <v>353</v>
      </c>
      <c r="C6" s="25" t="s">
        <v>320</v>
      </c>
      <c r="D6" s="25" t="s">
        <v>321</v>
      </c>
      <c r="E6" s="25" t="str">
        <f>"0,6764"</f>
        <v>0,6764</v>
      </c>
      <c r="F6" s="25" t="s">
        <v>22</v>
      </c>
      <c r="G6" s="25" t="s">
        <v>389</v>
      </c>
      <c r="H6" s="45" t="s">
        <v>317</v>
      </c>
      <c r="I6" s="73" t="s">
        <v>240</v>
      </c>
      <c r="J6" s="44"/>
      <c r="K6" s="44"/>
      <c r="L6" s="43" t="s">
        <v>317</v>
      </c>
      <c r="M6" s="43" t="str">
        <f>"152,1900"</f>
        <v>152,1900</v>
      </c>
      <c r="N6" s="25" t="s">
        <v>47</v>
      </c>
    </row>
    <row r="8" spans="2:13" ht="15.75">
      <c r="B8" s="108" t="s">
        <v>37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4" ht="12.75">
      <c r="A9" s="48">
        <v>1</v>
      </c>
      <c r="B9" s="27" t="s">
        <v>404</v>
      </c>
      <c r="C9" s="27" t="s">
        <v>323</v>
      </c>
      <c r="D9" s="27" t="s">
        <v>324</v>
      </c>
      <c r="E9" s="27" t="str">
        <f>"0,6410"</f>
        <v>0,6410</v>
      </c>
      <c r="F9" s="27" t="s">
        <v>22</v>
      </c>
      <c r="G9" s="27" t="s">
        <v>33</v>
      </c>
      <c r="H9" s="58" t="s">
        <v>113</v>
      </c>
      <c r="I9" s="58" t="s">
        <v>317</v>
      </c>
      <c r="J9" s="60" t="s">
        <v>281</v>
      </c>
      <c r="K9" s="54"/>
      <c r="L9" s="55" t="s">
        <v>317</v>
      </c>
      <c r="M9" s="55" t="str">
        <f>"144,2250"</f>
        <v>144,2250</v>
      </c>
      <c r="N9" s="27" t="s">
        <v>47</v>
      </c>
    </row>
    <row r="10" spans="1:14" ht="12.75">
      <c r="A10" s="63">
        <v>2</v>
      </c>
      <c r="B10" s="29" t="s">
        <v>325</v>
      </c>
      <c r="C10" s="29" t="s">
        <v>326</v>
      </c>
      <c r="D10" s="29" t="s">
        <v>327</v>
      </c>
      <c r="E10" s="29" t="str">
        <f>"0,6436"</f>
        <v>0,6436</v>
      </c>
      <c r="F10" s="29" t="s">
        <v>22</v>
      </c>
      <c r="G10" s="29" t="s">
        <v>99</v>
      </c>
      <c r="H10" s="79" t="s">
        <v>113</v>
      </c>
      <c r="I10" s="70" t="s">
        <v>236</v>
      </c>
      <c r="J10" s="79" t="s">
        <v>239</v>
      </c>
      <c r="K10" s="69"/>
      <c r="L10" s="68" t="s">
        <v>236</v>
      </c>
      <c r="M10" s="68" t="str">
        <f>"141,5920"</f>
        <v>141,5920</v>
      </c>
      <c r="N10" s="29" t="s">
        <v>328</v>
      </c>
    </row>
    <row r="11" spans="1:14" ht="12.75">
      <c r="A11" s="49">
        <v>1</v>
      </c>
      <c r="B11" s="28" t="s">
        <v>405</v>
      </c>
      <c r="C11" s="28" t="s">
        <v>329</v>
      </c>
      <c r="D11" s="28" t="s">
        <v>330</v>
      </c>
      <c r="E11" s="28" t="str">
        <f>"0,6395"</f>
        <v>0,6395</v>
      </c>
      <c r="F11" s="28" t="s">
        <v>218</v>
      </c>
      <c r="G11" s="28" t="s">
        <v>408</v>
      </c>
      <c r="H11" s="61" t="s">
        <v>57</v>
      </c>
      <c r="I11" s="59" t="s">
        <v>57</v>
      </c>
      <c r="J11" s="59" t="s">
        <v>90</v>
      </c>
      <c r="K11" s="56"/>
      <c r="L11" s="57" t="s">
        <v>90</v>
      </c>
      <c r="M11" s="57" t="str">
        <f>"140,1784"</f>
        <v>140,1784</v>
      </c>
      <c r="N11" s="28" t="s">
        <v>407</v>
      </c>
    </row>
    <row r="13" spans="2:13" ht="15.75">
      <c r="B13" s="108" t="s">
        <v>48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4" ht="12.75">
      <c r="A14" s="40">
        <v>1</v>
      </c>
      <c r="B14" s="25" t="s">
        <v>331</v>
      </c>
      <c r="C14" s="25" t="s">
        <v>332</v>
      </c>
      <c r="D14" s="25" t="s">
        <v>333</v>
      </c>
      <c r="E14" s="25" t="str">
        <f>"0,6211"</f>
        <v>0,6211</v>
      </c>
      <c r="F14" s="25" t="s">
        <v>296</v>
      </c>
      <c r="G14" s="25" t="s">
        <v>334</v>
      </c>
      <c r="H14" s="45" t="s">
        <v>335</v>
      </c>
      <c r="I14" s="45" t="s">
        <v>336</v>
      </c>
      <c r="J14" s="45" t="s">
        <v>337</v>
      </c>
      <c r="K14" s="44"/>
      <c r="L14" s="43" t="s">
        <v>337</v>
      </c>
      <c r="M14" s="43" t="str">
        <f>"205,5841"</f>
        <v>205,5841</v>
      </c>
      <c r="N14" s="25" t="s">
        <v>47</v>
      </c>
    </row>
    <row r="16" spans="2:13" ht="15.75">
      <c r="B16" s="108" t="s">
        <v>108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4" ht="12.75">
      <c r="A17" s="48">
        <v>1</v>
      </c>
      <c r="B17" s="27" t="s">
        <v>338</v>
      </c>
      <c r="C17" s="27" t="s">
        <v>339</v>
      </c>
      <c r="D17" s="27" t="s">
        <v>340</v>
      </c>
      <c r="E17" s="27" t="str">
        <f>"0,5700"</f>
        <v>0,5700</v>
      </c>
      <c r="F17" s="27" t="s">
        <v>22</v>
      </c>
      <c r="G17" s="27" t="s">
        <v>389</v>
      </c>
      <c r="H17" s="58" t="s">
        <v>341</v>
      </c>
      <c r="I17" s="58" t="s">
        <v>342</v>
      </c>
      <c r="J17" s="60" t="s">
        <v>343</v>
      </c>
      <c r="K17" s="54"/>
      <c r="L17" s="55" t="s">
        <v>342</v>
      </c>
      <c r="M17" s="55" t="str">
        <f>"199,5000"</f>
        <v>199,5000</v>
      </c>
      <c r="N17" s="27" t="s">
        <v>344</v>
      </c>
    </row>
    <row r="18" spans="1:14" ht="12.75">
      <c r="A18" s="49">
        <v>2</v>
      </c>
      <c r="B18" s="28" t="s">
        <v>109</v>
      </c>
      <c r="C18" s="28" t="s">
        <v>110</v>
      </c>
      <c r="D18" s="28" t="s">
        <v>111</v>
      </c>
      <c r="E18" s="28" t="str">
        <f>"0,5747"</f>
        <v>0,5747</v>
      </c>
      <c r="F18" s="28" t="s">
        <v>22</v>
      </c>
      <c r="G18" s="28" t="s">
        <v>409</v>
      </c>
      <c r="H18" s="61" t="s">
        <v>300</v>
      </c>
      <c r="I18" s="61" t="s">
        <v>335</v>
      </c>
      <c r="J18" s="61" t="s">
        <v>335</v>
      </c>
      <c r="K18" s="56"/>
      <c r="L18" s="57">
        <v>0</v>
      </c>
      <c r="M18" s="57" t="s">
        <v>406</v>
      </c>
      <c r="N18" s="28" t="s">
        <v>47</v>
      </c>
    </row>
  </sheetData>
  <sheetProtection/>
  <mergeCells count="16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B16:M16"/>
    <mergeCell ref="L3:L4"/>
    <mergeCell ref="M3:M4"/>
    <mergeCell ref="N3:N4"/>
    <mergeCell ref="B5:M5"/>
    <mergeCell ref="B8:M8"/>
    <mergeCell ref="B13:M1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B1">
      <selection activeCell="B38" sqref="B38"/>
    </sheetView>
  </sheetViews>
  <sheetFormatPr defaultColWidth="8.75390625" defaultRowHeight="12.75"/>
  <cols>
    <col min="1" max="1" width="7.75390625" style="0" customWidth="1"/>
    <col min="2" max="2" width="18.25390625" style="24" customWidth="1"/>
    <col min="3" max="3" width="27.875" style="24" customWidth="1"/>
    <col min="4" max="4" width="10.625" style="24" bestFit="1" customWidth="1"/>
    <col min="5" max="5" width="8.375" style="24" bestFit="1" customWidth="1"/>
    <col min="6" max="6" width="12.00390625" style="24" customWidth="1"/>
    <col min="7" max="7" width="36.125" style="24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8" width="5.625" style="24" bestFit="1" customWidth="1"/>
    <col min="19" max="19" width="4.625" style="24" bestFit="1" customWidth="1"/>
    <col min="20" max="20" width="7.875" style="24" bestFit="1" customWidth="1"/>
    <col min="21" max="21" width="8.625" style="24" bestFit="1" customWidth="1"/>
    <col min="22" max="22" width="17.375" style="24" bestFit="1" customWidth="1"/>
  </cols>
  <sheetData>
    <row r="1" spans="2:22" s="1" customFormat="1" ht="15" customHeight="1">
      <c r="B1" s="109" t="s">
        <v>654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1"/>
    </row>
    <row r="2" spans="2:22" s="1" customFormat="1" ht="88.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</row>
    <row r="3" spans="1:22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1</v>
      </c>
      <c r="I3" s="114"/>
      <c r="J3" s="114"/>
      <c r="K3" s="114"/>
      <c r="L3" s="114" t="s">
        <v>2</v>
      </c>
      <c r="M3" s="114"/>
      <c r="N3" s="114"/>
      <c r="O3" s="114"/>
      <c r="P3" s="114" t="s">
        <v>3</v>
      </c>
      <c r="Q3" s="114"/>
      <c r="R3" s="114"/>
      <c r="S3" s="114"/>
      <c r="T3" s="114" t="s">
        <v>4</v>
      </c>
      <c r="U3" s="114" t="s">
        <v>6</v>
      </c>
      <c r="V3" s="121" t="s">
        <v>5</v>
      </c>
    </row>
    <row r="4" spans="1:22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5"/>
      <c r="U4" s="115"/>
      <c r="V4" s="122"/>
    </row>
    <row r="5" spans="2:21" ht="15.75">
      <c r="B5" s="123" t="s">
        <v>139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2" ht="12.75">
      <c r="A6" s="40">
        <v>1</v>
      </c>
      <c r="B6" s="25" t="s">
        <v>381</v>
      </c>
      <c r="C6" s="25" t="s">
        <v>312</v>
      </c>
      <c r="D6" s="25" t="s">
        <v>313</v>
      </c>
      <c r="E6" s="25" t="str">
        <f>"0,9506"</f>
        <v>0,9506</v>
      </c>
      <c r="F6" s="25" t="s">
        <v>22</v>
      </c>
      <c r="G6" s="25" t="s">
        <v>383</v>
      </c>
      <c r="H6" s="73" t="s">
        <v>262</v>
      </c>
      <c r="I6" s="45" t="s">
        <v>314</v>
      </c>
      <c r="J6" s="45" t="s">
        <v>17</v>
      </c>
      <c r="K6" s="44"/>
      <c r="L6" s="45" t="s">
        <v>270</v>
      </c>
      <c r="M6" s="45" t="s">
        <v>147</v>
      </c>
      <c r="N6" s="45" t="s">
        <v>315</v>
      </c>
      <c r="O6" s="44"/>
      <c r="P6" s="45" t="s">
        <v>293</v>
      </c>
      <c r="Q6" s="45" t="s">
        <v>268</v>
      </c>
      <c r="R6" s="45" t="s">
        <v>269</v>
      </c>
      <c r="S6" s="44"/>
      <c r="T6" s="43">
        <v>257.5</v>
      </c>
      <c r="U6" s="43" t="str">
        <f>"244,7795"</f>
        <v>244,7795</v>
      </c>
      <c r="V6" s="25" t="s">
        <v>47</v>
      </c>
    </row>
    <row r="8" spans="2:21" ht="15.75">
      <c r="B8" s="108" t="s">
        <v>37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2" ht="12.75">
      <c r="A9" s="40">
        <v>1</v>
      </c>
      <c r="B9" s="25" t="s">
        <v>410</v>
      </c>
      <c r="C9" s="25" t="s">
        <v>294</v>
      </c>
      <c r="D9" s="25" t="s">
        <v>316</v>
      </c>
      <c r="E9" s="25" t="str">
        <f>"0,6624"</f>
        <v>0,6624</v>
      </c>
      <c r="F9" s="25" t="s">
        <v>296</v>
      </c>
      <c r="G9" s="25" t="s">
        <v>383</v>
      </c>
      <c r="H9" s="45" t="s">
        <v>284</v>
      </c>
      <c r="I9" s="45" t="s">
        <v>57</v>
      </c>
      <c r="J9" s="73" t="s">
        <v>90</v>
      </c>
      <c r="K9" s="44"/>
      <c r="L9" s="45" t="s">
        <v>297</v>
      </c>
      <c r="M9" s="45" t="s">
        <v>268</v>
      </c>
      <c r="N9" s="45" t="s">
        <v>269</v>
      </c>
      <c r="O9" s="44"/>
      <c r="P9" s="45" t="s">
        <v>52</v>
      </c>
      <c r="Q9" s="45" t="s">
        <v>228</v>
      </c>
      <c r="R9" s="45" t="s">
        <v>236</v>
      </c>
      <c r="S9" s="44"/>
      <c r="T9" s="43" t="s">
        <v>319</v>
      </c>
      <c r="U9" s="43" t="str">
        <f>"331,2000"</f>
        <v>331,2000</v>
      </c>
      <c r="V9" s="25" t="s">
        <v>411</v>
      </c>
    </row>
    <row r="11" spans="2:21" ht="15.75">
      <c r="B11" s="108" t="s">
        <v>80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2" ht="12.75">
      <c r="A12" s="40">
        <v>1</v>
      </c>
      <c r="B12" s="25" t="s">
        <v>180</v>
      </c>
      <c r="C12" s="25" t="s">
        <v>213</v>
      </c>
      <c r="D12" s="25" t="s">
        <v>214</v>
      </c>
      <c r="E12" s="25" t="str">
        <f>"0,5919"</f>
        <v>0,5919</v>
      </c>
      <c r="F12" s="25" t="s">
        <v>22</v>
      </c>
      <c r="G12" s="25" t="s">
        <v>383</v>
      </c>
      <c r="H12" s="73" t="s">
        <v>52</v>
      </c>
      <c r="I12" s="45" t="s">
        <v>52</v>
      </c>
      <c r="J12" s="45" t="s">
        <v>53</v>
      </c>
      <c r="K12" s="44"/>
      <c r="L12" s="45" t="s">
        <v>24</v>
      </c>
      <c r="M12" s="45" t="s">
        <v>61</v>
      </c>
      <c r="N12" s="73" t="s">
        <v>78</v>
      </c>
      <c r="O12" s="44"/>
      <c r="P12" s="45" t="s">
        <v>90</v>
      </c>
      <c r="Q12" s="45" t="s">
        <v>113</v>
      </c>
      <c r="R12" s="73" t="s">
        <v>317</v>
      </c>
      <c r="S12" s="44"/>
      <c r="T12" s="43" t="s">
        <v>318</v>
      </c>
      <c r="U12" s="43" t="str">
        <f>"337,3830"</f>
        <v>337,3830</v>
      </c>
      <c r="V12" s="25" t="s">
        <v>47</v>
      </c>
    </row>
  </sheetData>
  <sheetProtection/>
  <mergeCells count="17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B11:U11"/>
    <mergeCell ref="P3:S3"/>
    <mergeCell ref="T3:T4"/>
    <mergeCell ref="U3:U4"/>
    <mergeCell ref="V3:V4"/>
    <mergeCell ref="B5:U5"/>
    <mergeCell ref="B8:U8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B1">
      <selection activeCell="B3" sqref="B3:B4"/>
    </sheetView>
  </sheetViews>
  <sheetFormatPr defaultColWidth="8.75390625" defaultRowHeight="12.75"/>
  <cols>
    <col min="1" max="1" width="8.75390625" style="0" customWidth="1"/>
    <col min="2" max="2" width="26.00390625" style="24" bestFit="1" customWidth="1"/>
    <col min="3" max="3" width="26.00390625" style="24" customWidth="1"/>
    <col min="4" max="4" width="10.625" style="24" bestFit="1" customWidth="1"/>
    <col min="5" max="5" width="8.375" style="24" bestFit="1" customWidth="1"/>
    <col min="6" max="6" width="11.75390625" style="24" customWidth="1"/>
    <col min="7" max="7" width="37.00390625" style="24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8" width="5.625" style="24" bestFit="1" customWidth="1"/>
    <col min="19" max="19" width="4.625" style="24" bestFit="1" customWidth="1"/>
    <col min="20" max="20" width="7.875" style="24" bestFit="1" customWidth="1"/>
    <col min="21" max="21" width="8.625" style="24" bestFit="1" customWidth="1"/>
    <col min="22" max="22" width="15.00390625" style="24" customWidth="1"/>
  </cols>
  <sheetData>
    <row r="1" spans="2:22" s="1" customFormat="1" ht="15" customHeight="1">
      <c r="B1" s="109" t="s">
        <v>653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1"/>
    </row>
    <row r="2" spans="2:22" s="1" customFormat="1" ht="91.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</row>
    <row r="3" spans="1:22" s="2" customFormat="1" ht="12.75" customHeight="1">
      <c r="A3" s="119" t="s">
        <v>376</v>
      </c>
      <c r="B3" s="114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1</v>
      </c>
      <c r="I3" s="114"/>
      <c r="J3" s="114"/>
      <c r="K3" s="114"/>
      <c r="L3" s="114" t="s">
        <v>2</v>
      </c>
      <c r="M3" s="114"/>
      <c r="N3" s="114"/>
      <c r="O3" s="114"/>
      <c r="P3" s="114" t="s">
        <v>3</v>
      </c>
      <c r="Q3" s="114"/>
      <c r="R3" s="114"/>
      <c r="S3" s="114"/>
      <c r="T3" s="114" t="s">
        <v>4</v>
      </c>
      <c r="U3" s="114" t="s">
        <v>6</v>
      </c>
      <c r="V3" s="121" t="s">
        <v>5</v>
      </c>
    </row>
    <row r="4" spans="1:22" s="2" customFormat="1" ht="21" customHeight="1" thickBot="1">
      <c r="A4" s="120"/>
      <c r="B4" s="115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5"/>
      <c r="U4" s="115"/>
      <c r="V4" s="122"/>
    </row>
    <row r="5" spans="2:21" ht="15.75">
      <c r="B5" s="123" t="s">
        <v>139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2" ht="12.75">
      <c r="A6" s="40">
        <v>1</v>
      </c>
      <c r="B6" s="25" t="s">
        <v>410</v>
      </c>
      <c r="C6" s="25" t="s">
        <v>294</v>
      </c>
      <c r="D6" s="25" t="s">
        <v>295</v>
      </c>
      <c r="E6" s="25" t="str">
        <f>"0,7383"</f>
        <v>0,7383</v>
      </c>
      <c r="F6" s="25" t="s">
        <v>296</v>
      </c>
      <c r="G6" s="25" t="s">
        <v>383</v>
      </c>
      <c r="H6" s="45" t="s">
        <v>24</v>
      </c>
      <c r="I6" s="45" t="s">
        <v>84</v>
      </c>
      <c r="J6" s="73" t="s">
        <v>57</v>
      </c>
      <c r="K6" s="44"/>
      <c r="L6" s="45" t="s">
        <v>297</v>
      </c>
      <c r="M6" s="45" t="s">
        <v>268</v>
      </c>
      <c r="N6" s="73" t="s">
        <v>269</v>
      </c>
      <c r="O6" s="44"/>
      <c r="P6" s="45" t="s">
        <v>41</v>
      </c>
      <c r="Q6" s="45" t="s">
        <v>53</v>
      </c>
      <c r="R6" s="73" t="s">
        <v>112</v>
      </c>
      <c r="S6" s="44"/>
      <c r="T6" s="43" t="s">
        <v>311</v>
      </c>
      <c r="U6" s="43" t="str">
        <f>"339,6180"</f>
        <v>339,6180</v>
      </c>
      <c r="V6" s="25" t="s">
        <v>412</v>
      </c>
    </row>
    <row r="8" spans="2:21" ht="15.75">
      <c r="B8" s="108" t="s">
        <v>19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2" ht="12.75">
      <c r="A9" s="48">
        <v>1</v>
      </c>
      <c r="B9" s="27" t="s">
        <v>465</v>
      </c>
      <c r="C9" s="27" t="s">
        <v>298</v>
      </c>
      <c r="D9" s="27" t="s">
        <v>299</v>
      </c>
      <c r="E9" s="27" t="str">
        <f>"0,6704"</f>
        <v>0,6704</v>
      </c>
      <c r="F9" s="100" t="s">
        <v>22</v>
      </c>
      <c r="G9" s="27" t="s">
        <v>383</v>
      </c>
      <c r="H9" s="101" t="s">
        <v>243</v>
      </c>
      <c r="I9" s="58" t="s">
        <v>255</v>
      </c>
      <c r="J9" s="60" t="s">
        <v>300</v>
      </c>
      <c r="K9" s="54"/>
      <c r="L9" s="58" t="s">
        <v>23</v>
      </c>
      <c r="M9" s="58" t="s">
        <v>77</v>
      </c>
      <c r="N9" s="58" t="s">
        <v>284</v>
      </c>
      <c r="O9" s="54"/>
      <c r="P9" s="58" t="s">
        <v>243</v>
      </c>
      <c r="Q9" s="58" t="s">
        <v>255</v>
      </c>
      <c r="R9" s="58" t="s">
        <v>300</v>
      </c>
      <c r="S9" s="54"/>
      <c r="T9" s="55" t="s">
        <v>257</v>
      </c>
      <c r="U9" s="55" t="str">
        <f>"469,2800"</f>
        <v>469,2800</v>
      </c>
      <c r="V9" s="27" t="s">
        <v>301</v>
      </c>
    </row>
    <row r="10" spans="1:22" ht="12.75">
      <c r="A10" s="49">
        <v>2</v>
      </c>
      <c r="B10" s="28" t="s">
        <v>302</v>
      </c>
      <c r="C10" s="28" t="s">
        <v>303</v>
      </c>
      <c r="D10" s="28" t="s">
        <v>304</v>
      </c>
      <c r="E10" s="28" t="str">
        <f>"0,6699"</f>
        <v>0,6699</v>
      </c>
      <c r="F10" s="28" t="s">
        <v>22</v>
      </c>
      <c r="G10" s="28" t="s">
        <v>65</v>
      </c>
      <c r="H10" s="61" t="s">
        <v>284</v>
      </c>
      <c r="I10" s="61" t="s">
        <v>41</v>
      </c>
      <c r="J10" s="61" t="s">
        <v>41</v>
      </c>
      <c r="K10" s="56"/>
      <c r="L10" s="61" t="s">
        <v>17</v>
      </c>
      <c r="M10" s="56"/>
      <c r="N10" s="56"/>
      <c r="O10" s="56"/>
      <c r="P10" s="61" t="s">
        <v>24</v>
      </c>
      <c r="Q10" s="56"/>
      <c r="R10" s="56"/>
      <c r="S10" s="56"/>
      <c r="T10" s="57">
        <v>0</v>
      </c>
      <c r="U10" s="57" t="s">
        <v>406</v>
      </c>
      <c r="V10" s="28" t="s">
        <v>47</v>
      </c>
    </row>
    <row r="12" spans="2:21" ht="15.75">
      <c r="B12" s="108" t="s">
        <v>48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2" ht="12.75">
      <c r="A13" s="40">
        <v>1</v>
      </c>
      <c r="B13" s="25" t="s">
        <v>305</v>
      </c>
      <c r="C13" s="25" t="s">
        <v>306</v>
      </c>
      <c r="D13" s="25" t="s">
        <v>307</v>
      </c>
      <c r="E13" s="25" t="str">
        <f>"0,6161"</f>
        <v>0,6161</v>
      </c>
      <c r="F13" s="25" t="s">
        <v>22</v>
      </c>
      <c r="G13" s="25" t="s">
        <v>383</v>
      </c>
      <c r="H13" s="45" t="s">
        <v>240</v>
      </c>
      <c r="I13" s="45" t="s">
        <v>243</v>
      </c>
      <c r="J13" s="45" t="s">
        <v>255</v>
      </c>
      <c r="K13" s="44"/>
      <c r="L13" s="73" t="s">
        <v>284</v>
      </c>
      <c r="M13" s="45" t="s">
        <v>244</v>
      </c>
      <c r="N13" s="45" t="s">
        <v>84</v>
      </c>
      <c r="O13" s="44"/>
      <c r="P13" s="45" t="s">
        <v>256</v>
      </c>
      <c r="Q13" s="45" t="s">
        <v>308</v>
      </c>
      <c r="R13" s="73" t="s">
        <v>309</v>
      </c>
      <c r="S13" s="44"/>
      <c r="T13" s="43" t="s">
        <v>310</v>
      </c>
      <c r="U13" s="43" t="str">
        <f>"437,4310"</f>
        <v>437,4310</v>
      </c>
      <c r="V13" s="25" t="s">
        <v>47</v>
      </c>
    </row>
  </sheetData>
  <sheetProtection/>
  <mergeCells count="17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B12:U12"/>
    <mergeCell ref="P3:S3"/>
    <mergeCell ref="T3:T4"/>
    <mergeCell ref="U3:U4"/>
    <mergeCell ref="V3:V4"/>
    <mergeCell ref="B5:U5"/>
    <mergeCell ref="B8:U8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F29" sqref="F29"/>
    </sheetView>
  </sheetViews>
  <sheetFormatPr defaultColWidth="8.75390625" defaultRowHeight="12.75"/>
  <cols>
    <col min="1" max="1" width="7.75390625" style="0" customWidth="1"/>
    <col min="2" max="2" width="18.75390625" style="24" customWidth="1"/>
    <col min="3" max="3" width="27.125" style="24" bestFit="1" customWidth="1"/>
    <col min="4" max="4" width="10.625" style="24" bestFit="1" customWidth="1"/>
    <col min="5" max="5" width="8.375" style="24" bestFit="1" customWidth="1"/>
    <col min="6" max="6" width="21.125" style="24" customWidth="1"/>
    <col min="7" max="7" width="35.875" style="24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8" width="5.625" style="24" bestFit="1" customWidth="1"/>
    <col min="19" max="19" width="4.625" style="24" bestFit="1" customWidth="1"/>
    <col min="20" max="20" width="7.875" style="24" bestFit="1" customWidth="1"/>
    <col min="21" max="21" width="8.625" style="24" bestFit="1" customWidth="1"/>
    <col min="22" max="22" width="18.00390625" style="24" bestFit="1" customWidth="1"/>
  </cols>
  <sheetData>
    <row r="1" spans="2:22" s="1" customFormat="1" ht="15" customHeight="1">
      <c r="B1" s="109" t="s">
        <v>652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1"/>
    </row>
    <row r="2" spans="2:22" s="1" customFormat="1" ht="96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</row>
    <row r="3" spans="1:22" s="2" customFormat="1" ht="12.75" customHeight="1">
      <c r="A3" s="124" t="s">
        <v>376</v>
      </c>
      <c r="B3" s="126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1</v>
      </c>
      <c r="I3" s="114"/>
      <c r="J3" s="114"/>
      <c r="K3" s="114"/>
      <c r="L3" s="114" t="s">
        <v>2</v>
      </c>
      <c r="M3" s="114"/>
      <c r="N3" s="114"/>
      <c r="O3" s="114"/>
      <c r="P3" s="114" t="s">
        <v>3</v>
      </c>
      <c r="Q3" s="114"/>
      <c r="R3" s="114"/>
      <c r="S3" s="114"/>
      <c r="T3" s="114" t="s">
        <v>4</v>
      </c>
      <c r="U3" s="114" t="s">
        <v>6</v>
      </c>
      <c r="V3" s="121" t="s">
        <v>5</v>
      </c>
    </row>
    <row r="4" spans="1:22" s="2" customFormat="1" ht="21" customHeight="1" thickBot="1">
      <c r="A4" s="125"/>
      <c r="B4" s="127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5"/>
      <c r="U4" s="115"/>
      <c r="V4" s="122"/>
    </row>
    <row r="5" spans="2:21" ht="15.75">
      <c r="B5" s="123" t="s">
        <v>11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2" ht="12.75">
      <c r="A6" s="40">
        <v>1</v>
      </c>
      <c r="B6" s="25" t="s">
        <v>415</v>
      </c>
      <c r="C6" s="25" t="s">
        <v>260</v>
      </c>
      <c r="D6" s="25" t="s">
        <v>261</v>
      </c>
      <c r="E6" s="25" t="str">
        <f>"1,0362"</f>
        <v>1,0362</v>
      </c>
      <c r="F6" s="25" t="s">
        <v>22</v>
      </c>
      <c r="G6" s="25" t="s">
        <v>389</v>
      </c>
      <c r="H6" s="73" t="s">
        <v>262</v>
      </c>
      <c r="I6" s="45" t="s">
        <v>262</v>
      </c>
      <c r="J6" s="45" t="s">
        <v>17</v>
      </c>
      <c r="K6" s="44"/>
      <c r="L6" s="45" t="s">
        <v>263</v>
      </c>
      <c r="M6" s="45" t="s">
        <v>264</v>
      </c>
      <c r="N6" s="45" t="s">
        <v>143</v>
      </c>
      <c r="O6" s="44"/>
      <c r="P6" s="45" t="s">
        <v>17</v>
      </c>
      <c r="Q6" s="45" t="s">
        <v>66</v>
      </c>
      <c r="R6" s="45" t="s">
        <v>34</v>
      </c>
      <c r="S6" s="44"/>
      <c r="T6" s="43" t="s">
        <v>241</v>
      </c>
      <c r="U6" s="43" t="str">
        <f>"310,8600"</f>
        <v>310,8600</v>
      </c>
      <c r="V6" s="25" t="s">
        <v>421</v>
      </c>
    </row>
    <row r="8" spans="2:21" ht="15.75">
      <c r="B8" s="108" t="s">
        <v>139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2" ht="12.75">
      <c r="A9" s="40">
        <v>1</v>
      </c>
      <c r="B9" s="25" t="s">
        <v>416</v>
      </c>
      <c r="C9" s="25" t="s">
        <v>265</v>
      </c>
      <c r="D9" s="25" t="s">
        <v>266</v>
      </c>
      <c r="E9" s="25" t="str">
        <f>"0,9824"</f>
        <v>0,9824</v>
      </c>
      <c r="F9" s="25" t="s">
        <v>267</v>
      </c>
      <c r="G9" s="25" t="s">
        <v>389</v>
      </c>
      <c r="H9" s="45" t="s">
        <v>268</v>
      </c>
      <c r="I9" s="45" t="s">
        <v>269</v>
      </c>
      <c r="J9" s="73" t="s">
        <v>16</v>
      </c>
      <c r="K9" s="44"/>
      <c r="L9" s="45" t="s">
        <v>270</v>
      </c>
      <c r="M9" s="73" t="s">
        <v>147</v>
      </c>
      <c r="N9" s="73" t="s">
        <v>147</v>
      </c>
      <c r="O9" s="44"/>
      <c r="P9" s="45" t="s">
        <v>17</v>
      </c>
      <c r="Q9" s="45" t="s">
        <v>66</v>
      </c>
      <c r="R9" s="45" t="s">
        <v>34</v>
      </c>
      <c r="S9" s="44"/>
      <c r="T9" s="43" t="s">
        <v>255</v>
      </c>
      <c r="U9" s="43" t="str">
        <f>"255,4240"</f>
        <v>255,4240</v>
      </c>
      <c r="V9" s="25" t="s">
        <v>271</v>
      </c>
    </row>
    <row r="11" spans="2:21" ht="15.75">
      <c r="B11" s="108" t="s">
        <v>139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2" ht="12.75">
      <c r="A12" s="40">
        <v>1</v>
      </c>
      <c r="B12" s="25" t="s">
        <v>272</v>
      </c>
      <c r="C12" s="25" t="s">
        <v>273</v>
      </c>
      <c r="D12" s="25" t="s">
        <v>274</v>
      </c>
      <c r="E12" s="25" t="str">
        <f>"0,7519"</f>
        <v>0,7519</v>
      </c>
      <c r="F12" s="25" t="s">
        <v>275</v>
      </c>
      <c r="G12" s="25" t="s">
        <v>389</v>
      </c>
      <c r="H12" s="45" t="s">
        <v>16</v>
      </c>
      <c r="I12" s="73" t="s">
        <v>17</v>
      </c>
      <c r="J12" s="45" t="s">
        <v>17</v>
      </c>
      <c r="K12" s="44"/>
      <c r="L12" s="45" t="s">
        <v>263</v>
      </c>
      <c r="M12" s="73" t="s">
        <v>143</v>
      </c>
      <c r="N12" s="73" t="s">
        <v>152</v>
      </c>
      <c r="O12" s="44"/>
      <c r="P12" s="45" t="s">
        <v>16</v>
      </c>
      <c r="Q12" s="45" t="s">
        <v>34</v>
      </c>
      <c r="R12" s="45" t="s">
        <v>164</v>
      </c>
      <c r="S12" s="44"/>
      <c r="T12" s="43" t="s">
        <v>287</v>
      </c>
      <c r="U12" s="43" t="str">
        <f>"229,3295"</f>
        <v>229,3295</v>
      </c>
      <c r="V12" s="25" t="s">
        <v>276</v>
      </c>
    </row>
    <row r="14" spans="2:21" ht="15.75">
      <c r="B14" s="108" t="s">
        <v>19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2" ht="12.75">
      <c r="A15" s="40">
        <v>1</v>
      </c>
      <c r="B15" s="25" t="s">
        <v>417</v>
      </c>
      <c r="C15" s="25" t="s">
        <v>277</v>
      </c>
      <c r="D15" s="25" t="s">
        <v>278</v>
      </c>
      <c r="E15" s="25" t="str">
        <f>"0,6744"</f>
        <v>0,6744</v>
      </c>
      <c r="F15" s="25" t="s">
        <v>22</v>
      </c>
      <c r="G15" s="25" t="s">
        <v>389</v>
      </c>
      <c r="H15" s="45" t="s">
        <v>84</v>
      </c>
      <c r="I15" s="45" t="s">
        <v>41</v>
      </c>
      <c r="J15" s="45" t="s">
        <v>57</v>
      </c>
      <c r="K15" s="44"/>
      <c r="L15" s="45" t="s">
        <v>35</v>
      </c>
      <c r="M15" s="45" t="s">
        <v>36</v>
      </c>
      <c r="N15" s="73" t="s">
        <v>178</v>
      </c>
      <c r="O15" s="44"/>
      <c r="P15" s="45" t="s">
        <v>57</v>
      </c>
      <c r="Q15" s="45" t="s">
        <v>53</v>
      </c>
      <c r="R15" s="73" t="s">
        <v>90</v>
      </c>
      <c r="S15" s="44"/>
      <c r="T15" s="43" t="s">
        <v>288</v>
      </c>
      <c r="U15" s="43" t="str">
        <f>"343,9440"</f>
        <v>343,9440</v>
      </c>
      <c r="V15" s="25" t="s">
        <v>47</v>
      </c>
    </row>
    <row r="17" spans="2:21" ht="15.75">
      <c r="B17" s="108" t="s">
        <v>37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2" ht="12.75">
      <c r="A18" s="48">
        <v>1</v>
      </c>
      <c r="B18" s="27" t="s">
        <v>418</v>
      </c>
      <c r="C18" s="27" t="s">
        <v>279</v>
      </c>
      <c r="D18" s="27" t="s">
        <v>280</v>
      </c>
      <c r="E18" s="27" t="str">
        <f>"0,6499"</f>
        <v>0,6499</v>
      </c>
      <c r="F18" s="27" t="s">
        <v>22</v>
      </c>
      <c r="G18" s="27" t="s">
        <v>389</v>
      </c>
      <c r="H18" s="58" t="s">
        <v>24</v>
      </c>
      <c r="I18" s="58" t="s">
        <v>78</v>
      </c>
      <c r="J18" s="60" t="s">
        <v>84</v>
      </c>
      <c r="K18" s="54"/>
      <c r="L18" s="58" t="s">
        <v>34</v>
      </c>
      <c r="M18" s="58" t="s">
        <v>36</v>
      </c>
      <c r="N18" s="58" t="s">
        <v>164</v>
      </c>
      <c r="O18" s="54"/>
      <c r="P18" s="58" t="s">
        <v>113</v>
      </c>
      <c r="Q18" s="58" t="s">
        <v>236</v>
      </c>
      <c r="R18" s="58" t="s">
        <v>281</v>
      </c>
      <c r="S18" s="54"/>
      <c r="T18" s="55">
        <v>537.5</v>
      </c>
      <c r="U18" s="55" t="str">
        <f>"349,3213"</f>
        <v>349,3213</v>
      </c>
      <c r="V18" s="27" t="s">
        <v>47</v>
      </c>
    </row>
    <row r="19" spans="1:22" ht="12.75">
      <c r="A19" s="63">
        <v>1</v>
      </c>
      <c r="B19" s="29" t="s">
        <v>419</v>
      </c>
      <c r="C19" s="29" t="s">
        <v>282</v>
      </c>
      <c r="D19" s="29" t="s">
        <v>283</v>
      </c>
      <c r="E19" s="29" t="str">
        <f>"0,6406"</f>
        <v>0,6406</v>
      </c>
      <c r="F19" s="80" t="s">
        <v>267</v>
      </c>
      <c r="G19" s="29" t="s">
        <v>389</v>
      </c>
      <c r="H19" s="81" t="s">
        <v>23</v>
      </c>
      <c r="I19" s="70" t="s">
        <v>24</v>
      </c>
      <c r="J19" s="70" t="s">
        <v>284</v>
      </c>
      <c r="K19" s="69"/>
      <c r="L19" s="70" t="s">
        <v>262</v>
      </c>
      <c r="M19" s="70" t="s">
        <v>17</v>
      </c>
      <c r="N19" s="70" t="s">
        <v>66</v>
      </c>
      <c r="O19" s="69"/>
      <c r="P19" s="70" t="s">
        <v>57</v>
      </c>
      <c r="Q19" s="79" t="s">
        <v>53</v>
      </c>
      <c r="R19" s="79" t="s">
        <v>53</v>
      </c>
      <c r="S19" s="69"/>
      <c r="T19" s="68" t="s">
        <v>289</v>
      </c>
      <c r="U19" s="68" t="str">
        <f>"301,0820"</f>
        <v>301,0820</v>
      </c>
      <c r="V19" s="29" t="s">
        <v>422</v>
      </c>
    </row>
    <row r="20" spans="1:22" ht="12.75">
      <c r="A20" s="49">
        <v>2</v>
      </c>
      <c r="B20" s="28" t="s">
        <v>420</v>
      </c>
      <c r="C20" s="28" t="s">
        <v>285</v>
      </c>
      <c r="D20" s="28" t="s">
        <v>286</v>
      </c>
      <c r="E20" s="28" t="str">
        <f>"0,6540"</f>
        <v>0,6540</v>
      </c>
      <c r="F20" s="28" t="s">
        <v>275</v>
      </c>
      <c r="G20" s="28" t="s">
        <v>389</v>
      </c>
      <c r="H20" s="59" t="s">
        <v>17</v>
      </c>
      <c r="I20" s="59" t="s">
        <v>34</v>
      </c>
      <c r="J20" s="59" t="s">
        <v>36</v>
      </c>
      <c r="K20" s="56"/>
      <c r="L20" s="59" t="s">
        <v>262</v>
      </c>
      <c r="M20" s="59" t="s">
        <v>66</v>
      </c>
      <c r="N20" s="59" t="s">
        <v>35</v>
      </c>
      <c r="O20" s="56"/>
      <c r="P20" s="59" t="s">
        <v>164</v>
      </c>
      <c r="Q20" s="59" t="s">
        <v>46</v>
      </c>
      <c r="R20" s="59" t="s">
        <v>24</v>
      </c>
      <c r="S20" s="56"/>
      <c r="T20" s="57" t="s">
        <v>290</v>
      </c>
      <c r="U20" s="57" t="str">
        <f>"271,4100"</f>
        <v>271,4100</v>
      </c>
      <c r="V20" s="28" t="s">
        <v>276</v>
      </c>
    </row>
  </sheetData>
  <sheetProtection/>
  <mergeCells count="19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4:U14"/>
    <mergeCell ref="B17:U17"/>
    <mergeCell ref="T3:T4"/>
    <mergeCell ref="U3:U4"/>
    <mergeCell ref="V3:V4"/>
    <mergeCell ref="B5:U5"/>
    <mergeCell ref="B8:U8"/>
    <mergeCell ref="B11:U11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G23" sqref="G23:G24"/>
    </sheetView>
  </sheetViews>
  <sheetFormatPr defaultColWidth="8.75390625" defaultRowHeight="12.75"/>
  <cols>
    <col min="1" max="1" width="7.625" style="0" customWidth="1"/>
    <col min="2" max="2" width="21.125" style="24" customWidth="1"/>
    <col min="3" max="3" width="21.375" style="24" bestFit="1" customWidth="1"/>
    <col min="4" max="4" width="10.625" style="24" bestFit="1" customWidth="1"/>
    <col min="5" max="5" width="8.375" style="24" bestFit="1" customWidth="1"/>
    <col min="6" max="6" width="9.75390625" style="24" customWidth="1"/>
    <col min="7" max="7" width="36.75390625" style="24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8" width="5.625" style="24" bestFit="1" customWidth="1"/>
    <col min="19" max="19" width="4.625" style="24" bestFit="1" customWidth="1"/>
    <col min="20" max="20" width="7.875" style="24" bestFit="1" customWidth="1"/>
    <col min="21" max="21" width="8.625" style="24" bestFit="1" customWidth="1"/>
    <col min="22" max="22" width="15.75390625" style="24" customWidth="1"/>
  </cols>
  <sheetData>
    <row r="1" spans="2:22" s="1" customFormat="1" ht="15" customHeight="1">
      <c r="B1" s="109" t="s">
        <v>651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1"/>
    </row>
    <row r="2" spans="2:22" s="1" customFormat="1" ht="105" customHeight="1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</row>
    <row r="3" spans="1:22" s="2" customFormat="1" ht="12.75" customHeight="1">
      <c r="A3" s="128" t="s">
        <v>376</v>
      </c>
      <c r="B3" s="128" t="s">
        <v>0</v>
      </c>
      <c r="C3" s="116" t="s">
        <v>377</v>
      </c>
      <c r="D3" s="116" t="s">
        <v>378</v>
      </c>
      <c r="E3" s="114" t="s">
        <v>10</v>
      </c>
      <c r="F3" s="114" t="s">
        <v>7</v>
      </c>
      <c r="G3" s="117" t="s">
        <v>380</v>
      </c>
      <c r="H3" s="114" t="s">
        <v>1</v>
      </c>
      <c r="I3" s="114"/>
      <c r="J3" s="114"/>
      <c r="K3" s="114"/>
      <c r="L3" s="114" t="s">
        <v>2</v>
      </c>
      <c r="M3" s="114"/>
      <c r="N3" s="114"/>
      <c r="O3" s="114"/>
      <c r="P3" s="114" t="s">
        <v>3</v>
      </c>
      <c r="Q3" s="114"/>
      <c r="R3" s="114"/>
      <c r="S3" s="114"/>
      <c r="T3" s="114" t="s">
        <v>4</v>
      </c>
      <c r="U3" s="114" t="s">
        <v>6</v>
      </c>
      <c r="V3" s="121" t="s">
        <v>5</v>
      </c>
    </row>
    <row r="4" spans="1:22" s="2" customFormat="1" ht="21" customHeight="1" thickBot="1">
      <c r="A4" s="129"/>
      <c r="B4" s="129"/>
      <c r="C4" s="115"/>
      <c r="D4" s="115"/>
      <c r="E4" s="115"/>
      <c r="F4" s="115"/>
      <c r="G4" s="118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5"/>
      <c r="U4" s="115"/>
      <c r="V4" s="122"/>
    </row>
    <row r="5" spans="2:21" ht="15.75">
      <c r="B5" s="123" t="s">
        <v>37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2" ht="12.75">
      <c r="A6" s="40">
        <v>1</v>
      </c>
      <c r="B6" s="25" t="s">
        <v>38</v>
      </c>
      <c r="C6" s="25" t="s">
        <v>39</v>
      </c>
      <c r="D6" s="25" t="s">
        <v>40</v>
      </c>
      <c r="E6" s="25" t="str">
        <f>"0,6384"</f>
        <v>0,6384</v>
      </c>
      <c r="F6" s="25" t="s">
        <v>22</v>
      </c>
      <c r="G6" s="25" t="s">
        <v>389</v>
      </c>
      <c r="H6" s="45" t="s">
        <v>90</v>
      </c>
      <c r="I6" s="45" t="s">
        <v>113</v>
      </c>
      <c r="J6" s="45" t="s">
        <v>236</v>
      </c>
      <c r="K6" s="44"/>
      <c r="L6" s="45" t="s">
        <v>41</v>
      </c>
      <c r="M6" s="73" t="s">
        <v>52</v>
      </c>
      <c r="N6" s="73" t="s">
        <v>52</v>
      </c>
      <c r="O6" s="44"/>
      <c r="P6" s="45" t="s">
        <v>241</v>
      </c>
      <c r="Q6" s="73" t="s">
        <v>242</v>
      </c>
      <c r="R6" s="73" t="s">
        <v>242</v>
      </c>
      <c r="S6" s="44"/>
      <c r="T6" s="43" t="s">
        <v>257</v>
      </c>
      <c r="U6" s="43" t="str">
        <f>"446,8800"</f>
        <v>446,8800</v>
      </c>
      <c r="V6" s="25" t="s">
        <v>47</v>
      </c>
    </row>
    <row r="8" spans="2:21" ht="15.75">
      <c r="B8" s="108" t="s">
        <v>80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2" ht="12.75">
      <c r="A9" s="40">
        <v>1</v>
      </c>
      <c r="B9" s="25" t="s">
        <v>423</v>
      </c>
      <c r="C9" s="25" t="s">
        <v>97</v>
      </c>
      <c r="D9" s="25" t="s">
        <v>98</v>
      </c>
      <c r="E9" s="25" t="str">
        <f>"0,5909"</f>
        <v>0,5909</v>
      </c>
      <c r="F9" s="25" t="s">
        <v>22</v>
      </c>
      <c r="G9" s="25" t="s">
        <v>99</v>
      </c>
      <c r="H9" s="45" t="s">
        <v>239</v>
      </c>
      <c r="I9" s="45" t="s">
        <v>240</v>
      </c>
      <c r="J9" s="45" t="s">
        <v>243</v>
      </c>
      <c r="K9" s="44"/>
      <c r="L9" s="45" t="s">
        <v>77</v>
      </c>
      <c r="M9" s="45" t="s">
        <v>244</v>
      </c>
      <c r="N9" s="45" t="s">
        <v>85</v>
      </c>
      <c r="O9" s="44"/>
      <c r="P9" s="73" t="s">
        <v>240</v>
      </c>
      <c r="Q9" s="45" t="s">
        <v>245</v>
      </c>
      <c r="R9" s="45" t="s">
        <v>246</v>
      </c>
      <c r="S9" s="44"/>
      <c r="T9" s="43" t="s">
        <v>257</v>
      </c>
      <c r="U9" s="43" t="str">
        <f>"413,6300"</f>
        <v>413,6300</v>
      </c>
      <c r="V9" s="25" t="s">
        <v>47</v>
      </c>
    </row>
    <row r="11" spans="2:21" ht="15.75">
      <c r="B11" s="108" t="s">
        <v>247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2" ht="12.75">
      <c r="A12" s="40">
        <v>1</v>
      </c>
      <c r="B12" s="25" t="s">
        <v>248</v>
      </c>
      <c r="C12" s="25" t="s">
        <v>249</v>
      </c>
      <c r="D12" s="25" t="s">
        <v>250</v>
      </c>
      <c r="E12" s="25" t="str">
        <f>"0,5659"</f>
        <v>0,5659</v>
      </c>
      <c r="F12" s="25" t="s">
        <v>218</v>
      </c>
      <c r="G12" s="25" t="s">
        <v>389</v>
      </c>
      <c r="H12" s="45" t="s">
        <v>29</v>
      </c>
      <c r="I12" s="45" t="s">
        <v>46</v>
      </c>
      <c r="J12" s="45" t="s">
        <v>24</v>
      </c>
      <c r="K12" s="44"/>
      <c r="L12" s="45" t="s">
        <v>36</v>
      </c>
      <c r="M12" s="45" t="s">
        <v>29</v>
      </c>
      <c r="N12" s="45" t="s">
        <v>46</v>
      </c>
      <c r="O12" s="44"/>
      <c r="P12" s="45" t="s">
        <v>46</v>
      </c>
      <c r="Q12" s="73" t="s">
        <v>61</v>
      </c>
      <c r="R12" s="45" t="s">
        <v>61</v>
      </c>
      <c r="S12" s="44"/>
      <c r="T12" s="43" t="s">
        <v>259</v>
      </c>
      <c r="U12" s="43" t="str">
        <f>"268,8025"</f>
        <v>268,8025</v>
      </c>
      <c r="V12" s="25" t="s">
        <v>425</v>
      </c>
    </row>
    <row r="14" spans="2:21" ht="15.75">
      <c r="B14" s="108" t="s">
        <v>251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2" ht="12.75">
      <c r="A15" s="40">
        <v>1</v>
      </c>
      <c r="B15" s="25" t="s">
        <v>424</v>
      </c>
      <c r="C15" s="25" t="s">
        <v>252</v>
      </c>
      <c r="D15" s="25" t="s">
        <v>253</v>
      </c>
      <c r="E15" s="25" t="str">
        <f>"0,5498"</f>
        <v>0,5498</v>
      </c>
      <c r="F15" s="25" t="s">
        <v>22</v>
      </c>
      <c r="G15" s="25" t="s">
        <v>389</v>
      </c>
      <c r="H15" s="45" t="s">
        <v>90</v>
      </c>
      <c r="I15" s="45" t="s">
        <v>91</v>
      </c>
      <c r="J15" s="73" t="s">
        <v>113</v>
      </c>
      <c r="K15" s="44"/>
      <c r="L15" s="73" t="s">
        <v>244</v>
      </c>
      <c r="M15" s="45" t="s">
        <v>244</v>
      </c>
      <c r="N15" s="45" t="s">
        <v>41</v>
      </c>
      <c r="O15" s="44"/>
      <c r="P15" s="45" t="s">
        <v>254</v>
      </c>
      <c r="Q15" s="45" t="s">
        <v>255</v>
      </c>
      <c r="R15" s="73" t="s">
        <v>256</v>
      </c>
      <c r="S15" s="44"/>
      <c r="T15" s="43" t="s">
        <v>258</v>
      </c>
      <c r="U15" s="43" t="str">
        <f>"354,6210"</f>
        <v>354,6210</v>
      </c>
      <c r="V15" s="25" t="s">
        <v>47</v>
      </c>
    </row>
  </sheetData>
  <sheetProtection/>
  <mergeCells count="18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4:U14"/>
    <mergeCell ref="T3:T4"/>
    <mergeCell ref="U3:U4"/>
    <mergeCell ref="V3:V4"/>
    <mergeCell ref="B5:U5"/>
    <mergeCell ref="B8:U8"/>
    <mergeCell ref="B11:U1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2016-08-30T12:57:22Z</dcterms:modified>
  <cp:category/>
  <cp:version/>
  <cp:contentType/>
  <cp:contentStatus/>
</cp:coreProperties>
</file>