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0" windowWidth="11340" windowHeight="9700" firstSheet="11" activeTab="11"/>
  </bookViews>
  <sheets>
    <sheet name="Тяга в экипировке" sheetId="1" r:id="rId1"/>
    <sheet name="Тяга без экипировки ДК" sheetId="2" r:id="rId2"/>
    <sheet name="Тяга без экипировки" sheetId="3" r:id="rId3"/>
    <sheet name="Народный жим 1_2" sheetId="4" r:id="rId4"/>
    <sheet name="Народный жим ДК" sheetId="5" r:id="rId5"/>
    <sheet name="Народный жим" sheetId="6" r:id="rId6"/>
    <sheet name="ПЛ в бинтах ДК" sheetId="7" r:id="rId7"/>
    <sheet name="ПЛ в бинтах" sheetId="8" r:id="rId8"/>
    <sheet name="ПЛ без экипировки ДК" sheetId="9" r:id="rId9"/>
    <sheet name="ПЛ без экипировки" sheetId="10" r:id="rId10"/>
    <sheet name="Жим однослойная экип. ДК" sheetId="11" r:id="rId11"/>
    <sheet name="Жим однослойная экипа" sheetId="12" r:id="rId12"/>
    <sheet name="Жим без экипировки ДК" sheetId="13" r:id="rId13"/>
    <sheet name="Жим без экипировки" sheetId="14" r:id="rId14"/>
  </sheets>
  <definedNames/>
  <calcPr fullCalcOnLoad="1" refMode="R1C1"/>
</workbook>
</file>

<file path=xl/sharedStrings.xml><?xml version="1.0" encoding="utf-8"?>
<sst xmlns="http://schemas.openxmlformats.org/spreadsheetml/2006/main" count="1519" uniqueCount="512">
  <si>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</si>
  <si>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</si>
  <si>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</si>
  <si>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</si>
  <si>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</si>
  <si>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</si>
  <si>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</si>
  <si>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</si>
  <si>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</si>
  <si>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Город</t>
  </si>
  <si>
    <t>Возрастная группа
Дата рождения/Возраст</t>
  </si>
  <si>
    <t>Собств. вес</t>
  </si>
  <si>
    <t>Wilks</t>
  </si>
  <si>
    <t>ВЕСОВАЯ КАТЕГОРИЯ   60</t>
  </si>
  <si>
    <t>Пузырева Екатерина</t>
  </si>
  <si>
    <t>Open (21.06.1991)/24</t>
  </si>
  <si>
    <t>60,00</t>
  </si>
  <si>
    <t xml:space="preserve">Лично </t>
  </si>
  <si>
    <t xml:space="preserve">Серпухов/Московская область </t>
  </si>
  <si>
    <t>0,0</t>
  </si>
  <si>
    <t>57,5</t>
  </si>
  <si>
    <t>0.00</t>
  </si>
  <si>
    <t>Каразия Сергей</t>
  </si>
  <si>
    <t>Open (30.11.1987)/27</t>
  </si>
  <si>
    <t>58,40</t>
  </si>
  <si>
    <t>150,0</t>
  </si>
  <si>
    <t>157,5</t>
  </si>
  <si>
    <t>162,5</t>
  </si>
  <si>
    <t>165,0</t>
  </si>
  <si>
    <t>162.50</t>
  </si>
  <si>
    <t xml:space="preserve">самостоятельно </t>
  </si>
  <si>
    <t>ВЕСОВАЯ КАТЕГОРИЯ   75</t>
  </si>
  <si>
    <t>Open (24.12.1989)/25</t>
  </si>
  <si>
    <t>74,30</t>
  </si>
  <si>
    <t xml:space="preserve">Стаханов </t>
  </si>
  <si>
    <t>107,5</t>
  </si>
  <si>
    <t>115,0</t>
  </si>
  <si>
    <t>117,5</t>
  </si>
  <si>
    <t>117.50</t>
  </si>
  <si>
    <t xml:space="preserve">Самостоятельно </t>
  </si>
  <si>
    <t>ВЕСОВАЯ КАТЕГОРИЯ   82.5</t>
  </si>
  <si>
    <t>Juniors 20-23 (18.07.1995)/20</t>
  </si>
  <si>
    <t>76,30</t>
  </si>
  <si>
    <t xml:space="preserve">Серпухов </t>
  </si>
  <si>
    <t>100,0</t>
  </si>
  <si>
    <t>110,0</t>
  </si>
  <si>
    <t>120,0</t>
  </si>
  <si>
    <t>110.00</t>
  </si>
  <si>
    <t xml:space="preserve">Браилко Глеб </t>
  </si>
  <si>
    <t>Open (16.04.1988)/27</t>
  </si>
  <si>
    <t>80,10</t>
  </si>
  <si>
    <t xml:space="preserve">Москва </t>
  </si>
  <si>
    <t>137,5</t>
  </si>
  <si>
    <t>142,5</t>
  </si>
  <si>
    <t>137.50</t>
  </si>
  <si>
    <t xml:space="preserve">Вартабедьян Юрий </t>
  </si>
  <si>
    <t>Сагитов Марат</t>
  </si>
  <si>
    <t>Masters 40-44 (05.03.1971)/44</t>
  </si>
  <si>
    <t>80,90</t>
  </si>
  <si>
    <t>142.50</t>
  </si>
  <si>
    <t>Masters 45-49 (05.02.1970)/45</t>
  </si>
  <si>
    <t>81,20</t>
  </si>
  <si>
    <t>127,5</t>
  </si>
  <si>
    <t>132,5</t>
  </si>
  <si>
    <t>Грачев Борис</t>
  </si>
  <si>
    <t>Masters 70-74 (01.08.1945)/70</t>
  </si>
  <si>
    <t>76,90</t>
  </si>
  <si>
    <t>105,0</t>
  </si>
  <si>
    <t>112,5</t>
  </si>
  <si>
    <t>ВЕСОВАЯ КАТЕГОРИЯ   90</t>
  </si>
  <si>
    <t>Флоря Игорь</t>
  </si>
  <si>
    <t>Teenage 15-19 (18.06.1997)/18</t>
  </si>
  <si>
    <t>84,30</t>
  </si>
  <si>
    <t>75,0</t>
  </si>
  <si>
    <t>80,0</t>
  </si>
  <si>
    <t>82,5</t>
  </si>
  <si>
    <t>82.50</t>
  </si>
  <si>
    <t>Open (14.07.1978)/37</t>
  </si>
  <si>
    <t>88,40</t>
  </si>
  <si>
    <t>145,0</t>
  </si>
  <si>
    <t>152,5</t>
  </si>
  <si>
    <t>150.00</t>
  </si>
  <si>
    <t>Open (30.04.1983)/32</t>
  </si>
  <si>
    <t>85,80</t>
  </si>
  <si>
    <t>135,0</t>
  </si>
  <si>
    <t>135.00</t>
  </si>
  <si>
    <t>Masters 45-49 (14.07.1969)/46</t>
  </si>
  <si>
    <t>87,70</t>
  </si>
  <si>
    <t xml:space="preserve">Емельянов Алексей </t>
  </si>
  <si>
    <t>Обмелюхин Геннадий</t>
  </si>
  <si>
    <t>Masters 65-69 (21.03.1948)/67</t>
  </si>
  <si>
    <t>87,50</t>
  </si>
  <si>
    <t>122,5</t>
  </si>
  <si>
    <t>122.50</t>
  </si>
  <si>
    <t>ВЕСОВАЯ КАТЕГОРИЯ   100</t>
  </si>
  <si>
    <t>Мельников Алексей</t>
  </si>
  <si>
    <t>Open (22.10.1987)/27</t>
  </si>
  <si>
    <t>93,90</t>
  </si>
  <si>
    <t>190,0</t>
  </si>
  <si>
    <t>195,0</t>
  </si>
  <si>
    <t>190.00</t>
  </si>
  <si>
    <t>Чехов Николай</t>
  </si>
  <si>
    <t>Open (26.03.1979)/36</t>
  </si>
  <si>
    <t>180,0</t>
  </si>
  <si>
    <t>192,5</t>
  </si>
  <si>
    <t>180.00</t>
  </si>
  <si>
    <t>Исаев Максим</t>
  </si>
  <si>
    <t>Open (07.12.1983)/31</t>
  </si>
  <si>
    <t>94,40</t>
  </si>
  <si>
    <t>155,0</t>
  </si>
  <si>
    <t>165.00</t>
  </si>
  <si>
    <t>ВЕСОВАЯ КАТЕГОРИЯ   110</t>
  </si>
  <si>
    <t>Open (12.04.1983)/32</t>
  </si>
  <si>
    <t>101,80</t>
  </si>
  <si>
    <t>185,0</t>
  </si>
  <si>
    <t>185.00</t>
  </si>
  <si>
    <t>Open (04.09.1987)/28</t>
  </si>
  <si>
    <t>107,10</t>
  </si>
  <si>
    <t>Чернов Валерий</t>
  </si>
  <si>
    <t>Masters 45-49 (06.12.1969)/45</t>
  </si>
  <si>
    <t>105,60</t>
  </si>
  <si>
    <t xml:space="preserve">Протвино/Московская область </t>
  </si>
  <si>
    <t>170,0</t>
  </si>
  <si>
    <t>ВЕСОВАЯ КАТЕГОРИЯ   125</t>
  </si>
  <si>
    <t>Masters 40-44 (31.03.1974)/41</t>
  </si>
  <si>
    <t>115,60</t>
  </si>
  <si>
    <t>175,0</t>
  </si>
  <si>
    <t>170.00</t>
  </si>
  <si>
    <t xml:space="preserve">Абсолютный зачёт </t>
  </si>
  <si>
    <t xml:space="preserve">Мужчины </t>
  </si>
  <si>
    <t xml:space="preserve">Юноши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</si>
  <si>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</si>
  <si>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</si>
  <si>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</si>
  <si>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</si>
  <si>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</si>
  <si>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 xml:space="preserve">Юноши 15-19 </t>
  </si>
  <si>
    <t xml:space="preserve">90 </t>
  </si>
  <si>
    <t xml:space="preserve">82.5 </t>
  </si>
  <si>
    <t xml:space="preserve">Открытая </t>
  </si>
  <si>
    <t xml:space="preserve">60 </t>
  </si>
  <si>
    <t>142,1062</t>
  </si>
  <si>
    <t xml:space="preserve">100 </t>
  </si>
  <si>
    <t>118,8260</t>
  </si>
  <si>
    <t>112,5720</t>
  </si>
  <si>
    <t xml:space="preserve">110 </t>
  </si>
  <si>
    <t xml:space="preserve">75 </t>
  </si>
  <si>
    <t xml:space="preserve">Мастера </t>
  </si>
  <si>
    <t xml:space="preserve">Мастера 70 - 74 </t>
  </si>
  <si>
    <t>130,9935</t>
  </si>
  <si>
    <t xml:space="preserve">Мастера 65 - 69 </t>
  </si>
  <si>
    <t>126,7503</t>
  </si>
  <si>
    <t xml:space="preserve">Мастера 45 - 49 </t>
  </si>
  <si>
    <t>104,3104</t>
  </si>
  <si>
    <t>65,0</t>
  </si>
  <si>
    <t>67,5</t>
  </si>
  <si>
    <t>ВЕСОВАЯ КАТЕГОРИЯ   67.5</t>
  </si>
  <si>
    <t>Open (22.04.1986)/29</t>
  </si>
  <si>
    <t>66,20</t>
  </si>
  <si>
    <t>60,0</t>
  </si>
  <si>
    <t>ВЕСОВАЯ КАТЕГОРИЯ   56</t>
  </si>
  <si>
    <t>Молоканова Любовь</t>
  </si>
  <si>
    <t>Open (28.02.1985)/30</t>
  </si>
  <si>
    <t>54,70</t>
  </si>
  <si>
    <t xml:space="preserve">Чехов/Московская область </t>
  </si>
  <si>
    <t>50,0</t>
  </si>
  <si>
    <t>55,0</t>
  </si>
  <si>
    <t>Александров Владимир</t>
  </si>
  <si>
    <t>Teenage 15-19 (19.11.1996)/18</t>
  </si>
  <si>
    <t>57,70</t>
  </si>
  <si>
    <t>97,5</t>
  </si>
  <si>
    <t>Teenage 15-19 (22.03.1998)/17</t>
  </si>
  <si>
    <t>58,70</t>
  </si>
  <si>
    <t>70,0</t>
  </si>
  <si>
    <t>77,5</t>
  </si>
  <si>
    <t>Проничкин Сергей</t>
  </si>
  <si>
    <t>Open (15.08.1989)/26</t>
  </si>
  <si>
    <t>59,00</t>
  </si>
  <si>
    <t>Ходырев Александр</t>
  </si>
  <si>
    <t>Open (20.09.1989)/26</t>
  </si>
  <si>
    <t>65,80</t>
  </si>
  <si>
    <t>130,0</t>
  </si>
  <si>
    <t>Juniors 20-23 (30.07.1992)/23</t>
  </si>
  <si>
    <t>74,20</t>
  </si>
  <si>
    <t>140,0</t>
  </si>
  <si>
    <t>Open (01.07.1982)/33</t>
  </si>
  <si>
    <t>74,00</t>
  </si>
  <si>
    <t>Конограй Никита</t>
  </si>
  <si>
    <t>Teenage 15-19 (24.02.1996)/19</t>
  </si>
  <si>
    <t>80,40</t>
  </si>
  <si>
    <t>Teenage 15-19 (02.02.1998)/17</t>
  </si>
  <si>
    <t>80,50</t>
  </si>
  <si>
    <t>Бондаренко Юрий</t>
  </si>
  <si>
    <t>Open (13.04.1988)/27</t>
  </si>
  <si>
    <t>Кузнецов Кирилл</t>
  </si>
  <si>
    <t>Teenage 15-19 (14.09.1996)/19</t>
  </si>
  <si>
    <t>88,10</t>
  </si>
  <si>
    <t>Teenage 15-19 (29.01.1997)/18</t>
  </si>
  <si>
    <t>87,00</t>
  </si>
  <si>
    <t>Полежаев Александр</t>
  </si>
  <si>
    <t>Open (05.07.1987)/28</t>
  </si>
  <si>
    <t>88,00</t>
  </si>
  <si>
    <t>Open (12.03.1991)/24</t>
  </si>
  <si>
    <t>97,50</t>
  </si>
  <si>
    <t>Open (09.05.1985)/30</t>
  </si>
  <si>
    <t xml:space="preserve">Песков П. </t>
  </si>
  <si>
    <t>Open (18.11.1977)/37</t>
  </si>
  <si>
    <t>120,60</t>
  </si>
  <si>
    <t>160,0</t>
  </si>
  <si>
    <t>91,9838</t>
  </si>
  <si>
    <t>91,8810</t>
  </si>
  <si>
    <t>86,2388</t>
  </si>
  <si>
    <t>101,7785</t>
  </si>
  <si>
    <t>98,6000</t>
  </si>
  <si>
    <t>98,4998</t>
  </si>
  <si>
    <t>Желябовская Анна</t>
  </si>
  <si>
    <t>Open (16.06.1978)/37</t>
  </si>
  <si>
    <t>59,50</t>
  </si>
  <si>
    <t xml:space="preserve">Пущино/Московская область </t>
  </si>
  <si>
    <t>72,5</t>
  </si>
  <si>
    <t>Open (01.12.1990)/24</t>
  </si>
  <si>
    <t>74,10</t>
  </si>
  <si>
    <t>Masters 40-44 (15.09.1975)/40</t>
  </si>
  <si>
    <t>54,90</t>
  </si>
  <si>
    <t>90,0</t>
  </si>
  <si>
    <t>95,0</t>
  </si>
  <si>
    <t>Поташева Юлия</t>
  </si>
  <si>
    <t>Juniors 20-23 (14.05.1992)/23</t>
  </si>
  <si>
    <t>70,60</t>
  </si>
  <si>
    <t>85,0</t>
  </si>
  <si>
    <t>92,5</t>
  </si>
  <si>
    <t>Open (14.05.1992)/23</t>
  </si>
  <si>
    <t>Шальнева Маргарита</t>
  </si>
  <si>
    <t>Masters 55-59 (28.10.1958)/56</t>
  </si>
  <si>
    <t>70,00</t>
  </si>
  <si>
    <t>62,5</t>
  </si>
  <si>
    <t>35,0</t>
  </si>
  <si>
    <t>37,5</t>
  </si>
  <si>
    <t xml:space="preserve">Гребнев Евгений </t>
  </si>
  <si>
    <t>Teenage 15-19 (01.12.1997)/17</t>
  </si>
  <si>
    <t>71,30</t>
  </si>
  <si>
    <t xml:space="preserve">Донской/Тульская область </t>
  </si>
  <si>
    <t>Open (05.03.1971)/44</t>
  </si>
  <si>
    <t>Masters 45-49 (18.02.1967)/48</t>
  </si>
  <si>
    <t>84,90</t>
  </si>
  <si>
    <t>Teenage 15-19 (12.06.1998)/17</t>
  </si>
  <si>
    <t>96,20</t>
  </si>
  <si>
    <t>200,0</t>
  </si>
  <si>
    <t>210,0</t>
  </si>
  <si>
    <t xml:space="preserve">Лунин </t>
  </si>
  <si>
    <t>Браилко Глеб</t>
  </si>
  <si>
    <t>Open (28.05.1991)/24</t>
  </si>
  <si>
    <t>97,10</t>
  </si>
  <si>
    <t>220,0</t>
  </si>
  <si>
    <t>235,0</t>
  </si>
  <si>
    <t>172,5</t>
  </si>
  <si>
    <t>225,0</t>
  </si>
  <si>
    <t>245,0</t>
  </si>
  <si>
    <t>Никифоров Анатолий</t>
  </si>
  <si>
    <t>Open (13.07.1982)/33</t>
  </si>
  <si>
    <t>91,80</t>
  </si>
  <si>
    <t>205,0</t>
  </si>
  <si>
    <t>215,0</t>
  </si>
  <si>
    <t>240,0</t>
  </si>
  <si>
    <t>250,0</t>
  </si>
  <si>
    <t>Таиров Вадим</t>
  </si>
  <si>
    <t>Open (31.10.1985)/29</t>
  </si>
  <si>
    <t>97,80</t>
  </si>
  <si>
    <t xml:space="preserve">Пенза/Пензенская область </t>
  </si>
  <si>
    <t>230,0</t>
  </si>
  <si>
    <t>Голубев Ярослав</t>
  </si>
  <si>
    <t>Open (02.02.1980)/35</t>
  </si>
  <si>
    <t>109,80</t>
  </si>
  <si>
    <t xml:space="preserve">Троицк/Московская область </t>
  </si>
  <si>
    <t>Open (11.04.1981)/34</t>
  </si>
  <si>
    <t>108,70</t>
  </si>
  <si>
    <t>167,5</t>
  </si>
  <si>
    <t>Open (04.08.1982)/33</t>
  </si>
  <si>
    <t>106,80</t>
  </si>
  <si>
    <t>700,0</t>
  </si>
  <si>
    <t>412,1600</t>
  </si>
  <si>
    <t>645,0</t>
  </si>
  <si>
    <t>397,3845</t>
  </si>
  <si>
    <t>622,5</t>
  </si>
  <si>
    <t>393,4822</t>
  </si>
  <si>
    <t>ВЕСОВАЯ КАТЕГОРИЯ   48</t>
  </si>
  <si>
    <t>Open (08.09.1983)/32</t>
  </si>
  <si>
    <t>46,60</t>
  </si>
  <si>
    <t>40,0</t>
  </si>
  <si>
    <t>Open (21.08.1982)/33</t>
  </si>
  <si>
    <t>54,60</t>
  </si>
  <si>
    <t>87,5</t>
  </si>
  <si>
    <t>42,5</t>
  </si>
  <si>
    <t>Open (06.03.1977)/38</t>
  </si>
  <si>
    <t>Open (20.02.1990)/25</t>
  </si>
  <si>
    <t>88,80</t>
  </si>
  <si>
    <t>Маркин Николай</t>
  </si>
  <si>
    <t>Open (14.03.1981)/34</t>
  </si>
  <si>
    <t>121,80</t>
  </si>
  <si>
    <t>232,5</t>
  </si>
  <si>
    <t>252,5</t>
  </si>
  <si>
    <t>Open (05.09.1989)/26</t>
  </si>
  <si>
    <t>ВЕСОВАЯ КАТЕГОРИЯ   90+</t>
  </si>
  <si>
    <t>Teenage 15-19 (17.06.1997)/18</t>
  </si>
  <si>
    <t>113,40</t>
  </si>
  <si>
    <t>Сафонов Максим</t>
  </si>
  <si>
    <t>Open (17.02.1981)/34</t>
  </si>
  <si>
    <t>87,10</t>
  </si>
  <si>
    <t>Open (24.05.1977)/38</t>
  </si>
  <si>
    <t>65,00</t>
  </si>
  <si>
    <t>Juniors 20-23 (27.10.1992)/22</t>
  </si>
  <si>
    <t>72,70</t>
  </si>
  <si>
    <t>Open (31.01.1987)/28</t>
  </si>
  <si>
    <t>75,80</t>
  </si>
  <si>
    <t>255,0</t>
  </si>
  <si>
    <t>Савосин Марат</t>
  </si>
  <si>
    <t>Open (23.10.1990)/24</t>
  </si>
  <si>
    <t>105,00</t>
  </si>
  <si>
    <t xml:space="preserve">Подольск/Московская область </t>
  </si>
  <si>
    <t>285,0</t>
  </si>
  <si>
    <t>295,0</t>
  </si>
  <si>
    <t>305,0</t>
  </si>
  <si>
    <t>Волжский Алексей</t>
  </si>
  <si>
    <t>Open (03.03.1985)/30</t>
  </si>
  <si>
    <t>112,90</t>
  </si>
  <si>
    <t xml:space="preserve">Нижний Новгород/Нижегородская область </t>
  </si>
  <si>
    <t xml:space="preserve">Новиков Степан </t>
  </si>
  <si>
    <t>176,2920</t>
  </si>
  <si>
    <t>156,6210</t>
  </si>
  <si>
    <t>149,7120</t>
  </si>
  <si>
    <t>ВЕСОВАЯ КАТЕГОРИЯ   44</t>
  </si>
  <si>
    <t>Хворостинская Надежда</t>
  </si>
  <si>
    <t>Teenage 15-19 (20.07.1996)/19</t>
  </si>
  <si>
    <t>42,70</t>
  </si>
  <si>
    <t xml:space="preserve">Архипов Сергей </t>
  </si>
  <si>
    <t>Teenage 15-19 (20.03.2001)/14</t>
  </si>
  <si>
    <t>54,80</t>
  </si>
  <si>
    <t xml:space="preserve">Клин/Московская область </t>
  </si>
  <si>
    <t>125,0</t>
  </si>
  <si>
    <t>Баранов Егор</t>
  </si>
  <si>
    <t>Open (15.12.1987)/27</t>
  </si>
  <si>
    <t>71,90</t>
  </si>
  <si>
    <t>Макаренко Алексей</t>
  </si>
  <si>
    <t>Open (28.05.1989)/26</t>
  </si>
  <si>
    <t>97,20</t>
  </si>
  <si>
    <t>149,3850</t>
  </si>
  <si>
    <t>143,2275</t>
  </si>
  <si>
    <t>143,1735</t>
  </si>
  <si>
    <t>Open (05.06.1983)/32</t>
  </si>
  <si>
    <t>74,40</t>
  </si>
  <si>
    <t xml:space="preserve">Брехов Роман </t>
  </si>
  <si>
    <t>Место</t>
  </si>
  <si>
    <t>1</t>
  </si>
  <si>
    <t>Результат</t>
  </si>
  <si>
    <t>2</t>
  </si>
  <si>
    <t>3</t>
  </si>
  <si>
    <t>Кубок Московскй области "Окские богатыри" IPL Пауэрлифтинг в бинтах ДК
г. Серпухов, 26 сентября 2015 г.</t>
  </si>
  <si>
    <t>Кубок Московской области "Окские богатыри" IPL Жим лежа без экипировки
г. Серпухов, 26 сентября 2015 г.</t>
  </si>
  <si>
    <t>Самостоятельно</t>
  </si>
  <si>
    <t xml:space="preserve">Каразия Сергей </t>
  </si>
  <si>
    <t xml:space="preserve">Нгуен Роман </t>
  </si>
  <si>
    <t xml:space="preserve">Можаев Сергей </t>
  </si>
  <si>
    <t xml:space="preserve">Левин Алексей </t>
  </si>
  <si>
    <t xml:space="preserve">Сагитов Марат </t>
  </si>
  <si>
    <t xml:space="preserve">Грачев Борис  </t>
  </si>
  <si>
    <t xml:space="preserve">Грачев Игорь   </t>
  </si>
  <si>
    <t xml:space="preserve">Пантелеев Леонид </t>
  </si>
  <si>
    <t xml:space="preserve">Обмелюхин Геннадий  </t>
  </si>
  <si>
    <t xml:space="preserve">Мельников Алексей </t>
  </si>
  <si>
    <t xml:space="preserve">Чехов Николай </t>
  </si>
  <si>
    <t xml:space="preserve">Исаев Максим </t>
  </si>
  <si>
    <t xml:space="preserve">Козуля Иван </t>
  </si>
  <si>
    <t xml:space="preserve">Титкин Александр </t>
  </si>
  <si>
    <t xml:space="preserve">Чернов Валерий </t>
  </si>
  <si>
    <t xml:space="preserve">Пузырев Денис  </t>
  </si>
  <si>
    <t>Кубок Московской области "Окские богатыри" IPL Жим лежа без экипировки ДК
г. Серпухов, 26 сентября 2015 г.</t>
  </si>
  <si>
    <t xml:space="preserve">Пузырева Екатерина  </t>
  </si>
  <si>
    <t xml:space="preserve">Кармен Наталья  </t>
  </si>
  <si>
    <t xml:space="preserve">Александров Владимир </t>
  </si>
  <si>
    <t xml:space="preserve">Шурыгин Дмитрий </t>
  </si>
  <si>
    <t xml:space="preserve">Проничкин Сергей </t>
  </si>
  <si>
    <t xml:space="preserve">Дежин Андрей </t>
  </si>
  <si>
    <t xml:space="preserve">Озорнов Роман  </t>
  </si>
  <si>
    <t xml:space="preserve">Конограй Никита  </t>
  </si>
  <si>
    <t xml:space="preserve">Юдин Даниил </t>
  </si>
  <si>
    <t xml:space="preserve">Бондаренко Юрий </t>
  </si>
  <si>
    <t xml:space="preserve">Кузнецов Кирилл  </t>
  </si>
  <si>
    <t xml:space="preserve">Жемаркин Дмитрий </t>
  </si>
  <si>
    <t xml:space="preserve">Полежаев Александр </t>
  </si>
  <si>
    <t xml:space="preserve">Чернышов Игорь </t>
  </si>
  <si>
    <t xml:space="preserve">Полеев Николай </t>
  </si>
  <si>
    <t xml:space="preserve">Осипенко Алексей </t>
  </si>
  <si>
    <t xml:space="preserve">Панков Константин </t>
  </si>
  <si>
    <t xml:space="preserve">Чехов/Московская область  </t>
  </si>
  <si>
    <t xml:space="preserve">Пущино/Московская область  </t>
  </si>
  <si>
    <t xml:space="preserve">Копытцев Николай </t>
  </si>
  <si>
    <t>Кубок Московской области "Окские богатыри" IPL Жим лежа в однослойной экипировке
г. Серпухов, 26 сентября 2015 г.</t>
  </si>
  <si>
    <t>Кубок Московской области "Окские богатыри" IPL Жим лежа в однослойной экипировке ДК
г. Серпухов, 26 сентября 2015 г.</t>
  </si>
  <si>
    <t xml:space="preserve">Кубок Московской области "Окские богатыри" IPL Пауэрлифтинг без экипировки
г. Серпухов, 26 сентября 2015 г. </t>
  </si>
  <si>
    <t xml:space="preserve">Очирова Елена </t>
  </si>
  <si>
    <t xml:space="preserve">Поташева Юлия </t>
  </si>
  <si>
    <t xml:space="preserve">Черемных Илья </t>
  </si>
  <si>
    <t xml:space="preserve">Воробьев Александр </t>
  </si>
  <si>
    <t xml:space="preserve">Прохоров Егор </t>
  </si>
  <si>
    <t xml:space="preserve">Браилко Глеб  </t>
  </si>
  <si>
    <t xml:space="preserve">Никифоров Анатолий </t>
  </si>
  <si>
    <t xml:space="preserve">Голубев Ярослав </t>
  </si>
  <si>
    <t xml:space="preserve">Щерба Сергей </t>
  </si>
  <si>
    <t xml:space="preserve">Платов Руслан </t>
  </si>
  <si>
    <t>Емельянов Алексей</t>
  </si>
  <si>
    <t>Кубок Московской области "Окские богатыри" IPL Пауэрлифтинг без экипировки ДК
г. Серпухов, 26 сентября 2015 г.</t>
  </si>
  <si>
    <t xml:space="preserve">Свиридов Вадим </t>
  </si>
  <si>
    <t xml:space="preserve">Графин Александр </t>
  </si>
  <si>
    <t xml:space="preserve">Кондрашина Анна </t>
  </si>
  <si>
    <t xml:space="preserve">Орешкина Анастасия </t>
  </si>
  <si>
    <t>Кубок Московской области "Окские богатыри" IPL Пауэрлифтинг в бинтах
г. Серпухов, 26 сентября 2015 г.</t>
  </si>
  <si>
    <t xml:space="preserve">Ряховский Дмитрий </t>
  </si>
  <si>
    <t xml:space="preserve">Орешкин Александр </t>
  </si>
  <si>
    <t xml:space="preserve">Уколова Вероника </t>
  </si>
  <si>
    <t xml:space="preserve">Сафонов Максим  </t>
  </si>
  <si>
    <t>Кубок Московской области "Окские богатыри" IPL Становая тяга без экипировки
г. Серпухов, 26 сентября 2015 г.</t>
  </si>
  <si>
    <t xml:space="preserve">Голомазова Екатерина </t>
  </si>
  <si>
    <t xml:space="preserve">Таирова Юлия </t>
  </si>
  <si>
    <t xml:space="preserve">Клинцова Мария </t>
  </si>
  <si>
    <t xml:space="preserve">Таиров Вадим </t>
  </si>
  <si>
    <t xml:space="preserve">Савосин Марат  </t>
  </si>
  <si>
    <t>Арсентьев Иван</t>
  </si>
  <si>
    <t xml:space="preserve">Янковский Андрей </t>
  </si>
  <si>
    <t xml:space="preserve">Баранов Егор </t>
  </si>
  <si>
    <t xml:space="preserve">Макаренко Алексей </t>
  </si>
  <si>
    <t xml:space="preserve">Сафонов Максим </t>
  </si>
  <si>
    <t>Кубок Московской области "Окские богатыри" IPL Становая тяга без экипировки ДК
г. Серпухов 26 сентября 2015 г.</t>
  </si>
  <si>
    <t xml:space="preserve">Серпухов/Московская область  </t>
  </si>
  <si>
    <t xml:space="preserve">Товстоног Максим </t>
  </si>
  <si>
    <t>Кубок Московской области "Окские богатыри" IPL Становая тяга в экипировке
г. Серпухов, 26 сентября 2015 г.</t>
  </si>
  <si>
    <t>Кубок Московской области "Окские богатыри" Народный жим (1 вес) допинг контроль</t>
  </si>
  <si>
    <t>г. Серпухов, 26 сентября 2015 г.</t>
  </si>
  <si>
    <t>Возрастная группа</t>
  </si>
  <si>
    <t>Дата рождения/Возраст</t>
  </si>
  <si>
    <t>Gloss</t>
  </si>
  <si>
    <t>Тоннаж</t>
  </si>
  <si>
    <t>Вес</t>
  </si>
  <si>
    <t>Повторы</t>
  </si>
  <si>
    <t>0,7650</t>
  </si>
  <si>
    <t>28,0</t>
  </si>
  <si>
    <t>1890,00</t>
  </si>
  <si>
    <t>1445,9445</t>
  </si>
  <si>
    <t>Мишин Николай</t>
  </si>
  <si>
    <t>Open (22.12.1982)/32</t>
  </si>
  <si>
    <t>75,30</t>
  </si>
  <si>
    <t>0,6865</t>
  </si>
  <si>
    <t>2170,00</t>
  </si>
  <si>
    <t>1489,7050</t>
  </si>
  <si>
    <t>Асташкин Артем</t>
  </si>
  <si>
    <t>Open (12.09.1988)/27</t>
  </si>
  <si>
    <t>95,40</t>
  </si>
  <si>
    <t>0,5938</t>
  </si>
  <si>
    <t>18,0</t>
  </si>
  <si>
    <t>1755,00</t>
  </si>
  <si>
    <t>1042,0313</t>
  </si>
  <si>
    <t>Кубок Московской области "Окские богатыри" Народный жим (1 вес)</t>
  </si>
  <si>
    <t>Teen 13-19 (19.11.1996)/18</t>
  </si>
  <si>
    <t>0,8656</t>
  </si>
  <si>
    <t>1080</t>
  </si>
  <si>
    <t>934,9020</t>
  </si>
  <si>
    <t>Кировский Андрей</t>
  </si>
  <si>
    <t>Open (01.12.1989)/25</t>
  </si>
  <si>
    <t>75,00</t>
  </si>
  <si>
    <t>0,6885</t>
  </si>
  <si>
    <t xml:space="preserve">Брянск/Брянская область </t>
  </si>
  <si>
    <t>29,0</t>
  </si>
  <si>
    <t>2175</t>
  </si>
  <si>
    <t>1497,5962</t>
  </si>
  <si>
    <t xml:space="preserve">Коврига Анастасия </t>
  </si>
  <si>
    <t>Озорнов Роман</t>
  </si>
  <si>
    <t>0,6955</t>
  </si>
  <si>
    <t>24,0</t>
  </si>
  <si>
    <t>1800</t>
  </si>
  <si>
    <t>1251,8100</t>
  </si>
  <si>
    <t>Masters 60+ (01.08.1945)/70</t>
  </si>
  <si>
    <t>0,6761</t>
  </si>
  <si>
    <t>8,0</t>
  </si>
  <si>
    <t>620</t>
  </si>
  <si>
    <t>689,5544</t>
  </si>
  <si>
    <t>0,6197</t>
  </si>
  <si>
    <t>20,0</t>
  </si>
  <si>
    <t>1115,4600</t>
  </si>
  <si>
    <t>Open (04.06.1976)/39</t>
  </si>
  <si>
    <t>113,50</t>
  </si>
  <si>
    <t>0,5580</t>
  </si>
  <si>
    <t>33,0</t>
  </si>
  <si>
    <t>3795</t>
  </si>
  <si>
    <t>2117,4203</t>
  </si>
  <si>
    <t>ВЕСОВАЯ КАТЕГОРИЯ   140</t>
  </si>
  <si>
    <t>Филин Михаил</t>
  </si>
  <si>
    <t>Masters 50-59 (17.11.1961)/53</t>
  </si>
  <si>
    <t>129,30</t>
  </si>
  <si>
    <t>0,5410</t>
  </si>
  <si>
    <t>10,0</t>
  </si>
  <si>
    <t>1300</t>
  </si>
  <si>
    <t>832,6918</t>
  </si>
  <si>
    <t xml:space="preserve">Gloss </t>
  </si>
  <si>
    <t xml:space="preserve">125 </t>
  </si>
  <si>
    <t>3795,0</t>
  </si>
  <si>
    <t>2175,0</t>
  </si>
  <si>
    <t>1800,0</t>
  </si>
  <si>
    <t>Кубок Московской области "Окские богатыри" Народный жим (1/2 вес)</t>
  </si>
  <si>
    <t>0,9942</t>
  </si>
  <si>
    <t>30,0</t>
  </si>
  <si>
    <t>300</t>
  </si>
  <si>
    <t>298,2750</t>
  </si>
  <si>
    <t xml:space="preserve">Суботин Руслан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</si>
</sst>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0.000"/>
  </numFmts>
  <fonts count="52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trike/>
      <sz val="10"/>
      <color indexed="10"/>
      <name val="Arial Cyr"/>
      <family val="0"/>
    </font>
    <font>
      <sz val="10"/>
      <color indexed="21"/>
      <name val="Arial Cyr"/>
      <family val="0"/>
    </font>
    <font>
      <strike/>
      <sz val="10"/>
      <color indexed="21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0"/>
      <color rgb="FFFF0000"/>
      <name val="Arial Cyr"/>
      <family val="0"/>
    </font>
    <font>
      <sz val="10"/>
      <color rgb="FF00B050"/>
      <name val="Arial Cyr"/>
      <family val="0"/>
    </font>
    <font>
      <strike/>
      <sz val="10"/>
      <color rgb="FF00B050"/>
      <name val="Arial Cyr"/>
      <family val="0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1" xfId="0" applyNumberFormat="1" applyBorder="1" applyAlignment="1">
      <alignment/>
    </xf>
    <xf numFmtId="49" fontId="7" fillId="0" borderId="11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49" fontId="7" fillId="0" borderId="12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 horizontal="left" indent="1"/>
    </xf>
    <xf numFmtId="49" fontId="9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48" fillId="0" borderId="11" xfId="0" applyNumberFormat="1" applyFont="1" applyBorder="1" applyAlignment="1">
      <alignment/>
    </xf>
    <xf numFmtId="49" fontId="49" fillId="0" borderId="11" xfId="0" applyNumberFormat="1" applyFont="1" applyBorder="1" applyAlignment="1">
      <alignment/>
    </xf>
    <xf numFmtId="49" fontId="0" fillId="0" borderId="12" xfId="0" applyNumberForma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49" fillId="0" borderId="12" xfId="0" applyNumberFormat="1" applyFont="1" applyBorder="1" applyAlignment="1">
      <alignment/>
    </xf>
    <xf numFmtId="49" fontId="48" fillId="0" borderId="12" xfId="0" applyNumberFormat="1" applyFont="1" applyBorder="1" applyAlignment="1">
      <alignment/>
    </xf>
    <xf numFmtId="49" fontId="50" fillId="0" borderId="11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indent="1"/>
    </xf>
    <xf numFmtId="49" fontId="2" fillId="0" borderId="1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48" fillId="0" borderId="11" xfId="0" applyNumberFormat="1" applyFont="1" applyFill="1" applyBorder="1" applyAlignment="1">
      <alignment horizontal="center"/>
    </xf>
    <xf numFmtId="49" fontId="51" fillId="0" borderId="0" xfId="0" applyNumberFormat="1" applyFont="1" applyFill="1" applyBorder="1" applyAlignment="1">
      <alignment horizontal="center"/>
    </xf>
    <xf numFmtId="49" fontId="49" fillId="0" borderId="11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/>
    </xf>
    <xf numFmtId="49" fontId="9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3" fillId="0" borderId="0" xfId="0" applyNumberFormat="1" applyFont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left"/>
    </xf>
    <xf numFmtId="49" fontId="0" fillId="0" borderId="14" xfId="0" applyNumberFormat="1" applyBorder="1" applyAlignment="1">
      <alignment horizontal="center"/>
    </xf>
    <xf numFmtId="49" fontId="0" fillId="0" borderId="14" xfId="0" applyNumberForma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0" fillId="0" borderId="0" xfId="0" applyNumberFormat="1" applyAlignment="1">
      <alignment horizont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/>
    </xf>
    <xf numFmtId="49" fontId="3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/>
    </xf>
    <xf numFmtId="49" fontId="0" fillId="0" borderId="38" xfId="0" applyNumberFormat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G21" sqref="G21"/>
    </sheetView>
  </sheetViews>
  <sheetFormatPr defaultColWidth="8.75390625" defaultRowHeight="12.75"/>
  <cols>
    <col min="1" max="1" width="7.875" style="29" bestFit="1" customWidth="1"/>
    <col min="2" max="2" width="31.875" style="15" bestFit="1" customWidth="1"/>
    <col min="3" max="3" width="31.25390625" style="15" customWidth="1"/>
    <col min="4" max="4" width="12.25390625" style="15" bestFit="1" customWidth="1"/>
    <col min="5" max="5" width="8.375" style="15" bestFit="1" customWidth="1"/>
    <col min="6" max="6" width="18.125" style="15" customWidth="1"/>
    <col min="7" max="7" width="24.25390625" style="15" customWidth="1"/>
    <col min="8" max="10" width="5.625" style="15" bestFit="1" customWidth="1"/>
    <col min="11" max="11" width="4.625" style="15" bestFit="1" customWidth="1"/>
    <col min="12" max="12" width="11.125" style="29" customWidth="1"/>
    <col min="13" max="13" width="8.625" style="15" bestFit="1" customWidth="1"/>
    <col min="14" max="14" width="18.75390625" style="15" customWidth="1"/>
  </cols>
  <sheetData>
    <row r="1" spans="2:14" s="1" customFormat="1" ht="15" customHeight="1">
      <c r="B1" s="69" t="s">
        <v>434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1"/>
    </row>
    <row r="2" spans="2:14" s="1" customFormat="1" ht="81.75" customHeight="1" thickBot="1"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</row>
    <row r="3" spans="1:14" s="2" customFormat="1" ht="12.75" customHeight="1">
      <c r="A3" s="64" t="s">
        <v>351</v>
      </c>
      <c r="B3" s="75" t="s">
        <v>0</v>
      </c>
      <c r="C3" s="77" t="s">
        <v>10</v>
      </c>
      <c r="D3" s="77" t="s">
        <v>11</v>
      </c>
      <c r="E3" s="64" t="s">
        <v>12</v>
      </c>
      <c r="F3" s="64" t="s">
        <v>7</v>
      </c>
      <c r="G3" s="64" t="s">
        <v>9</v>
      </c>
      <c r="H3" s="64" t="s">
        <v>3</v>
      </c>
      <c r="I3" s="64"/>
      <c r="J3" s="64"/>
      <c r="K3" s="64"/>
      <c r="L3" s="64" t="s">
        <v>353</v>
      </c>
      <c r="M3" s="64" t="s">
        <v>6</v>
      </c>
      <c r="N3" s="66" t="s">
        <v>5</v>
      </c>
    </row>
    <row r="4" spans="1:14" s="2" customFormat="1" ht="34.5" customHeight="1" thickBot="1">
      <c r="A4" s="65"/>
      <c r="B4" s="76"/>
      <c r="C4" s="65"/>
      <c r="D4" s="78"/>
      <c r="E4" s="65"/>
      <c r="F4" s="65"/>
      <c r="G4" s="65"/>
      <c r="H4" s="3">
        <v>1</v>
      </c>
      <c r="I4" s="3">
        <v>2</v>
      </c>
      <c r="J4" s="3">
        <v>3</v>
      </c>
      <c r="K4" s="3" t="s">
        <v>8</v>
      </c>
      <c r="L4" s="65"/>
      <c r="M4" s="65"/>
      <c r="N4" s="67"/>
    </row>
    <row r="5" spans="1:13" ht="15.75">
      <c r="A5"/>
      <c r="B5" s="68" t="s">
        <v>31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4" ht="12.75">
      <c r="A6" s="28" t="s">
        <v>352</v>
      </c>
      <c r="B6" s="16" t="s">
        <v>433</v>
      </c>
      <c r="C6" s="16" t="s">
        <v>348</v>
      </c>
      <c r="D6" s="16" t="s">
        <v>349</v>
      </c>
      <c r="E6" s="16" t="str">
        <f>"0,7166"</f>
        <v>0,7166</v>
      </c>
      <c r="F6" s="16" t="s">
        <v>17</v>
      </c>
      <c r="G6" s="16" t="s">
        <v>432</v>
      </c>
      <c r="H6" s="31" t="s">
        <v>256</v>
      </c>
      <c r="I6" s="31" t="s">
        <v>254</v>
      </c>
      <c r="J6" s="30" t="s">
        <v>263</v>
      </c>
      <c r="K6" s="17"/>
      <c r="L6" s="28">
        <v>235</v>
      </c>
      <c r="M6" s="16" t="str">
        <f>"168,4010"</f>
        <v>168,4010</v>
      </c>
      <c r="N6" s="16" t="s">
        <v>350</v>
      </c>
    </row>
  </sheetData>
  <sheetProtection/>
  <mergeCells count="13">
    <mergeCell ref="B5:M5"/>
    <mergeCell ref="A3:A4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42"/>
  <sheetViews>
    <sheetView workbookViewId="0" topLeftCell="A1">
      <selection activeCell="Z13" sqref="Z13"/>
    </sheetView>
  </sheetViews>
  <sheetFormatPr defaultColWidth="8.75390625" defaultRowHeight="12.75"/>
  <cols>
    <col min="1" max="1" width="7.875" style="29" bestFit="1" customWidth="1"/>
    <col min="2" max="2" width="24.625" style="15" customWidth="1"/>
    <col min="3" max="3" width="27.125" style="15" bestFit="1" customWidth="1"/>
    <col min="4" max="4" width="11.00390625" style="15" customWidth="1"/>
    <col min="5" max="5" width="8.375" style="15" bestFit="1" customWidth="1"/>
    <col min="6" max="6" width="10.625" style="15" customWidth="1"/>
    <col min="7" max="7" width="28.625" style="15" bestFit="1" customWidth="1"/>
    <col min="8" max="10" width="5.625" style="15" bestFit="1" customWidth="1"/>
    <col min="11" max="11" width="4.625" style="15" bestFit="1" customWidth="1"/>
    <col min="12" max="14" width="5.625" style="15" bestFit="1" customWidth="1"/>
    <col min="15" max="15" width="4.625" style="15" bestFit="1" customWidth="1"/>
    <col min="16" max="18" width="5.625" style="15" bestFit="1" customWidth="1"/>
    <col min="19" max="19" width="4.625" style="15" bestFit="1" customWidth="1"/>
    <col min="20" max="20" width="7.875" style="29" bestFit="1" customWidth="1"/>
    <col min="21" max="21" width="8.625" style="15" bestFit="1" customWidth="1"/>
    <col min="22" max="22" width="16.25390625" style="15" bestFit="1" customWidth="1"/>
  </cols>
  <sheetData>
    <row r="1" spans="2:22" s="1" customFormat="1" ht="15" customHeight="1">
      <c r="B1" s="69" t="s">
        <v>398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1"/>
    </row>
    <row r="2" spans="2:22" s="1" customFormat="1" ht="81.75" customHeight="1" thickBot="1"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4"/>
    </row>
    <row r="3" spans="1:22" s="2" customFormat="1" ht="12.75" customHeight="1">
      <c r="A3" s="64" t="s">
        <v>351</v>
      </c>
      <c r="B3" s="79" t="s">
        <v>0</v>
      </c>
      <c r="C3" s="77" t="s">
        <v>10</v>
      </c>
      <c r="D3" s="77" t="s">
        <v>11</v>
      </c>
      <c r="E3" s="64" t="s">
        <v>12</v>
      </c>
      <c r="F3" s="64" t="s">
        <v>7</v>
      </c>
      <c r="G3" s="64" t="s">
        <v>9</v>
      </c>
      <c r="H3" s="64" t="s">
        <v>1</v>
      </c>
      <c r="I3" s="64"/>
      <c r="J3" s="64"/>
      <c r="K3" s="64"/>
      <c r="L3" s="64" t="s">
        <v>2</v>
      </c>
      <c r="M3" s="64"/>
      <c r="N3" s="64"/>
      <c r="O3" s="64"/>
      <c r="P3" s="64" t="s">
        <v>3</v>
      </c>
      <c r="Q3" s="64"/>
      <c r="R3" s="64"/>
      <c r="S3" s="64"/>
      <c r="T3" s="64" t="s">
        <v>4</v>
      </c>
      <c r="U3" s="64" t="s">
        <v>6</v>
      </c>
      <c r="V3" s="66" t="s">
        <v>5</v>
      </c>
    </row>
    <row r="4" spans="1:22" s="2" customFormat="1" ht="21" customHeight="1" thickBot="1">
      <c r="A4" s="65"/>
      <c r="B4" s="80"/>
      <c r="C4" s="65"/>
      <c r="D4" s="78"/>
      <c r="E4" s="65"/>
      <c r="F4" s="65"/>
      <c r="G4" s="65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65"/>
      <c r="U4" s="65"/>
      <c r="V4" s="67"/>
    </row>
    <row r="5" spans="1:21" ht="15.75">
      <c r="A5"/>
      <c r="B5" s="68" t="s">
        <v>160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</row>
    <row r="6" spans="1:22" ht="12.75">
      <c r="A6" s="28" t="s">
        <v>352</v>
      </c>
      <c r="B6" s="16" t="s">
        <v>399</v>
      </c>
      <c r="C6" s="16" t="s">
        <v>222</v>
      </c>
      <c r="D6" s="16" t="s">
        <v>223</v>
      </c>
      <c r="E6" s="16" t="str">
        <f>"1,1950"</f>
        <v>1,1950</v>
      </c>
      <c r="F6" s="16" t="s">
        <v>17</v>
      </c>
      <c r="G6" s="16" t="s">
        <v>18</v>
      </c>
      <c r="H6" s="31" t="s">
        <v>224</v>
      </c>
      <c r="I6" s="31" t="s">
        <v>225</v>
      </c>
      <c r="J6" s="30" t="s">
        <v>44</v>
      </c>
      <c r="K6" s="17"/>
      <c r="L6" s="31" t="s">
        <v>154</v>
      </c>
      <c r="M6" s="30" t="s">
        <v>155</v>
      </c>
      <c r="N6" s="30" t="s">
        <v>173</v>
      </c>
      <c r="O6" s="17"/>
      <c r="P6" s="31" t="s">
        <v>67</v>
      </c>
      <c r="Q6" s="30" t="s">
        <v>68</v>
      </c>
      <c r="R6" s="31" t="s">
        <v>46</v>
      </c>
      <c r="S6" s="17"/>
      <c r="T6" s="28">
        <v>280</v>
      </c>
      <c r="U6" s="16" t="str">
        <f>"334,6000"</f>
        <v>334,6000</v>
      </c>
      <c r="V6" s="16" t="s">
        <v>39</v>
      </c>
    </row>
    <row r="8" spans="1:21" ht="15.75">
      <c r="A8"/>
      <c r="B8" s="81" t="s">
        <v>31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</row>
    <row r="9" spans="1:22" ht="12.75">
      <c r="A9" s="28" t="s">
        <v>352</v>
      </c>
      <c r="B9" s="16" t="s">
        <v>400</v>
      </c>
      <c r="C9" s="16" t="s">
        <v>227</v>
      </c>
      <c r="D9" s="16" t="s">
        <v>228</v>
      </c>
      <c r="E9" s="16" t="str">
        <f>"0,9890"</f>
        <v>0,9890</v>
      </c>
      <c r="F9" s="16" t="s">
        <v>17</v>
      </c>
      <c r="G9" s="16" t="s">
        <v>51</v>
      </c>
      <c r="H9" s="31" t="s">
        <v>229</v>
      </c>
      <c r="I9" s="31" t="s">
        <v>230</v>
      </c>
      <c r="J9" s="31" t="s">
        <v>44</v>
      </c>
      <c r="K9" s="17"/>
      <c r="L9" s="31" t="s">
        <v>165</v>
      </c>
      <c r="M9" s="30" t="s">
        <v>20</v>
      </c>
      <c r="N9" s="30" t="s">
        <v>20</v>
      </c>
      <c r="O9" s="17"/>
      <c r="P9" s="31" t="s">
        <v>45</v>
      </c>
      <c r="Q9" s="31" t="s">
        <v>92</v>
      </c>
      <c r="R9" s="31" t="s">
        <v>181</v>
      </c>
      <c r="S9" s="17"/>
      <c r="T9" s="28">
        <v>280</v>
      </c>
      <c r="U9" s="16" t="str">
        <f>"276,9200"</f>
        <v>276,9200</v>
      </c>
      <c r="V9" s="16" t="s">
        <v>39</v>
      </c>
    </row>
    <row r="10" spans="1:22" ht="12.75">
      <c r="A10" s="28" t="s">
        <v>352</v>
      </c>
      <c r="B10" s="16" t="s">
        <v>226</v>
      </c>
      <c r="C10" s="16" t="s">
        <v>231</v>
      </c>
      <c r="D10" s="16" t="s">
        <v>228</v>
      </c>
      <c r="E10" s="16" t="str">
        <f>"0,9890"</f>
        <v>0,9890</v>
      </c>
      <c r="F10" s="16" t="s">
        <v>17</v>
      </c>
      <c r="G10" s="16" t="s">
        <v>51</v>
      </c>
      <c r="H10" s="31" t="s">
        <v>229</v>
      </c>
      <c r="I10" s="31" t="s">
        <v>230</v>
      </c>
      <c r="J10" s="31" t="s">
        <v>44</v>
      </c>
      <c r="K10" s="17"/>
      <c r="L10" s="31" t="s">
        <v>165</v>
      </c>
      <c r="M10" s="30" t="s">
        <v>20</v>
      </c>
      <c r="N10" s="30" t="s">
        <v>20</v>
      </c>
      <c r="O10" s="17"/>
      <c r="P10" s="31" t="s">
        <v>45</v>
      </c>
      <c r="Q10" s="31" t="s">
        <v>92</v>
      </c>
      <c r="R10" s="31" t="s">
        <v>181</v>
      </c>
      <c r="S10" s="17"/>
      <c r="T10" s="28">
        <v>280</v>
      </c>
      <c r="U10" s="16" t="str">
        <f>"276,9200"</f>
        <v>276,9200</v>
      </c>
      <c r="V10" s="16" t="s">
        <v>39</v>
      </c>
    </row>
    <row r="11" spans="1:22" ht="12.75">
      <c r="A11" s="28" t="s">
        <v>352</v>
      </c>
      <c r="B11" s="16" t="s">
        <v>232</v>
      </c>
      <c r="C11" s="16" t="s">
        <v>233</v>
      </c>
      <c r="D11" s="16" t="s">
        <v>234</v>
      </c>
      <c r="E11" s="16" t="str">
        <f>"0,9948"</f>
        <v>0,9948</v>
      </c>
      <c r="F11" s="16" t="s">
        <v>17</v>
      </c>
      <c r="G11" s="16" t="s">
        <v>18</v>
      </c>
      <c r="H11" s="30" t="s">
        <v>165</v>
      </c>
      <c r="I11" s="31" t="s">
        <v>159</v>
      </c>
      <c r="J11" s="30" t="s">
        <v>235</v>
      </c>
      <c r="K11" s="17"/>
      <c r="L11" s="31" t="s">
        <v>236</v>
      </c>
      <c r="M11" s="30" t="s">
        <v>237</v>
      </c>
      <c r="N11" s="30" t="s">
        <v>237</v>
      </c>
      <c r="O11" s="17"/>
      <c r="P11" s="31" t="s">
        <v>165</v>
      </c>
      <c r="Q11" s="31" t="s">
        <v>154</v>
      </c>
      <c r="R11" s="31" t="s">
        <v>73</v>
      </c>
      <c r="S11" s="17"/>
      <c r="T11" s="28">
        <v>170</v>
      </c>
      <c r="U11" s="16" t="str">
        <f>"215,2847"</f>
        <v>215,2847</v>
      </c>
      <c r="V11" s="16" t="s">
        <v>238</v>
      </c>
    </row>
    <row r="13" spans="1:21" ht="15.75">
      <c r="A13"/>
      <c r="B13" s="81" t="s">
        <v>31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</row>
    <row r="14" spans="1:22" ht="12.75">
      <c r="A14" s="28" t="s">
        <v>352</v>
      </c>
      <c r="B14" s="16" t="s">
        <v>401</v>
      </c>
      <c r="C14" s="16" t="s">
        <v>239</v>
      </c>
      <c r="D14" s="16" t="s">
        <v>240</v>
      </c>
      <c r="E14" s="16" t="str">
        <f>"0,7390"</f>
        <v>0,7390</v>
      </c>
      <c r="F14" s="16" t="s">
        <v>17</v>
      </c>
      <c r="G14" s="16" t="s">
        <v>241</v>
      </c>
      <c r="H14" s="31" t="s">
        <v>46</v>
      </c>
      <c r="I14" s="31" t="s">
        <v>181</v>
      </c>
      <c r="J14" s="30" t="s">
        <v>184</v>
      </c>
      <c r="K14" s="17"/>
      <c r="L14" s="31" t="s">
        <v>73</v>
      </c>
      <c r="M14" s="31" t="s">
        <v>74</v>
      </c>
      <c r="N14" s="30" t="s">
        <v>229</v>
      </c>
      <c r="O14" s="17"/>
      <c r="P14" s="31" t="s">
        <v>25</v>
      </c>
      <c r="Q14" s="31" t="s">
        <v>126</v>
      </c>
      <c r="R14" s="31" t="s">
        <v>114</v>
      </c>
      <c r="S14" s="17"/>
      <c r="T14" s="28">
        <v>395</v>
      </c>
      <c r="U14" s="16" t="str">
        <f>"291,9050"</f>
        <v>291,9050</v>
      </c>
      <c r="V14" s="16" t="s">
        <v>39</v>
      </c>
    </row>
    <row r="16" spans="1:21" ht="15.75">
      <c r="A16"/>
      <c r="B16" s="81" t="s">
        <v>40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</row>
    <row r="17" spans="1:22" ht="12.75">
      <c r="A17" s="28" t="s">
        <v>352</v>
      </c>
      <c r="B17" s="16" t="s">
        <v>56</v>
      </c>
      <c r="C17" s="16" t="s">
        <v>242</v>
      </c>
      <c r="D17" s="16" t="s">
        <v>58</v>
      </c>
      <c r="E17" s="16" t="str">
        <f>"0,6779"</f>
        <v>0,6779</v>
      </c>
      <c r="F17" s="16" t="s">
        <v>17</v>
      </c>
      <c r="G17" s="16" t="s">
        <v>51</v>
      </c>
      <c r="H17" s="31" t="s">
        <v>181</v>
      </c>
      <c r="I17" s="31" t="s">
        <v>79</v>
      </c>
      <c r="J17" s="31" t="s">
        <v>109</v>
      </c>
      <c r="K17" s="36"/>
      <c r="L17" s="31" t="s">
        <v>46</v>
      </c>
      <c r="M17" s="31" t="s">
        <v>181</v>
      </c>
      <c r="N17" s="31" t="s">
        <v>53</v>
      </c>
      <c r="O17" s="36"/>
      <c r="P17" s="31" t="s">
        <v>181</v>
      </c>
      <c r="Q17" s="31" t="s">
        <v>79</v>
      </c>
      <c r="R17" s="31" t="s">
        <v>208</v>
      </c>
      <c r="S17" s="17"/>
      <c r="T17" s="28">
        <v>457.5</v>
      </c>
      <c r="U17" s="16" t="str">
        <f>"310,1393"</f>
        <v>310,1393</v>
      </c>
      <c r="V17" s="16" t="s">
        <v>39</v>
      </c>
    </row>
    <row r="18" spans="1:22" ht="12.75">
      <c r="A18" s="28" t="s">
        <v>352</v>
      </c>
      <c r="B18" s="16" t="s">
        <v>363</v>
      </c>
      <c r="C18" s="16" t="s">
        <v>57</v>
      </c>
      <c r="D18" s="16" t="s">
        <v>58</v>
      </c>
      <c r="E18" s="16" t="str">
        <f>"0,6779"</f>
        <v>0,6779</v>
      </c>
      <c r="F18" s="16" t="s">
        <v>17</v>
      </c>
      <c r="G18" s="16" t="s">
        <v>51</v>
      </c>
      <c r="H18" s="31" t="s">
        <v>181</v>
      </c>
      <c r="I18" s="31" t="s">
        <v>79</v>
      </c>
      <c r="J18" s="31" t="s">
        <v>109</v>
      </c>
      <c r="K18" s="36"/>
      <c r="L18" s="31" t="s">
        <v>46</v>
      </c>
      <c r="M18" s="31" t="s">
        <v>181</v>
      </c>
      <c r="N18" s="31" t="s">
        <v>53</v>
      </c>
      <c r="O18" s="36"/>
      <c r="P18" s="31" t="s">
        <v>181</v>
      </c>
      <c r="Q18" s="31" t="s">
        <v>79</v>
      </c>
      <c r="R18" s="31" t="s">
        <v>208</v>
      </c>
      <c r="S18" s="17"/>
      <c r="T18" s="28">
        <v>457.5</v>
      </c>
      <c r="U18" s="16" t="str">
        <f>"323,7854"</f>
        <v>323,7854</v>
      </c>
      <c r="V18" s="16" t="s">
        <v>39</v>
      </c>
    </row>
    <row r="20" spans="1:21" ht="15.75">
      <c r="A20"/>
      <c r="B20" s="81" t="s">
        <v>69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</row>
    <row r="21" spans="1:22" ht="12.75">
      <c r="A21" s="28" t="s">
        <v>352</v>
      </c>
      <c r="B21" s="16" t="s">
        <v>402</v>
      </c>
      <c r="C21" s="16" t="s">
        <v>243</v>
      </c>
      <c r="D21" s="16" t="s">
        <v>244</v>
      </c>
      <c r="E21" s="16" t="str">
        <f>"0,6588"</f>
        <v>0,6588</v>
      </c>
      <c r="F21" s="16" t="s">
        <v>17</v>
      </c>
      <c r="G21" s="16" t="s">
        <v>18</v>
      </c>
      <c r="H21" s="31" t="s">
        <v>79</v>
      </c>
      <c r="I21" s="31" t="s">
        <v>25</v>
      </c>
      <c r="J21" s="31" t="s">
        <v>109</v>
      </c>
      <c r="K21" s="36"/>
      <c r="L21" s="31" t="s">
        <v>79</v>
      </c>
      <c r="M21" s="31" t="s">
        <v>25</v>
      </c>
      <c r="N21" s="30" t="s">
        <v>109</v>
      </c>
      <c r="O21" s="17"/>
      <c r="P21" s="31" t="s">
        <v>208</v>
      </c>
      <c r="Q21" s="31" t="s">
        <v>122</v>
      </c>
      <c r="R21" s="31" t="s">
        <v>126</v>
      </c>
      <c r="S21" s="17"/>
      <c r="T21" s="28">
        <v>480</v>
      </c>
      <c r="U21" s="16" t="str">
        <f>"352,2735"</f>
        <v>352,2735</v>
      </c>
      <c r="V21" s="16" t="s">
        <v>39</v>
      </c>
    </row>
    <row r="23" spans="1:21" ht="15.75">
      <c r="A23"/>
      <c r="B23" s="81" t="s">
        <v>94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</row>
    <row r="24" spans="1:22" ht="12.75">
      <c r="A24" s="28" t="s">
        <v>352</v>
      </c>
      <c r="B24" s="16" t="s">
        <v>403</v>
      </c>
      <c r="C24" s="16" t="s">
        <v>245</v>
      </c>
      <c r="D24" s="16" t="s">
        <v>246</v>
      </c>
      <c r="E24" s="16" t="str">
        <f>"0,6186"</f>
        <v>0,6186</v>
      </c>
      <c r="F24" s="16" t="s">
        <v>17</v>
      </c>
      <c r="G24" s="16" t="s">
        <v>241</v>
      </c>
      <c r="H24" s="31" t="s">
        <v>25</v>
      </c>
      <c r="I24" s="30" t="s">
        <v>208</v>
      </c>
      <c r="J24" s="30" t="s">
        <v>208</v>
      </c>
      <c r="K24" s="17"/>
      <c r="L24" s="31" t="s">
        <v>67</v>
      </c>
      <c r="M24" s="31" t="s">
        <v>45</v>
      </c>
      <c r="N24" s="30" t="s">
        <v>37</v>
      </c>
      <c r="O24" s="17"/>
      <c r="P24" s="31" t="s">
        <v>114</v>
      </c>
      <c r="Q24" s="31" t="s">
        <v>247</v>
      </c>
      <c r="R24" s="30" t="s">
        <v>248</v>
      </c>
      <c r="S24" s="17"/>
      <c r="T24" s="28">
        <v>460</v>
      </c>
      <c r="U24" s="16" t="str">
        <f>"284,5560"</f>
        <v>284,5560</v>
      </c>
      <c r="V24" s="16" t="s">
        <v>249</v>
      </c>
    </row>
    <row r="25" spans="1:22" ht="12.75">
      <c r="A25" s="28" t="s">
        <v>352</v>
      </c>
      <c r="B25" s="16" t="s">
        <v>404</v>
      </c>
      <c r="C25" s="16" t="s">
        <v>251</v>
      </c>
      <c r="D25" s="16" t="s">
        <v>252</v>
      </c>
      <c r="E25" s="16" t="str">
        <f>"0,6161"</f>
        <v>0,6161</v>
      </c>
      <c r="F25" s="16" t="s">
        <v>17</v>
      </c>
      <c r="G25" s="16" t="s">
        <v>18</v>
      </c>
      <c r="H25" s="31" t="s">
        <v>248</v>
      </c>
      <c r="I25" s="31" t="s">
        <v>253</v>
      </c>
      <c r="J25" s="31" t="s">
        <v>254</v>
      </c>
      <c r="K25" s="17"/>
      <c r="L25" s="31" t="s">
        <v>109</v>
      </c>
      <c r="M25" s="31" t="s">
        <v>28</v>
      </c>
      <c r="N25" s="30" t="s">
        <v>255</v>
      </c>
      <c r="O25" s="17"/>
      <c r="P25" s="31" t="s">
        <v>256</v>
      </c>
      <c r="Q25" s="31" t="s">
        <v>254</v>
      </c>
      <c r="R25" s="31" t="s">
        <v>257</v>
      </c>
      <c r="S25" s="17"/>
      <c r="T25" s="28">
        <v>645</v>
      </c>
      <c r="U25" s="16" t="str">
        <f>"397,3845"</f>
        <v>397,3845</v>
      </c>
      <c r="V25" s="16" t="s">
        <v>39</v>
      </c>
    </row>
    <row r="26" spans="1:22" ht="12.75">
      <c r="A26" s="28" t="s">
        <v>354</v>
      </c>
      <c r="B26" s="16" t="s">
        <v>405</v>
      </c>
      <c r="C26" s="16" t="s">
        <v>259</v>
      </c>
      <c r="D26" s="16" t="s">
        <v>260</v>
      </c>
      <c r="E26" s="16" t="str">
        <f>"0,6321"</f>
        <v>0,6321</v>
      </c>
      <c r="F26" s="16" t="s">
        <v>17</v>
      </c>
      <c r="G26" s="16" t="s">
        <v>18</v>
      </c>
      <c r="H26" s="31" t="s">
        <v>99</v>
      </c>
      <c r="I26" s="31" t="s">
        <v>261</v>
      </c>
      <c r="J26" s="31" t="s">
        <v>262</v>
      </c>
      <c r="K26" s="17"/>
      <c r="L26" s="31" t="s">
        <v>79</v>
      </c>
      <c r="M26" s="31" t="s">
        <v>80</v>
      </c>
      <c r="N26" s="31" t="s">
        <v>26</v>
      </c>
      <c r="O26" s="17"/>
      <c r="P26" s="31" t="s">
        <v>256</v>
      </c>
      <c r="Q26" s="31" t="s">
        <v>263</v>
      </c>
      <c r="R26" s="31" t="s">
        <v>264</v>
      </c>
      <c r="S26" s="17"/>
      <c r="T26" s="28">
        <v>622.5</v>
      </c>
      <c r="U26" s="16" t="str">
        <f>"393,4822"</f>
        <v>393,4822</v>
      </c>
      <c r="V26" s="16" t="s">
        <v>409</v>
      </c>
    </row>
    <row r="27" spans="1:22" ht="12.75">
      <c r="A27" s="28"/>
      <c r="B27" s="16" t="s">
        <v>265</v>
      </c>
      <c r="C27" s="16" t="s">
        <v>266</v>
      </c>
      <c r="D27" s="16" t="s">
        <v>267</v>
      </c>
      <c r="E27" s="16" t="str">
        <f>"0,6142"</f>
        <v>0,6142</v>
      </c>
      <c r="F27" s="16" t="s">
        <v>17</v>
      </c>
      <c r="G27" s="16" t="s">
        <v>268</v>
      </c>
      <c r="H27" s="30" t="s">
        <v>269</v>
      </c>
      <c r="I27" s="30" t="s">
        <v>269</v>
      </c>
      <c r="J27" s="30" t="s">
        <v>269</v>
      </c>
      <c r="K27" s="17"/>
      <c r="L27" s="30" t="s">
        <v>19</v>
      </c>
      <c r="M27" s="17"/>
      <c r="N27" s="17"/>
      <c r="O27" s="17"/>
      <c r="P27" s="30" t="s">
        <v>19</v>
      </c>
      <c r="Q27" s="17"/>
      <c r="R27" s="17"/>
      <c r="S27" s="17"/>
      <c r="T27" s="28">
        <v>0</v>
      </c>
      <c r="U27" s="16" t="str">
        <f>"0,0000"</f>
        <v>0,0000</v>
      </c>
      <c r="V27" s="16" t="s">
        <v>39</v>
      </c>
    </row>
    <row r="29" spans="1:21" ht="15.75">
      <c r="A29"/>
      <c r="B29" s="81" t="s">
        <v>111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</row>
    <row r="30" spans="1:22" ht="12.75">
      <c r="A30" s="28" t="s">
        <v>352</v>
      </c>
      <c r="B30" s="16" t="s">
        <v>406</v>
      </c>
      <c r="C30" s="16" t="s">
        <v>271</v>
      </c>
      <c r="D30" s="16" t="s">
        <v>272</v>
      </c>
      <c r="E30" s="16" t="str">
        <f>"0,5888"</f>
        <v>0,5888</v>
      </c>
      <c r="F30" s="16" t="s">
        <v>17</v>
      </c>
      <c r="G30" s="16" t="s">
        <v>273</v>
      </c>
      <c r="H30" s="31" t="s">
        <v>269</v>
      </c>
      <c r="I30" s="31" t="s">
        <v>257</v>
      </c>
      <c r="J30" s="17"/>
      <c r="K30" s="17"/>
      <c r="L30" s="31" t="s">
        <v>247</v>
      </c>
      <c r="M30" s="30" t="s">
        <v>248</v>
      </c>
      <c r="N30" s="31" t="s">
        <v>248</v>
      </c>
      <c r="O30" s="17"/>
      <c r="P30" s="31" t="s">
        <v>253</v>
      </c>
      <c r="Q30" s="31" t="s">
        <v>254</v>
      </c>
      <c r="R30" s="31" t="s">
        <v>257</v>
      </c>
      <c r="S30" s="17"/>
      <c r="T30" s="28">
        <v>700</v>
      </c>
      <c r="U30" s="16" t="str">
        <f>"412,1600"</f>
        <v>412,1600</v>
      </c>
      <c r="V30" s="16" t="s">
        <v>39</v>
      </c>
    </row>
    <row r="31" spans="1:22" ht="12.75">
      <c r="A31" s="28" t="s">
        <v>354</v>
      </c>
      <c r="B31" s="16" t="s">
        <v>407</v>
      </c>
      <c r="C31" s="16" t="s">
        <v>274</v>
      </c>
      <c r="D31" s="16" t="s">
        <v>275</v>
      </c>
      <c r="E31" s="16" t="str">
        <f>"0,5907"</f>
        <v>0,5907</v>
      </c>
      <c r="F31" s="16" t="s">
        <v>17</v>
      </c>
      <c r="G31" s="16" t="s">
        <v>18</v>
      </c>
      <c r="H31" s="30" t="s">
        <v>248</v>
      </c>
      <c r="I31" s="31" t="s">
        <v>248</v>
      </c>
      <c r="J31" s="30" t="s">
        <v>253</v>
      </c>
      <c r="K31" s="17"/>
      <c r="L31" s="31" t="s">
        <v>208</v>
      </c>
      <c r="M31" s="31" t="s">
        <v>276</v>
      </c>
      <c r="N31" s="30" t="s">
        <v>126</v>
      </c>
      <c r="O31" s="17"/>
      <c r="P31" s="31" t="s">
        <v>269</v>
      </c>
      <c r="Q31" s="31" t="s">
        <v>263</v>
      </c>
      <c r="R31" s="30" t="s">
        <v>264</v>
      </c>
      <c r="S31" s="17"/>
      <c r="T31" s="28">
        <v>617.5</v>
      </c>
      <c r="U31" s="16" t="str">
        <f>"364,7572"</f>
        <v>364,7572</v>
      </c>
      <c r="V31" s="16" t="s">
        <v>39</v>
      </c>
    </row>
    <row r="32" spans="1:22" ht="12.75">
      <c r="A32" s="28" t="s">
        <v>355</v>
      </c>
      <c r="B32" s="16" t="s">
        <v>408</v>
      </c>
      <c r="C32" s="16" t="s">
        <v>277</v>
      </c>
      <c r="D32" s="16" t="s">
        <v>278</v>
      </c>
      <c r="E32" s="16" t="str">
        <f>"0,5941"</f>
        <v>0,5941</v>
      </c>
      <c r="F32" s="16" t="s">
        <v>17</v>
      </c>
      <c r="G32" s="16" t="s">
        <v>18</v>
      </c>
      <c r="H32" s="31" t="s">
        <v>114</v>
      </c>
      <c r="I32" s="31" t="s">
        <v>99</v>
      </c>
      <c r="J32" s="31" t="s">
        <v>261</v>
      </c>
      <c r="K32" s="17"/>
      <c r="L32" s="31" t="s">
        <v>79</v>
      </c>
      <c r="M32" s="31" t="s">
        <v>25</v>
      </c>
      <c r="N32" s="31" t="s">
        <v>109</v>
      </c>
      <c r="O32" s="17"/>
      <c r="P32" s="31" t="s">
        <v>99</v>
      </c>
      <c r="Q32" s="31" t="s">
        <v>262</v>
      </c>
      <c r="R32" s="31" t="s">
        <v>269</v>
      </c>
      <c r="S32" s="17"/>
      <c r="T32" s="28">
        <v>590</v>
      </c>
      <c r="U32" s="16" t="str">
        <f>"350,5190"</f>
        <v>350,5190</v>
      </c>
      <c r="V32" s="16" t="s">
        <v>39</v>
      </c>
    </row>
    <row r="35" spans="2:3" ht="18">
      <c r="B35" s="20" t="s">
        <v>128</v>
      </c>
      <c r="C35" s="20"/>
    </row>
    <row r="36" spans="2:3" ht="15.75">
      <c r="B36" s="21" t="s">
        <v>129</v>
      </c>
      <c r="C36" s="21"/>
    </row>
    <row r="37" spans="2:3" ht="13.5">
      <c r="B37" s="49" t="s">
        <v>139</v>
      </c>
      <c r="C37" s="23"/>
    </row>
    <row r="38" spans="2:6" ht="13.5">
      <c r="B38" s="24" t="s">
        <v>131</v>
      </c>
      <c r="C38" s="24" t="s">
        <v>132</v>
      </c>
      <c r="D38" s="24" t="s">
        <v>133</v>
      </c>
      <c r="E38" s="24" t="s">
        <v>134</v>
      </c>
      <c r="F38" s="24" t="s">
        <v>135</v>
      </c>
    </row>
    <row r="39" spans="1:6" ht="12.75">
      <c r="A39" s="29" t="s">
        <v>352</v>
      </c>
      <c r="B39" s="22" t="s">
        <v>270</v>
      </c>
      <c r="C39" s="27" t="s">
        <v>139</v>
      </c>
      <c r="D39" s="27" t="s">
        <v>145</v>
      </c>
      <c r="E39" s="27" t="s">
        <v>279</v>
      </c>
      <c r="F39" s="29" t="s">
        <v>280</v>
      </c>
    </row>
    <row r="40" spans="1:6" ht="12.75">
      <c r="A40" s="29" t="s">
        <v>354</v>
      </c>
      <c r="B40" s="22" t="s">
        <v>250</v>
      </c>
      <c r="C40" s="27" t="s">
        <v>139</v>
      </c>
      <c r="D40" s="27" t="s">
        <v>142</v>
      </c>
      <c r="E40" s="27" t="s">
        <v>281</v>
      </c>
      <c r="F40" s="29" t="s">
        <v>282</v>
      </c>
    </row>
    <row r="41" spans="1:6" ht="12.75">
      <c r="A41" s="29" t="s">
        <v>355</v>
      </c>
      <c r="B41" s="22" t="s">
        <v>258</v>
      </c>
      <c r="C41" s="27" t="s">
        <v>139</v>
      </c>
      <c r="D41" s="27" t="s">
        <v>142</v>
      </c>
      <c r="E41" s="27" t="s">
        <v>283</v>
      </c>
      <c r="F41" s="29" t="s">
        <v>284</v>
      </c>
    </row>
    <row r="42" spans="3:6" ht="12.75">
      <c r="C42" s="27"/>
      <c r="D42" s="27"/>
      <c r="E42" s="27"/>
      <c r="F42" s="27"/>
    </row>
  </sheetData>
  <sheetProtection/>
  <mergeCells count="21">
    <mergeCell ref="L3:O3"/>
    <mergeCell ref="F3:F4"/>
    <mergeCell ref="B16:U16"/>
    <mergeCell ref="B20:U20"/>
    <mergeCell ref="B23:U23"/>
    <mergeCell ref="B29:U29"/>
    <mergeCell ref="A3:A4"/>
    <mergeCell ref="T3:T4"/>
    <mergeCell ref="U3:U4"/>
    <mergeCell ref="G3:G4"/>
    <mergeCell ref="H3:K3"/>
    <mergeCell ref="P3:S3"/>
    <mergeCell ref="V3:V4"/>
    <mergeCell ref="B5:U5"/>
    <mergeCell ref="B8:U8"/>
    <mergeCell ref="B13:U13"/>
    <mergeCell ref="B1:V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G6" sqref="G6"/>
    </sheetView>
  </sheetViews>
  <sheetFormatPr defaultColWidth="8.75390625" defaultRowHeight="12.75"/>
  <cols>
    <col min="1" max="1" width="7.875" style="29" bestFit="1" customWidth="1"/>
    <col min="2" max="2" width="27.00390625" style="15" customWidth="1"/>
    <col min="3" max="3" width="26.00390625" style="15" bestFit="1" customWidth="1"/>
    <col min="4" max="4" width="12.25390625" style="15" bestFit="1" customWidth="1"/>
    <col min="5" max="5" width="8.375" style="15" bestFit="1" customWidth="1"/>
    <col min="6" max="6" width="15.125" style="15" customWidth="1"/>
    <col min="7" max="7" width="28.625" style="15" bestFit="1" customWidth="1"/>
    <col min="8" max="10" width="5.625" style="15" bestFit="1" customWidth="1"/>
    <col min="11" max="11" width="4.625" style="15" bestFit="1" customWidth="1"/>
    <col min="12" max="12" width="12.375" style="29" customWidth="1"/>
    <col min="13" max="13" width="8.625" style="15" bestFit="1" customWidth="1"/>
    <col min="14" max="14" width="20.00390625" style="15" customWidth="1"/>
  </cols>
  <sheetData>
    <row r="1" spans="2:14" s="1" customFormat="1" ht="15" customHeight="1">
      <c r="B1" s="69" t="s">
        <v>397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1"/>
    </row>
    <row r="2" spans="2:14" s="1" customFormat="1" ht="81.75" customHeight="1" thickBot="1"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</row>
    <row r="3" spans="1:14" s="2" customFormat="1" ht="12.75" customHeight="1">
      <c r="A3" s="64" t="s">
        <v>351</v>
      </c>
      <c r="B3" s="79" t="s">
        <v>0</v>
      </c>
      <c r="C3" s="77" t="s">
        <v>10</v>
      </c>
      <c r="D3" s="77" t="s">
        <v>11</v>
      </c>
      <c r="E3" s="64" t="s">
        <v>12</v>
      </c>
      <c r="F3" s="64" t="s">
        <v>7</v>
      </c>
      <c r="G3" s="64" t="s">
        <v>9</v>
      </c>
      <c r="H3" s="64" t="s">
        <v>2</v>
      </c>
      <c r="I3" s="64"/>
      <c r="J3" s="64"/>
      <c r="K3" s="64"/>
      <c r="L3" s="64" t="s">
        <v>353</v>
      </c>
      <c r="M3" s="64" t="s">
        <v>6</v>
      </c>
      <c r="N3" s="66" t="s">
        <v>5</v>
      </c>
    </row>
    <row r="4" spans="1:14" s="2" customFormat="1" ht="21" customHeight="1" thickBot="1">
      <c r="A4" s="65"/>
      <c r="B4" s="80"/>
      <c r="C4" s="65"/>
      <c r="D4" s="78"/>
      <c r="E4" s="65"/>
      <c r="F4" s="65"/>
      <c r="G4" s="65"/>
      <c r="H4" s="3">
        <v>1</v>
      </c>
      <c r="I4" s="3">
        <v>2</v>
      </c>
      <c r="J4" s="3">
        <v>3</v>
      </c>
      <c r="K4" s="3" t="s">
        <v>8</v>
      </c>
      <c r="L4" s="65"/>
      <c r="M4" s="65"/>
      <c r="N4" s="67"/>
    </row>
    <row r="5" spans="1:13" ht="15.75">
      <c r="A5"/>
      <c r="B5" s="68" t="s">
        <v>31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4" ht="12.75">
      <c r="A6" s="28" t="s">
        <v>352</v>
      </c>
      <c r="B6" s="16" t="s">
        <v>381</v>
      </c>
      <c r="C6" s="16" t="s">
        <v>182</v>
      </c>
      <c r="D6" s="16" t="s">
        <v>183</v>
      </c>
      <c r="E6" s="16" t="str">
        <f>"0,7179"</f>
        <v>0,7179</v>
      </c>
      <c r="F6" s="16" t="s">
        <v>17</v>
      </c>
      <c r="G6" s="16" t="s">
        <v>18</v>
      </c>
      <c r="H6" s="30" t="s">
        <v>28</v>
      </c>
      <c r="I6" s="31" t="s">
        <v>28</v>
      </c>
      <c r="J6" s="31" t="s">
        <v>122</v>
      </c>
      <c r="K6" s="17"/>
      <c r="L6" s="28">
        <v>170</v>
      </c>
      <c r="M6" s="16" t="str">
        <f>"122,0430"</f>
        <v>122,0430</v>
      </c>
      <c r="N6" s="16" t="s">
        <v>39</v>
      </c>
    </row>
  </sheetData>
  <sheetProtection/>
  <mergeCells count="13">
    <mergeCell ref="B5:M5"/>
    <mergeCell ref="A3:A4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rintOptions/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B9" sqref="B9"/>
    </sheetView>
  </sheetViews>
  <sheetFormatPr defaultColWidth="8.75390625" defaultRowHeight="12.75"/>
  <cols>
    <col min="1" max="1" width="7.875" style="29" bestFit="1" customWidth="1"/>
    <col min="2" max="2" width="27.625" style="15" customWidth="1"/>
    <col min="3" max="3" width="26.125" style="15" customWidth="1"/>
    <col min="4" max="4" width="10.25390625" style="15" customWidth="1"/>
    <col min="5" max="5" width="8.375" style="15" bestFit="1" customWidth="1"/>
    <col min="6" max="6" width="22.75390625" style="15" bestFit="1" customWidth="1"/>
    <col min="7" max="7" width="28.625" style="15" bestFit="1" customWidth="1"/>
    <col min="8" max="10" width="5.625" style="15" bestFit="1" customWidth="1"/>
    <col min="11" max="11" width="4.625" style="15" bestFit="1" customWidth="1"/>
    <col min="12" max="12" width="11.75390625" style="29" customWidth="1"/>
    <col min="13" max="13" width="8.625" style="15" bestFit="1" customWidth="1"/>
    <col min="14" max="14" width="15.375" style="15" bestFit="1" customWidth="1"/>
  </cols>
  <sheetData>
    <row r="1" spans="2:14" s="1" customFormat="1" ht="15" customHeight="1">
      <c r="B1" s="69" t="s">
        <v>396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1"/>
    </row>
    <row r="2" spans="2:14" s="1" customFormat="1" ht="81.75" customHeight="1" thickBot="1"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</row>
    <row r="3" spans="1:14" s="2" customFormat="1" ht="12.75" customHeight="1">
      <c r="A3" s="64" t="s">
        <v>351</v>
      </c>
      <c r="B3" s="79" t="s">
        <v>0</v>
      </c>
      <c r="C3" s="77" t="s">
        <v>10</v>
      </c>
      <c r="D3" s="77" t="s">
        <v>11</v>
      </c>
      <c r="E3" s="64" t="s">
        <v>12</v>
      </c>
      <c r="F3" s="64" t="s">
        <v>7</v>
      </c>
      <c r="G3" s="64" t="s">
        <v>9</v>
      </c>
      <c r="H3" s="64" t="s">
        <v>2</v>
      </c>
      <c r="I3" s="64"/>
      <c r="J3" s="64"/>
      <c r="K3" s="64"/>
      <c r="L3" s="64" t="s">
        <v>353</v>
      </c>
      <c r="M3" s="64" t="s">
        <v>6</v>
      </c>
      <c r="N3" s="66" t="s">
        <v>5</v>
      </c>
    </row>
    <row r="4" spans="1:14" s="2" customFormat="1" ht="21" customHeight="1" thickBot="1">
      <c r="A4" s="65"/>
      <c r="B4" s="80"/>
      <c r="C4" s="65"/>
      <c r="D4" s="78"/>
      <c r="E4" s="65"/>
      <c r="F4" s="65"/>
      <c r="G4" s="65"/>
      <c r="H4" s="3">
        <v>1</v>
      </c>
      <c r="I4" s="3">
        <v>2</v>
      </c>
      <c r="J4" s="3">
        <v>3</v>
      </c>
      <c r="K4" s="3" t="s">
        <v>8</v>
      </c>
      <c r="L4" s="65"/>
      <c r="M4" s="65"/>
      <c r="N4" s="67"/>
    </row>
    <row r="5" spans="1:13" ht="15.75">
      <c r="A5"/>
      <c r="B5" s="68" t="s">
        <v>13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4" ht="12.75">
      <c r="A6" s="28"/>
      <c r="B6" s="16" t="s">
        <v>215</v>
      </c>
      <c r="C6" s="16" t="s">
        <v>216</v>
      </c>
      <c r="D6" s="16" t="s">
        <v>217</v>
      </c>
      <c r="E6" s="16" t="str">
        <f>"1,1221"</f>
        <v>1,1221</v>
      </c>
      <c r="F6" s="16" t="s">
        <v>17</v>
      </c>
      <c r="G6" s="16" t="s">
        <v>218</v>
      </c>
      <c r="H6" s="30" t="s">
        <v>173</v>
      </c>
      <c r="I6" s="30" t="s">
        <v>219</v>
      </c>
      <c r="J6" s="30" t="s">
        <v>219</v>
      </c>
      <c r="K6" s="17"/>
      <c r="L6" s="28">
        <v>0</v>
      </c>
      <c r="M6" s="16" t="str">
        <f>"0,0000"</f>
        <v>0,0000</v>
      </c>
      <c r="N6" s="16" t="s">
        <v>39</v>
      </c>
    </row>
    <row r="8" spans="1:13" ht="15.75">
      <c r="A8"/>
      <c r="B8" s="81" t="s">
        <v>31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4" ht="12.75">
      <c r="A9" s="28" t="s">
        <v>352</v>
      </c>
      <c r="B9" s="16" t="s">
        <v>395</v>
      </c>
      <c r="C9" s="16" t="s">
        <v>220</v>
      </c>
      <c r="D9" s="16" t="s">
        <v>221</v>
      </c>
      <c r="E9" s="16" t="str">
        <f>"0,7186"</f>
        <v>0,7186</v>
      </c>
      <c r="F9" s="16" t="s">
        <v>17</v>
      </c>
      <c r="G9" s="16" t="s">
        <v>18</v>
      </c>
      <c r="H9" s="31" t="s">
        <v>208</v>
      </c>
      <c r="I9" s="30" t="s">
        <v>28</v>
      </c>
      <c r="J9" s="31" t="s">
        <v>122</v>
      </c>
      <c r="K9" s="17"/>
      <c r="L9" s="28">
        <v>170</v>
      </c>
      <c r="M9" s="16" t="str">
        <f>"122,1620"</f>
        <v>122,1620</v>
      </c>
      <c r="N9" s="16" t="s">
        <v>39</v>
      </c>
    </row>
  </sheetData>
  <sheetProtection/>
  <mergeCells count="14">
    <mergeCell ref="N3:N4"/>
    <mergeCell ref="B5:M5"/>
    <mergeCell ref="B8:M8"/>
    <mergeCell ref="A3:A4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10">
      <selection activeCell="B1" sqref="B1:N2"/>
    </sheetView>
  </sheetViews>
  <sheetFormatPr defaultColWidth="8.75390625" defaultRowHeight="12.75"/>
  <cols>
    <col min="1" max="1" width="7.875" style="29" bestFit="1" customWidth="1"/>
    <col min="2" max="2" width="29.625" style="15" customWidth="1"/>
    <col min="3" max="3" width="27.125" style="15" bestFit="1" customWidth="1"/>
    <col min="4" max="4" width="12.25390625" style="15" bestFit="1" customWidth="1"/>
    <col min="5" max="5" width="8.375" style="15" bestFit="1" customWidth="1"/>
    <col min="6" max="6" width="15.625" style="15" customWidth="1"/>
    <col min="7" max="7" width="28.625" style="15" bestFit="1" customWidth="1"/>
    <col min="8" max="10" width="5.625" style="15" bestFit="1" customWidth="1"/>
    <col min="11" max="11" width="4.625" style="15" bestFit="1" customWidth="1"/>
    <col min="12" max="12" width="12.25390625" style="29" customWidth="1"/>
    <col min="13" max="13" width="8.625" style="27" bestFit="1" customWidth="1"/>
    <col min="14" max="14" width="19.125" style="15" bestFit="1" customWidth="1"/>
  </cols>
  <sheetData>
    <row r="1" spans="2:14" s="1" customFormat="1" ht="15" customHeight="1">
      <c r="B1" s="69" t="s">
        <v>375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1"/>
    </row>
    <row r="2" spans="2:14" s="1" customFormat="1" ht="81.75" customHeight="1" thickBot="1"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</row>
    <row r="3" spans="1:14" s="2" customFormat="1" ht="12.75" customHeight="1">
      <c r="A3" s="64" t="s">
        <v>351</v>
      </c>
      <c r="B3" s="79" t="s">
        <v>0</v>
      </c>
      <c r="C3" s="77" t="s">
        <v>10</v>
      </c>
      <c r="D3" s="77" t="s">
        <v>11</v>
      </c>
      <c r="E3" s="64" t="s">
        <v>12</v>
      </c>
      <c r="F3" s="64" t="s">
        <v>7</v>
      </c>
      <c r="G3" s="64" t="s">
        <v>9</v>
      </c>
      <c r="H3" s="64" t="s">
        <v>2</v>
      </c>
      <c r="I3" s="64"/>
      <c r="J3" s="64"/>
      <c r="K3" s="64"/>
      <c r="L3" s="64" t="s">
        <v>353</v>
      </c>
      <c r="M3" s="64" t="s">
        <v>6</v>
      </c>
      <c r="N3" s="66" t="s">
        <v>5</v>
      </c>
    </row>
    <row r="4" spans="1:14" s="2" customFormat="1" ht="21" customHeight="1" thickBot="1">
      <c r="A4" s="65"/>
      <c r="B4" s="80"/>
      <c r="C4" s="65"/>
      <c r="D4" s="78"/>
      <c r="E4" s="65"/>
      <c r="F4" s="65"/>
      <c r="G4" s="65"/>
      <c r="H4" s="3">
        <v>1</v>
      </c>
      <c r="I4" s="3">
        <v>2</v>
      </c>
      <c r="J4" s="3">
        <v>3</v>
      </c>
      <c r="K4" s="3" t="s">
        <v>8</v>
      </c>
      <c r="L4" s="65"/>
      <c r="M4" s="65"/>
      <c r="N4" s="67"/>
    </row>
    <row r="5" spans="1:13" ht="15.75">
      <c r="A5"/>
      <c r="B5" s="68" t="s">
        <v>13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4" ht="12.75">
      <c r="A6" s="28" t="s">
        <v>352</v>
      </c>
      <c r="B6" s="16" t="s">
        <v>376</v>
      </c>
      <c r="C6" s="16" t="s">
        <v>15</v>
      </c>
      <c r="D6" s="16" t="s">
        <v>16</v>
      </c>
      <c r="E6" s="16" t="str">
        <f>"1,1149"</f>
        <v>1,1149</v>
      </c>
      <c r="F6" s="16" t="s">
        <v>17</v>
      </c>
      <c r="G6" s="16" t="s">
        <v>18</v>
      </c>
      <c r="H6" s="31" t="s">
        <v>20</v>
      </c>
      <c r="I6" s="31" t="s">
        <v>154</v>
      </c>
      <c r="J6" s="30" t="s">
        <v>155</v>
      </c>
      <c r="K6" s="17"/>
      <c r="L6" s="28">
        <v>65</v>
      </c>
      <c r="M6" s="26" t="str">
        <f>"72,4685"</f>
        <v>72,4685</v>
      </c>
      <c r="N6" s="16" t="s">
        <v>39</v>
      </c>
    </row>
    <row r="8" spans="1:13" ht="15.75">
      <c r="A8"/>
      <c r="B8" s="81" t="s">
        <v>156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4" ht="12.75">
      <c r="A9" s="28" t="s">
        <v>352</v>
      </c>
      <c r="B9" s="16" t="s">
        <v>377</v>
      </c>
      <c r="C9" s="16" t="s">
        <v>157</v>
      </c>
      <c r="D9" s="16" t="s">
        <v>158</v>
      </c>
      <c r="E9" s="16" t="str">
        <f>"1,0351"</f>
        <v>1,0351</v>
      </c>
      <c r="F9" s="16" t="s">
        <v>17</v>
      </c>
      <c r="G9" s="16" t="s">
        <v>394</v>
      </c>
      <c r="H9" s="31" t="s">
        <v>159</v>
      </c>
      <c r="I9" s="30" t="s">
        <v>154</v>
      </c>
      <c r="J9" s="31" t="s">
        <v>154</v>
      </c>
      <c r="K9" s="17"/>
      <c r="L9" s="28">
        <v>65</v>
      </c>
      <c r="M9" s="26" t="str">
        <f>"67,2815"</f>
        <v>67,2815</v>
      </c>
      <c r="N9" s="16" t="s">
        <v>39</v>
      </c>
    </row>
    <row r="11" spans="1:13" ht="15.75">
      <c r="A11"/>
      <c r="B11" s="81" t="s">
        <v>160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1:14" ht="12.75">
      <c r="A12" s="28" t="s">
        <v>352</v>
      </c>
      <c r="B12" s="16" t="s">
        <v>161</v>
      </c>
      <c r="C12" s="16" t="s">
        <v>162</v>
      </c>
      <c r="D12" s="16" t="s">
        <v>163</v>
      </c>
      <c r="E12" s="16" t="str">
        <f>"0,9317"</f>
        <v>0,9317</v>
      </c>
      <c r="F12" s="16" t="s">
        <v>17</v>
      </c>
      <c r="G12" s="16" t="s">
        <v>164</v>
      </c>
      <c r="H12" s="31" t="s">
        <v>165</v>
      </c>
      <c r="I12" s="31" t="s">
        <v>166</v>
      </c>
      <c r="J12" s="30" t="s">
        <v>159</v>
      </c>
      <c r="K12" s="17"/>
      <c r="L12" s="28">
        <v>55</v>
      </c>
      <c r="M12" s="26" t="str">
        <f>"51,2435"</f>
        <v>51,2435</v>
      </c>
      <c r="N12" s="16" t="s">
        <v>39</v>
      </c>
    </row>
    <row r="14" spans="1:13" ht="15.75">
      <c r="A14"/>
      <c r="B14" s="81" t="s">
        <v>13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1:14" ht="12.75">
      <c r="A15" s="28" t="s">
        <v>352</v>
      </c>
      <c r="B15" s="16" t="s">
        <v>378</v>
      </c>
      <c r="C15" s="16" t="s">
        <v>168</v>
      </c>
      <c r="D15" s="16" t="s">
        <v>169</v>
      </c>
      <c r="E15" s="16" t="str">
        <f>"0,8845"</f>
        <v>0,8845</v>
      </c>
      <c r="F15" s="16" t="s">
        <v>17</v>
      </c>
      <c r="G15" s="16" t="s">
        <v>18</v>
      </c>
      <c r="H15" s="30" t="s">
        <v>170</v>
      </c>
      <c r="I15" s="31" t="s">
        <v>170</v>
      </c>
      <c r="J15" s="30" t="s">
        <v>44</v>
      </c>
      <c r="K15" s="17"/>
      <c r="L15" s="28">
        <v>97.5</v>
      </c>
      <c r="M15" s="26" t="str">
        <f>"86,2388"</f>
        <v>86,2388</v>
      </c>
      <c r="N15" s="16" t="s">
        <v>39</v>
      </c>
    </row>
    <row r="16" spans="1:14" ht="12.75">
      <c r="A16" s="28" t="s">
        <v>354</v>
      </c>
      <c r="B16" s="16" t="s">
        <v>379</v>
      </c>
      <c r="C16" s="16" t="s">
        <v>171</v>
      </c>
      <c r="D16" s="16" t="s">
        <v>172</v>
      </c>
      <c r="E16" s="16" t="str">
        <f>"0,8703"</f>
        <v>0,8703</v>
      </c>
      <c r="F16" s="16" t="s">
        <v>17</v>
      </c>
      <c r="G16" s="16" t="s">
        <v>51</v>
      </c>
      <c r="H16" s="31" t="s">
        <v>173</v>
      </c>
      <c r="I16" s="30" t="s">
        <v>174</v>
      </c>
      <c r="J16" s="30" t="s">
        <v>174</v>
      </c>
      <c r="K16" s="17"/>
      <c r="L16" s="28">
        <v>70</v>
      </c>
      <c r="M16" s="26" t="str">
        <f>"60,9210"</f>
        <v>60,9210</v>
      </c>
      <c r="N16" s="16" t="s">
        <v>39</v>
      </c>
    </row>
    <row r="17" spans="1:14" ht="12.75">
      <c r="A17" s="33" t="s">
        <v>352</v>
      </c>
      <c r="B17" s="18" t="s">
        <v>380</v>
      </c>
      <c r="C17" s="18" t="s">
        <v>176</v>
      </c>
      <c r="D17" s="18" t="s">
        <v>177</v>
      </c>
      <c r="E17" s="18" t="str">
        <f>"0,8662"</f>
        <v>0,8662</v>
      </c>
      <c r="F17" s="18" t="s">
        <v>17</v>
      </c>
      <c r="G17" s="18" t="s">
        <v>18</v>
      </c>
      <c r="H17" s="34" t="s">
        <v>45</v>
      </c>
      <c r="I17" s="34" t="s">
        <v>68</v>
      </c>
      <c r="J17" s="34" t="s">
        <v>37</v>
      </c>
      <c r="K17" s="19"/>
      <c r="L17" s="33">
        <v>117.5</v>
      </c>
      <c r="M17" s="32" t="str">
        <f>"101,7785"</f>
        <v>101,7785</v>
      </c>
      <c r="N17" s="18" t="s">
        <v>39</v>
      </c>
    </row>
    <row r="19" spans="1:13" ht="15.75">
      <c r="A19"/>
      <c r="B19" s="81" t="s">
        <v>156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14" ht="12.75">
      <c r="A20" s="28"/>
      <c r="B20" s="16" t="s">
        <v>178</v>
      </c>
      <c r="C20" s="16" t="s">
        <v>179</v>
      </c>
      <c r="D20" s="16" t="s">
        <v>180</v>
      </c>
      <c r="E20" s="16" t="str">
        <f>"0,7872"</f>
        <v>0,7872</v>
      </c>
      <c r="F20" s="16" t="s">
        <v>17</v>
      </c>
      <c r="G20" s="16" t="s">
        <v>393</v>
      </c>
      <c r="H20" s="30" t="s">
        <v>181</v>
      </c>
      <c r="I20" s="30" t="s">
        <v>63</v>
      </c>
      <c r="J20" s="30" t="s">
        <v>63</v>
      </c>
      <c r="K20" s="17"/>
      <c r="L20" s="28">
        <v>0</v>
      </c>
      <c r="M20" s="26" t="str">
        <f>"0,0000"</f>
        <v>0,0000</v>
      </c>
      <c r="N20" s="16" t="s">
        <v>39</v>
      </c>
    </row>
    <row r="22" spans="1:13" ht="15.75">
      <c r="A22"/>
      <c r="B22" s="81" t="s">
        <v>31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1:14" ht="12.75">
      <c r="A23" s="28" t="s">
        <v>352</v>
      </c>
      <c r="B23" s="16" t="s">
        <v>381</v>
      </c>
      <c r="C23" s="16" t="s">
        <v>182</v>
      </c>
      <c r="D23" s="16" t="s">
        <v>183</v>
      </c>
      <c r="E23" s="16" t="str">
        <f>"0,7179"</f>
        <v>0,7179</v>
      </c>
      <c r="F23" s="16" t="s">
        <v>17</v>
      </c>
      <c r="G23" s="16" t="s">
        <v>18</v>
      </c>
      <c r="H23" s="31" t="s">
        <v>84</v>
      </c>
      <c r="I23" s="31" t="s">
        <v>184</v>
      </c>
      <c r="J23" s="30" t="s">
        <v>79</v>
      </c>
      <c r="K23" s="17"/>
      <c r="L23" s="28">
        <v>140</v>
      </c>
      <c r="M23" s="26" t="str">
        <f>"100,5060"</f>
        <v>100,5060</v>
      </c>
      <c r="N23" s="16" t="s">
        <v>39</v>
      </c>
    </row>
    <row r="24" spans="1:14" ht="12.75">
      <c r="A24" s="28" t="s">
        <v>352</v>
      </c>
      <c r="B24" s="16" t="s">
        <v>382</v>
      </c>
      <c r="C24" s="16" t="s">
        <v>185</v>
      </c>
      <c r="D24" s="16" t="s">
        <v>186</v>
      </c>
      <c r="E24" s="16" t="str">
        <f>"0,7193"</f>
        <v>0,7193</v>
      </c>
      <c r="F24" s="16" t="s">
        <v>17</v>
      </c>
      <c r="G24" s="16" t="s">
        <v>18</v>
      </c>
      <c r="H24" s="31" t="s">
        <v>46</v>
      </c>
      <c r="I24" s="17" t="s">
        <v>181</v>
      </c>
      <c r="J24" s="17"/>
      <c r="K24" s="17"/>
      <c r="L24" s="28">
        <v>120</v>
      </c>
      <c r="M24" s="26" t="str">
        <f>"86,3160"</f>
        <v>86,3160</v>
      </c>
      <c r="N24" s="16" t="s">
        <v>88</v>
      </c>
    </row>
    <row r="26" spans="1:13" ht="15.75">
      <c r="A26"/>
      <c r="B26" s="81" t="s">
        <v>40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1:14" ht="12.75">
      <c r="A27" s="28" t="s">
        <v>352</v>
      </c>
      <c r="B27" s="16" t="s">
        <v>383</v>
      </c>
      <c r="C27" s="16" t="s">
        <v>188</v>
      </c>
      <c r="D27" s="16" t="s">
        <v>189</v>
      </c>
      <c r="E27" s="16" t="str">
        <f>"0,6806"</f>
        <v>0,6806</v>
      </c>
      <c r="F27" s="16" t="s">
        <v>17</v>
      </c>
      <c r="G27" s="16" t="s">
        <v>18</v>
      </c>
      <c r="H27" s="31" t="s">
        <v>62</v>
      </c>
      <c r="I27" s="31" t="s">
        <v>63</v>
      </c>
      <c r="J27" s="31" t="s">
        <v>84</v>
      </c>
      <c r="K27" s="17"/>
      <c r="L27" s="28">
        <v>135</v>
      </c>
      <c r="M27" s="26" t="str">
        <f>"91,8810"</f>
        <v>91,8810</v>
      </c>
      <c r="N27" s="16" t="s">
        <v>39</v>
      </c>
    </row>
    <row r="28" spans="1:14" ht="12.75">
      <c r="A28" s="28" t="s">
        <v>354</v>
      </c>
      <c r="B28" s="16" t="s">
        <v>384</v>
      </c>
      <c r="C28" s="16" t="s">
        <v>190</v>
      </c>
      <c r="D28" s="16" t="s">
        <v>191</v>
      </c>
      <c r="E28" s="16" t="str">
        <f>"0,6800"</f>
        <v>0,6800</v>
      </c>
      <c r="F28" s="16" t="s">
        <v>17</v>
      </c>
      <c r="G28" s="16" t="s">
        <v>18</v>
      </c>
      <c r="H28" s="31" t="s">
        <v>44</v>
      </c>
      <c r="I28" s="31" t="s">
        <v>67</v>
      </c>
      <c r="J28" s="31" t="s">
        <v>45</v>
      </c>
      <c r="K28" s="17"/>
      <c r="L28" s="28">
        <v>110</v>
      </c>
      <c r="M28" s="26" t="str">
        <f>"74,8000"</f>
        <v>74,8000</v>
      </c>
      <c r="N28" s="16" t="s">
        <v>39</v>
      </c>
    </row>
    <row r="29" spans="1:14" ht="12.75">
      <c r="A29" s="28" t="s">
        <v>352</v>
      </c>
      <c r="B29" s="16" t="s">
        <v>385</v>
      </c>
      <c r="C29" s="16" t="s">
        <v>193</v>
      </c>
      <c r="D29" s="16" t="s">
        <v>191</v>
      </c>
      <c r="E29" s="16" t="str">
        <f>"0,6800"</f>
        <v>0,6800</v>
      </c>
      <c r="F29" s="16" t="s">
        <v>17</v>
      </c>
      <c r="G29" s="16" t="s">
        <v>51</v>
      </c>
      <c r="H29" s="31" t="s">
        <v>84</v>
      </c>
      <c r="I29" s="31" t="s">
        <v>184</v>
      </c>
      <c r="J29" s="31" t="s">
        <v>79</v>
      </c>
      <c r="K29" s="17"/>
      <c r="L29" s="28">
        <v>145</v>
      </c>
      <c r="M29" s="26" t="str">
        <f>"98,6000"</f>
        <v>98,6000</v>
      </c>
      <c r="N29" s="16" t="s">
        <v>39</v>
      </c>
    </row>
    <row r="31" spans="1:13" ht="15.75">
      <c r="A31"/>
      <c r="B31" s="81" t="s">
        <v>69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14" ht="12.75">
      <c r="A32" s="28" t="s">
        <v>352</v>
      </c>
      <c r="B32" s="16" t="s">
        <v>386</v>
      </c>
      <c r="C32" s="16" t="s">
        <v>195</v>
      </c>
      <c r="D32" s="16" t="s">
        <v>196</v>
      </c>
      <c r="E32" s="16" t="str">
        <f>"0,6455"</f>
        <v>0,6455</v>
      </c>
      <c r="F32" s="16" t="s">
        <v>17</v>
      </c>
      <c r="G32" s="16" t="s">
        <v>18</v>
      </c>
      <c r="H32" s="31" t="s">
        <v>63</v>
      </c>
      <c r="I32" s="31" t="s">
        <v>52</v>
      </c>
      <c r="J32" s="31" t="s">
        <v>53</v>
      </c>
      <c r="K32" s="17"/>
      <c r="L32" s="28">
        <v>142.5</v>
      </c>
      <c r="M32" s="26" t="str">
        <f>"91,9838"</f>
        <v>91,9838</v>
      </c>
      <c r="N32" s="16" t="s">
        <v>39</v>
      </c>
    </row>
    <row r="33" spans="1:14" ht="12.75">
      <c r="A33" s="28" t="s">
        <v>354</v>
      </c>
      <c r="B33" s="16" t="s">
        <v>387</v>
      </c>
      <c r="C33" s="16" t="s">
        <v>197</v>
      </c>
      <c r="D33" s="16" t="s">
        <v>198</v>
      </c>
      <c r="E33" s="16" t="str">
        <f>"0,6499"</f>
        <v>0,6499</v>
      </c>
      <c r="F33" s="16" t="s">
        <v>17</v>
      </c>
      <c r="G33" s="16" t="s">
        <v>18</v>
      </c>
      <c r="H33" s="31" t="s">
        <v>92</v>
      </c>
      <c r="I33" s="31" t="s">
        <v>63</v>
      </c>
      <c r="J33" s="36"/>
      <c r="K33" s="17"/>
      <c r="L33" s="28">
        <v>132.5</v>
      </c>
      <c r="M33" s="26" t="str">
        <f>"86,1118"</f>
        <v>86,1118</v>
      </c>
      <c r="N33" s="16" t="s">
        <v>39</v>
      </c>
    </row>
    <row r="34" spans="1:14" ht="12.75">
      <c r="A34" s="28" t="s">
        <v>352</v>
      </c>
      <c r="B34" s="16" t="s">
        <v>388</v>
      </c>
      <c r="C34" s="16" t="s">
        <v>200</v>
      </c>
      <c r="D34" s="16" t="s">
        <v>201</v>
      </c>
      <c r="E34" s="16" t="str">
        <f>"0,6459"</f>
        <v>0,6459</v>
      </c>
      <c r="F34" s="16" t="s">
        <v>17</v>
      </c>
      <c r="G34" s="16" t="s">
        <v>18</v>
      </c>
      <c r="H34" s="31" t="s">
        <v>184</v>
      </c>
      <c r="I34" s="31" t="s">
        <v>53</v>
      </c>
      <c r="J34" s="31" t="s">
        <v>80</v>
      </c>
      <c r="K34" s="17"/>
      <c r="L34" s="28">
        <v>152.5</v>
      </c>
      <c r="M34" s="26" t="str">
        <f>"98,4998"</f>
        <v>98,4998</v>
      </c>
      <c r="N34" s="16" t="s">
        <v>39</v>
      </c>
    </row>
    <row r="35" spans="1:14" ht="12.75">
      <c r="A35" s="28" t="s">
        <v>352</v>
      </c>
      <c r="B35" s="16" t="s">
        <v>389</v>
      </c>
      <c r="C35" s="16" t="s">
        <v>86</v>
      </c>
      <c r="D35" s="16" t="s">
        <v>87</v>
      </c>
      <c r="E35" s="16" t="str">
        <f>"0,6471"</f>
        <v>0,6471</v>
      </c>
      <c r="F35" s="16" t="s">
        <v>17</v>
      </c>
      <c r="G35" s="16" t="s">
        <v>18</v>
      </c>
      <c r="H35" s="31" t="s">
        <v>184</v>
      </c>
      <c r="I35" s="30" t="s">
        <v>25</v>
      </c>
      <c r="J35" s="30" t="s">
        <v>80</v>
      </c>
      <c r="K35" s="17"/>
      <c r="L35" s="28">
        <v>140</v>
      </c>
      <c r="M35" s="26" t="str">
        <f>"97,6603"</f>
        <v>97,6603</v>
      </c>
      <c r="N35" s="16" t="s">
        <v>88</v>
      </c>
    </row>
    <row r="37" spans="1:13" ht="15.75">
      <c r="A37"/>
      <c r="B37" s="81" t="s">
        <v>94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14" ht="12.75">
      <c r="A38" s="28" t="s">
        <v>352</v>
      </c>
      <c r="B38" s="16" t="s">
        <v>390</v>
      </c>
      <c r="C38" s="16" t="s">
        <v>202</v>
      </c>
      <c r="D38" s="16" t="s">
        <v>203</v>
      </c>
      <c r="E38" s="16" t="str">
        <f>"0,6150"</f>
        <v>0,6150</v>
      </c>
      <c r="F38" s="16" t="s">
        <v>17</v>
      </c>
      <c r="G38" s="16" t="s">
        <v>164</v>
      </c>
      <c r="H38" s="31" t="s">
        <v>109</v>
      </c>
      <c r="I38" s="30" t="s">
        <v>27</v>
      </c>
      <c r="J38" s="30" t="s">
        <v>27</v>
      </c>
      <c r="K38" s="17"/>
      <c r="L38" s="28">
        <v>155</v>
      </c>
      <c r="M38" s="26" t="str">
        <f>"95,3250"</f>
        <v>95,3250</v>
      </c>
      <c r="N38" s="16" t="s">
        <v>39</v>
      </c>
    </row>
    <row r="39" spans="1:14" ht="12.75">
      <c r="A39" s="28" t="s">
        <v>354</v>
      </c>
      <c r="B39" s="16" t="s">
        <v>391</v>
      </c>
      <c r="C39" s="16" t="s">
        <v>204</v>
      </c>
      <c r="D39" s="16" t="s">
        <v>203</v>
      </c>
      <c r="E39" s="16" t="str">
        <f>"0,6150"</f>
        <v>0,6150</v>
      </c>
      <c r="F39" s="16" t="s">
        <v>17</v>
      </c>
      <c r="G39" s="16" t="s">
        <v>164</v>
      </c>
      <c r="H39" s="31" t="s">
        <v>80</v>
      </c>
      <c r="I39" s="30" t="s">
        <v>27</v>
      </c>
      <c r="J39" s="30" t="s">
        <v>27</v>
      </c>
      <c r="K39" s="17"/>
      <c r="L39" s="28">
        <v>152.5</v>
      </c>
      <c r="M39" s="26" t="str">
        <f>"93,7875"</f>
        <v>93,7875</v>
      </c>
      <c r="N39" s="16" t="s">
        <v>205</v>
      </c>
    </row>
    <row r="41" spans="1:13" ht="15.75">
      <c r="A41"/>
      <c r="B41" s="81" t="s">
        <v>123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</row>
    <row r="42" spans="1:14" ht="12.75">
      <c r="A42" s="28" t="s">
        <v>352</v>
      </c>
      <c r="B42" s="16" t="s">
        <v>392</v>
      </c>
      <c r="C42" s="16" t="s">
        <v>206</v>
      </c>
      <c r="D42" s="16" t="s">
        <v>207</v>
      </c>
      <c r="E42" s="16" t="str">
        <f>"0,5743"</f>
        <v>0,5743</v>
      </c>
      <c r="F42" s="16" t="s">
        <v>17</v>
      </c>
      <c r="G42" s="16" t="s">
        <v>18</v>
      </c>
      <c r="H42" s="31" t="s">
        <v>25</v>
      </c>
      <c r="I42" s="31" t="s">
        <v>208</v>
      </c>
      <c r="J42" s="30" t="s">
        <v>122</v>
      </c>
      <c r="K42" s="17"/>
      <c r="L42" s="28">
        <v>160</v>
      </c>
      <c r="M42" s="26" t="str">
        <f>"91,8880"</f>
        <v>91,8880</v>
      </c>
      <c r="N42" s="16" t="s">
        <v>39</v>
      </c>
    </row>
    <row r="45" spans="2:3" ht="18">
      <c r="B45" s="20" t="s">
        <v>128</v>
      </c>
      <c r="C45" s="20"/>
    </row>
    <row r="46" spans="2:3" ht="15.75">
      <c r="B46" s="21" t="s">
        <v>129</v>
      </c>
      <c r="C46" s="21"/>
    </row>
    <row r="47" spans="2:3" ht="13.5">
      <c r="B47" s="49" t="s">
        <v>130</v>
      </c>
      <c r="C47" s="23"/>
    </row>
    <row r="48" spans="2:6" ht="13.5">
      <c r="B48" s="24" t="s">
        <v>131</v>
      </c>
      <c r="C48" s="24" t="s">
        <v>132</v>
      </c>
      <c r="D48" s="24" t="s">
        <v>133</v>
      </c>
      <c r="E48" s="24" t="s">
        <v>134</v>
      </c>
      <c r="F48" s="24" t="s">
        <v>135</v>
      </c>
    </row>
    <row r="49" spans="1:6" ht="12.75">
      <c r="A49" s="29" t="s">
        <v>352</v>
      </c>
      <c r="B49" s="22" t="s">
        <v>194</v>
      </c>
      <c r="C49" s="15" t="s">
        <v>136</v>
      </c>
      <c r="D49" s="15" t="s">
        <v>137</v>
      </c>
      <c r="E49" s="15" t="s">
        <v>53</v>
      </c>
      <c r="F49" s="25" t="s">
        <v>209</v>
      </c>
    </row>
    <row r="50" spans="1:6" ht="12.75">
      <c r="A50" s="29" t="s">
        <v>354</v>
      </c>
      <c r="B50" s="22" t="s">
        <v>187</v>
      </c>
      <c r="C50" s="15" t="s">
        <v>136</v>
      </c>
      <c r="D50" s="15" t="s">
        <v>138</v>
      </c>
      <c r="E50" s="15" t="s">
        <v>84</v>
      </c>
      <c r="F50" s="25" t="s">
        <v>210</v>
      </c>
    </row>
    <row r="51" spans="1:6" ht="12.75">
      <c r="A51" s="29" t="s">
        <v>355</v>
      </c>
      <c r="B51" s="22" t="s">
        <v>167</v>
      </c>
      <c r="C51" s="15" t="s">
        <v>136</v>
      </c>
      <c r="D51" s="15" t="s">
        <v>140</v>
      </c>
      <c r="E51" s="15" t="s">
        <v>170</v>
      </c>
      <c r="F51" s="25" t="s">
        <v>211</v>
      </c>
    </row>
    <row r="53" spans="2:3" ht="13.5">
      <c r="B53" s="49" t="s">
        <v>139</v>
      </c>
      <c r="C53" s="23"/>
    </row>
    <row r="54" spans="2:6" ht="13.5">
      <c r="B54" s="24" t="s">
        <v>131</v>
      </c>
      <c r="C54" s="24" t="s">
        <v>132</v>
      </c>
      <c r="D54" s="24" t="s">
        <v>133</v>
      </c>
      <c r="E54" s="24" t="s">
        <v>134</v>
      </c>
      <c r="F54" s="24" t="s">
        <v>135</v>
      </c>
    </row>
    <row r="55" spans="1:6" ht="12.75">
      <c r="A55" s="29" t="s">
        <v>352</v>
      </c>
      <c r="B55" s="22" t="s">
        <v>175</v>
      </c>
      <c r="C55" s="15" t="s">
        <v>139</v>
      </c>
      <c r="D55" s="15" t="s">
        <v>140</v>
      </c>
      <c r="E55" s="15" t="s">
        <v>37</v>
      </c>
      <c r="F55" s="25" t="s">
        <v>212</v>
      </c>
    </row>
    <row r="56" spans="1:6" ht="12.75">
      <c r="A56" s="29" t="s">
        <v>354</v>
      </c>
      <c r="B56" s="22" t="s">
        <v>192</v>
      </c>
      <c r="C56" s="15" t="s">
        <v>139</v>
      </c>
      <c r="D56" s="15" t="s">
        <v>138</v>
      </c>
      <c r="E56" s="15" t="s">
        <v>79</v>
      </c>
      <c r="F56" s="25" t="s">
        <v>213</v>
      </c>
    </row>
    <row r="57" spans="1:6" ht="12.75">
      <c r="A57" s="29" t="s">
        <v>355</v>
      </c>
      <c r="B57" s="22" t="s">
        <v>199</v>
      </c>
      <c r="C57" s="15" t="s">
        <v>139</v>
      </c>
      <c r="D57" s="15" t="s">
        <v>137</v>
      </c>
      <c r="E57" s="15" t="s">
        <v>80</v>
      </c>
      <c r="F57" s="25" t="s">
        <v>214</v>
      </c>
    </row>
  </sheetData>
  <sheetProtection/>
  <mergeCells count="22">
    <mergeCell ref="B41:M41"/>
    <mergeCell ref="A3:A4"/>
    <mergeCell ref="B14:M14"/>
    <mergeCell ref="B19:M19"/>
    <mergeCell ref="B22:M22"/>
    <mergeCell ref="B26:M26"/>
    <mergeCell ref="B31:M31"/>
    <mergeCell ref="B37:M37"/>
    <mergeCell ref="L3:L4"/>
    <mergeCell ref="M3:M4"/>
    <mergeCell ref="B1:N2"/>
    <mergeCell ref="B3:B4"/>
    <mergeCell ref="C3:C4"/>
    <mergeCell ref="D3:D4"/>
    <mergeCell ref="E3:E4"/>
    <mergeCell ref="F3:F4"/>
    <mergeCell ref="G3:G4"/>
    <mergeCell ref="H3:K3"/>
    <mergeCell ref="N3:N4"/>
    <mergeCell ref="B5:M5"/>
    <mergeCell ref="B8:M8"/>
    <mergeCell ref="B11:M1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workbookViewId="0" topLeftCell="A5">
      <selection activeCell="B27" sqref="B27:M27"/>
    </sheetView>
  </sheetViews>
  <sheetFormatPr defaultColWidth="9.125" defaultRowHeight="12.75"/>
  <cols>
    <col min="1" max="1" width="7.875" style="44" bestFit="1" customWidth="1"/>
    <col min="2" max="2" width="27.375" style="38" customWidth="1"/>
    <col min="3" max="3" width="27.125" style="1" bestFit="1" customWidth="1"/>
    <col min="4" max="4" width="10.375" style="5" customWidth="1"/>
    <col min="5" max="5" width="8.375" style="1" bestFit="1" customWidth="1"/>
    <col min="6" max="6" width="16.125" style="4" customWidth="1"/>
    <col min="7" max="7" width="28.625" style="4" bestFit="1" customWidth="1"/>
    <col min="8" max="11" width="5.625" style="1" bestFit="1" customWidth="1"/>
    <col min="12" max="12" width="12.00390625" style="44" customWidth="1"/>
    <col min="13" max="13" width="8.625" style="1" bestFit="1" customWidth="1"/>
    <col min="14" max="14" width="19.125" style="4" bestFit="1" customWidth="1"/>
    <col min="15" max="16384" width="9.125" style="1" customWidth="1"/>
  </cols>
  <sheetData>
    <row r="1" spans="1:14" ht="15" customHeight="1">
      <c r="A1" s="1"/>
      <c r="B1" s="69" t="s">
        <v>357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1"/>
    </row>
    <row r="2" spans="1:14" ht="81.75" customHeight="1" thickBot="1">
      <c r="A2" s="1"/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</row>
    <row r="3" spans="1:14" s="2" customFormat="1" ht="12.75" customHeight="1">
      <c r="A3" s="64" t="s">
        <v>351</v>
      </c>
      <c r="B3" s="79" t="s">
        <v>0</v>
      </c>
      <c r="C3" s="77" t="s">
        <v>10</v>
      </c>
      <c r="D3" s="77" t="s">
        <v>11</v>
      </c>
      <c r="E3" s="64" t="s">
        <v>12</v>
      </c>
      <c r="F3" s="64" t="s">
        <v>7</v>
      </c>
      <c r="G3" s="64" t="s">
        <v>9</v>
      </c>
      <c r="H3" s="64" t="s">
        <v>2</v>
      </c>
      <c r="I3" s="64"/>
      <c r="J3" s="64"/>
      <c r="K3" s="64"/>
      <c r="L3" s="64" t="s">
        <v>353</v>
      </c>
      <c r="M3" s="64" t="s">
        <v>6</v>
      </c>
      <c r="N3" s="66" t="s">
        <v>5</v>
      </c>
    </row>
    <row r="4" spans="1:14" s="2" customFormat="1" ht="21" customHeight="1" thickBot="1">
      <c r="A4" s="65"/>
      <c r="B4" s="80"/>
      <c r="C4" s="65"/>
      <c r="D4" s="78"/>
      <c r="E4" s="65"/>
      <c r="F4" s="65"/>
      <c r="G4" s="65"/>
      <c r="H4" s="3">
        <v>1</v>
      </c>
      <c r="I4" s="3">
        <v>2</v>
      </c>
      <c r="J4" s="3">
        <v>3</v>
      </c>
      <c r="K4" s="3" t="s">
        <v>8</v>
      </c>
      <c r="L4" s="65"/>
      <c r="M4" s="65"/>
      <c r="N4" s="67"/>
    </row>
    <row r="5" spans="1:13" ht="15.75">
      <c r="A5" s="1"/>
      <c r="B5" s="102" t="s">
        <v>13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4" ht="12.75">
      <c r="A6" s="43"/>
      <c r="B6" s="37" t="s">
        <v>14</v>
      </c>
      <c r="C6" s="6" t="s">
        <v>15</v>
      </c>
      <c r="D6" s="7" t="s">
        <v>16</v>
      </c>
      <c r="E6" s="6" t="str">
        <f>"1,1149"</f>
        <v>1,1149</v>
      </c>
      <c r="F6" s="8" t="s">
        <v>17</v>
      </c>
      <c r="G6" s="8" t="s">
        <v>18</v>
      </c>
      <c r="H6" s="45" t="s">
        <v>20</v>
      </c>
      <c r="I6" s="9"/>
      <c r="J6" s="9"/>
      <c r="K6" s="9"/>
      <c r="L6" s="43" t="s">
        <v>21</v>
      </c>
      <c r="M6" s="6" t="str">
        <f>"0,0000"</f>
        <v>0,0000</v>
      </c>
      <c r="N6" s="8" t="s">
        <v>358</v>
      </c>
    </row>
    <row r="8" spans="1:13" ht="15.75">
      <c r="A8" s="1"/>
      <c r="B8" s="103" t="s">
        <v>13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4" ht="12.75">
      <c r="A9" s="43" t="s">
        <v>352</v>
      </c>
      <c r="B9" s="37" t="s">
        <v>359</v>
      </c>
      <c r="C9" s="6" t="s">
        <v>23</v>
      </c>
      <c r="D9" s="7" t="s">
        <v>24</v>
      </c>
      <c r="E9" s="6" t="str">
        <f>"0,8745"</f>
        <v>0,8745</v>
      </c>
      <c r="F9" s="8" t="s">
        <v>17</v>
      </c>
      <c r="G9" s="8" t="s">
        <v>18</v>
      </c>
      <c r="H9" s="47" t="s">
        <v>25</v>
      </c>
      <c r="I9" s="47" t="s">
        <v>26</v>
      </c>
      <c r="J9" s="47" t="s">
        <v>27</v>
      </c>
      <c r="K9" s="45" t="s">
        <v>28</v>
      </c>
      <c r="L9" s="43" t="s">
        <v>29</v>
      </c>
      <c r="M9" s="6" t="str">
        <f>"142,1062"</f>
        <v>142,1062</v>
      </c>
      <c r="N9" s="8" t="s">
        <v>358</v>
      </c>
    </row>
    <row r="11" spans="1:13" ht="15.75">
      <c r="A11" s="1"/>
      <c r="B11" s="103" t="s">
        <v>31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1:14" ht="12.75">
      <c r="A12" s="43" t="s">
        <v>352</v>
      </c>
      <c r="B12" s="37" t="s">
        <v>511</v>
      </c>
      <c r="C12" s="6" t="s">
        <v>32</v>
      </c>
      <c r="D12" s="7" t="s">
        <v>33</v>
      </c>
      <c r="E12" s="6" t="str">
        <f>"0,7173"</f>
        <v>0,7173</v>
      </c>
      <c r="F12" s="8" t="s">
        <v>17</v>
      </c>
      <c r="G12" s="8" t="s">
        <v>34</v>
      </c>
      <c r="H12" s="47" t="s">
        <v>35</v>
      </c>
      <c r="I12" s="47" t="s">
        <v>36</v>
      </c>
      <c r="J12" s="47" t="s">
        <v>37</v>
      </c>
      <c r="K12" s="9"/>
      <c r="L12" s="43" t="s">
        <v>38</v>
      </c>
      <c r="M12" s="6" t="str">
        <f>"84,2827"</f>
        <v>84,2827</v>
      </c>
      <c r="N12" s="8" t="s">
        <v>39</v>
      </c>
    </row>
    <row r="14" spans="1:13" ht="15.75">
      <c r="A14" s="1"/>
      <c r="B14" s="103" t="s">
        <v>40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1:14" ht="12.75">
      <c r="A15" s="43" t="s">
        <v>352</v>
      </c>
      <c r="B15" s="37" t="s">
        <v>360</v>
      </c>
      <c r="C15" s="6" t="s">
        <v>41</v>
      </c>
      <c r="D15" s="7" t="s">
        <v>42</v>
      </c>
      <c r="E15" s="6" t="str">
        <f>"0,7042"</f>
        <v>0,7042</v>
      </c>
      <c r="F15" s="8" t="s">
        <v>17</v>
      </c>
      <c r="G15" s="8" t="s">
        <v>43</v>
      </c>
      <c r="H15" s="47" t="s">
        <v>44</v>
      </c>
      <c r="I15" s="47" t="s">
        <v>45</v>
      </c>
      <c r="J15" s="45" t="s">
        <v>46</v>
      </c>
      <c r="K15" s="9"/>
      <c r="L15" s="43" t="s">
        <v>47</v>
      </c>
      <c r="M15" s="6" t="str">
        <f>"77,4620"</f>
        <v>77,4620</v>
      </c>
      <c r="N15" s="8" t="s">
        <v>48</v>
      </c>
    </row>
    <row r="16" spans="1:14" ht="12.75">
      <c r="A16" s="43" t="s">
        <v>352</v>
      </c>
      <c r="B16" s="37" t="s">
        <v>361</v>
      </c>
      <c r="C16" s="6" t="s">
        <v>49</v>
      </c>
      <c r="D16" s="7" t="s">
        <v>50</v>
      </c>
      <c r="E16" s="6" t="str">
        <f>"0,6822"</f>
        <v>0,6822</v>
      </c>
      <c r="F16" s="8" t="s">
        <v>17</v>
      </c>
      <c r="G16" s="8" t="s">
        <v>51</v>
      </c>
      <c r="H16" s="47" t="s">
        <v>52</v>
      </c>
      <c r="I16" s="45" t="s">
        <v>53</v>
      </c>
      <c r="J16" s="45" t="s">
        <v>53</v>
      </c>
      <c r="K16" s="9"/>
      <c r="L16" s="43" t="s">
        <v>54</v>
      </c>
      <c r="M16" s="6" t="str">
        <f>"93,8025"</f>
        <v>93,8025</v>
      </c>
      <c r="N16" s="8" t="s">
        <v>55</v>
      </c>
    </row>
    <row r="17" spans="1:14" ht="12.75">
      <c r="A17" s="43" t="s">
        <v>352</v>
      </c>
      <c r="B17" s="37" t="s">
        <v>363</v>
      </c>
      <c r="C17" s="6" t="s">
        <v>57</v>
      </c>
      <c r="D17" s="7" t="s">
        <v>58</v>
      </c>
      <c r="E17" s="6" t="str">
        <f>"0,6779"</f>
        <v>0,6779</v>
      </c>
      <c r="F17" s="8" t="s">
        <v>17</v>
      </c>
      <c r="G17" s="8" t="s">
        <v>51</v>
      </c>
      <c r="H17" s="47" t="s">
        <v>53</v>
      </c>
      <c r="I17" s="9"/>
      <c r="J17" s="9"/>
      <c r="K17" s="9"/>
      <c r="L17" s="43" t="s">
        <v>59</v>
      </c>
      <c r="M17" s="6" t="str">
        <f>"100,8512"</f>
        <v>100,8512</v>
      </c>
      <c r="N17" s="8" t="s">
        <v>39</v>
      </c>
    </row>
    <row r="18" spans="1:14" ht="12.75">
      <c r="A18" s="43" t="s">
        <v>352</v>
      </c>
      <c r="B18" s="37" t="s">
        <v>362</v>
      </c>
      <c r="C18" s="6" t="s">
        <v>60</v>
      </c>
      <c r="D18" s="7" t="s">
        <v>61</v>
      </c>
      <c r="E18" s="6" t="str">
        <f>"0,6764"</f>
        <v>0,6764</v>
      </c>
      <c r="F18" s="8" t="s">
        <v>17</v>
      </c>
      <c r="G18" s="8" t="s">
        <v>18</v>
      </c>
      <c r="H18" s="47" t="s">
        <v>62</v>
      </c>
      <c r="I18" s="47" t="s">
        <v>63</v>
      </c>
      <c r="J18" s="47" t="s">
        <v>52</v>
      </c>
      <c r="K18" s="9"/>
      <c r="L18" s="43" t="s">
        <v>54</v>
      </c>
      <c r="M18" s="6" t="str">
        <f>"98,5853"</f>
        <v>98,5853</v>
      </c>
      <c r="N18" s="8" t="s">
        <v>358</v>
      </c>
    </row>
    <row r="19" spans="1:14" ht="12.75">
      <c r="A19" s="43" t="s">
        <v>352</v>
      </c>
      <c r="B19" s="37" t="s">
        <v>364</v>
      </c>
      <c r="C19" s="6" t="s">
        <v>65</v>
      </c>
      <c r="D19" s="7" t="s">
        <v>66</v>
      </c>
      <c r="E19" s="6" t="str">
        <f>"0,7005"</f>
        <v>0,7005</v>
      </c>
      <c r="F19" s="8" t="s">
        <v>17</v>
      </c>
      <c r="G19" s="8" t="s">
        <v>18</v>
      </c>
      <c r="H19" s="47" t="s">
        <v>67</v>
      </c>
      <c r="I19" s="47" t="s">
        <v>45</v>
      </c>
      <c r="J19" s="45" t="s">
        <v>68</v>
      </c>
      <c r="K19" s="9"/>
      <c r="L19" s="43" t="s">
        <v>47</v>
      </c>
      <c r="M19" s="6" t="str">
        <f>"130,9935"</f>
        <v>130,9935</v>
      </c>
      <c r="N19" s="8" t="s">
        <v>358</v>
      </c>
    </row>
    <row r="21" spans="1:13" ht="15.75">
      <c r="A21" s="1"/>
      <c r="B21" s="103" t="s">
        <v>69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1:14" ht="12.75">
      <c r="A22" s="43" t="s">
        <v>352</v>
      </c>
      <c r="B22" s="37" t="s">
        <v>70</v>
      </c>
      <c r="C22" s="6" t="s">
        <v>71</v>
      </c>
      <c r="D22" s="7" t="s">
        <v>72</v>
      </c>
      <c r="E22" s="6" t="str">
        <f>"0,6615"</f>
        <v>0,6615</v>
      </c>
      <c r="F22" s="8" t="s">
        <v>17</v>
      </c>
      <c r="G22" s="8" t="s">
        <v>18</v>
      </c>
      <c r="H22" s="47" t="s">
        <v>73</v>
      </c>
      <c r="I22" s="47" t="s">
        <v>74</v>
      </c>
      <c r="J22" s="47" t="s">
        <v>75</v>
      </c>
      <c r="K22" s="9"/>
      <c r="L22" s="43" t="s">
        <v>76</v>
      </c>
      <c r="M22" s="6" t="str">
        <f>"54,5737"</f>
        <v>54,5737</v>
      </c>
      <c r="N22" s="8" t="s">
        <v>358</v>
      </c>
    </row>
    <row r="23" spans="1:14" ht="12.75">
      <c r="A23" s="43" t="s">
        <v>352</v>
      </c>
      <c r="B23" s="37" t="s">
        <v>365</v>
      </c>
      <c r="C23" s="6" t="s">
        <v>77</v>
      </c>
      <c r="D23" s="7" t="s">
        <v>78</v>
      </c>
      <c r="E23" s="6" t="str">
        <f>"0,6444"</f>
        <v>0,6444</v>
      </c>
      <c r="F23" s="8" t="s">
        <v>17</v>
      </c>
      <c r="G23" s="8" t="s">
        <v>18</v>
      </c>
      <c r="H23" s="47" t="s">
        <v>79</v>
      </c>
      <c r="I23" s="47" t="s">
        <v>25</v>
      </c>
      <c r="J23" s="45" t="s">
        <v>80</v>
      </c>
      <c r="K23" s="9"/>
      <c r="L23" s="43" t="s">
        <v>81</v>
      </c>
      <c r="M23" s="6" t="str">
        <f>"96,6600"</f>
        <v>96,6600</v>
      </c>
      <c r="N23" s="8" t="s">
        <v>39</v>
      </c>
    </row>
    <row r="24" spans="1:14" ht="12.75">
      <c r="A24" s="43" t="s">
        <v>354</v>
      </c>
      <c r="B24" s="37" t="s">
        <v>366</v>
      </c>
      <c r="C24" s="6" t="s">
        <v>82</v>
      </c>
      <c r="D24" s="7" t="s">
        <v>83</v>
      </c>
      <c r="E24" s="6" t="str">
        <f>"0,6549"</f>
        <v>0,6549</v>
      </c>
      <c r="F24" s="8" t="s">
        <v>17</v>
      </c>
      <c r="G24" s="8" t="s">
        <v>18</v>
      </c>
      <c r="H24" s="47" t="s">
        <v>36</v>
      </c>
      <c r="I24" s="47" t="s">
        <v>62</v>
      </c>
      <c r="J24" s="47" t="s">
        <v>84</v>
      </c>
      <c r="K24" s="9"/>
      <c r="L24" s="43" t="s">
        <v>85</v>
      </c>
      <c r="M24" s="6" t="str">
        <f>"88,4115"</f>
        <v>88,4115</v>
      </c>
      <c r="N24" s="8" t="s">
        <v>358</v>
      </c>
    </row>
    <row r="25" spans="1:14" ht="12.75">
      <c r="A25" s="43" t="s">
        <v>352</v>
      </c>
      <c r="B25" s="37" t="s">
        <v>367</v>
      </c>
      <c r="C25" s="6" t="s">
        <v>90</v>
      </c>
      <c r="D25" s="7" t="s">
        <v>91</v>
      </c>
      <c r="E25" s="6" t="str">
        <f>"0,6479"</f>
        <v>0,6479</v>
      </c>
      <c r="F25" s="8" t="s">
        <v>17</v>
      </c>
      <c r="G25" s="8" t="s">
        <v>18</v>
      </c>
      <c r="H25" s="47" t="s">
        <v>35</v>
      </c>
      <c r="I25" s="47" t="s">
        <v>37</v>
      </c>
      <c r="J25" s="47" t="s">
        <v>92</v>
      </c>
      <c r="K25" s="9"/>
      <c r="L25" s="43" t="s">
        <v>93</v>
      </c>
      <c r="M25" s="6" t="str">
        <f>"126,7503"</f>
        <v>126,7503</v>
      </c>
      <c r="N25" s="8" t="s">
        <v>358</v>
      </c>
    </row>
    <row r="27" spans="1:13" ht="15.75">
      <c r="A27" s="1"/>
      <c r="B27" s="103" t="s">
        <v>94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</row>
    <row r="28" spans="1:14" ht="12.75">
      <c r="A28" s="43" t="s">
        <v>352</v>
      </c>
      <c r="B28" s="37" t="s">
        <v>368</v>
      </c>
      <c r="C28" s="6" t="s">
        <v>96</v>
      </c>
      <c r="D28" s="7" t="s">
        <v>97</v>
      </c>
      <c r="E28" s="6" t="str">
        <f>"0,6254"</f>
        <v>0,6254</v>
      </c>
      <c r="F28" s="8" t="s">
        <v>17</v>
      </c>
      <c r="G28" s="8" t="s">
        <v>51</v>
      </c>
      <c r="H28" s="47" t="s">
        <v>98</v>
      </c>
      <c r="I28" s="45" t="s">
        <v>99</v>
      </c>
      <c r="J28" s="45" t="s">
        <v>99</v>
      </c>
      <c r="K28" s="9"/>
      <c r="L28" s="43" t="s">
        <v>100</v>
      </c>
      <c r="M28" s="6" t="str">
        <f>"118,8260"</f>
        <v>118,8260</v>
      </c>
      <c r="N28" s="8" t="s">
        <v>39</v>
      </c>
    </row>
    <row r="29" spans="1:14" ht="12.75">
      <c r="A29" s="43" t="s">
        <v>354</v>
      </c>
      <c r="B29" s="37" t="s">
        <v>369</v>
      </c>
      <c r="C29" s="6" t="s">
        <v>102</v>
      </c>
      <c r="D29" s="7" t="s">
        <v>97</v>
      </c>
      <c r="E29" s="6" t="str">
        <f>"0,6254"</f>
        <v>0,6254</v>
      </c>
      <c r="F29" s="8" t="s">
        <v>17</v>
      </c>
      <c r="G29" s="8" t="s">
        <v>18</v>
      </c>
      <c r="H29" s="47" t="s">
        <v>103</v>
      </c>
      <c r="I29" s="45" t="s">
        <v>98</v>
      </c>
      <c r="J29" s="45" t="s">
        <v>104</v>
      </c>
      <c r="K29" s="9"/>
      <c r="L29" s="43" t="s">
        <v>105</v>
      </c>
      <c r="M29" s="6" t="str">
        <f>"112,5720"</f>
        <v>112,5720</v>
      </c>
      <c r="N29" s="8" t="s">
        <v>358</v>
      </c>
    </row>
    <row r="30" spans="1:14" ht="12.75">
      <c r="A30" s="43" t="s">
        <v>355</v>
      </c>
      <c r="B30" s="37" t="s">
        <v>370</v>
      </c>
      <c r="C30" s="6" t="s">
        <v>107</v>
      </c>
      <c r="D30" s="7" t="s">
        <v>108</v>
      </c>
      <c r="E30" s="6" t="str">
        <f>"0,6238"</f>
        <v>0,6238</v>
      </c>
      <c r="F30" s="8" t="s">
        <v>17</v>
      </c>
      <c r="G30" s="8" t="s">
        <v>18</v>
      </c>
      <c r="H30" s="47" t="s">
        <v>79</v>
      </c>
      <c r="I30" s="47" t="s">
        <v>109</v>
      </c>
      <c r="J30" s="47" t="s">
        <v>28</v>
      </c>
      <c r="K30" s="9"/>
      <c r="L30" s="43" t="s">
        <v>110</v>
      </c>
      <c r="M30" s="6" t="str">
        <f>"102,9270"</f>
        <v>102,9270</v>
      </c>
      <c r="N30" s="8" t="s">
        <v>358</v>
      </c>
    </row>
    <row r="32" spans="1:13" ht="15.75">
      <c r="A32" s="1"/>
      <c r="B32" s="103" t="s">
        <v>111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1:14" ht="12.75">
      <c r="A33" s="43" t="s">
        <v>352</v>
      </c>
      <c r="B33" s="37" t="s">
        <v>371</v>
      </c>
      <c r="C33" s="6" t="s">
        <v>112</v>
      </c>
      <c r="D33" s="7" t="s">
        <v>113</v>
      </c>
      <c r="E33" s="6" t="str">
        <f>"0,6044"</f>
        <v>0,6044</v>
      </c>
      <c r="F33" s="8" t="s">
        <v>17</v>
      </c>
      <c r="G33" s="8" t="s">
        <v>51</v>
      </c>
      <c r="H33" s="47" t="s">
        <v>114</v>
      </c>
      <c r="I33" s="45" t="s">
        <v>104</v>
      </c>
      <c r="J33" s="45" t="s">
        <v>104</v>
      </c>
      <c r="K33" s="9"/>
      <c r="L33" s="43" t="s">
        <v>115</v>
      </c>
      <c r="M33" s="6" t="str">
        <f>"111,8140"</f>
        <v>111,8140</v>
      </c>
      <c r="N33" s="8" t="s">
        <v>39</v>
      </c>
    </row>
    <row r="34" spans="1:14" ht="12.75">
      <c r="A34" s="43" t="s">
        <v>354</v>
      </c>
      <c r="B34" s="37" t="s">
        <v>372</v>
      </c>
      <c r="C34" s="6" t="s">
        <v>116</v>
      </c>
      <c r="D34" s="7" t="s">
        <v>117</v>
      </c>
      <c r="E34" s="6" t="str">
        <f>"0,5935"</f>
        <v>0,5935</v>
      </c>
      <c r="F34" s="8" t="s">
        <v>17</v>
      </c>
      <c r="G34" s="8" t="s">
        <v>18</v>
      </c>
      <c r="H34" s="47" t="s">
        <v>103</v>
      </c>
      <c r="I34" s="47" t="s">
        <v>114</v>
      </c>
      <c r="J34" s="45" t="s">
        <v>98</v>
      </c>
      <c r="K34" s="9"/>
      <c r="L34" s="43" t="s">
        <v>115</v>
      </c>
      <c r="M34" s="6" t="str">
        <f>"109,7975"</f>
        <v>109,7975</v>
      </c>
      <c r="N34" s="8" t="s">
        <v>358</v>
      </c>
    </row>
    <row r="35" spans="1:14" ht="12.75">
      <c r="A35" s="43" t="s">
        <v>352</v>
      </c>
      <c r="B35" s="37" t="s">
        <v>373</v>
      </c>
      <c r="C35" s="6" t="s">
        <v>119</v>
      </c>
      <c r="D35" s="7" t="s">
        <v>120</v>
      </c>
      <c r="E35" s="6" t="str">
        <f>"0,5964"</f>
        <v>0,5964</v>
      </c>
      <c r="F35" s="8" t="s">
        <v>17</v>
      </c>
      <c r="G35" s="8" t="s">
        <v>121</v>
      </c>
      <c r="H35" s="47" t="s">
        <v>26</v>
      </c>
      <c r="I35" s="47" t="s">
        <v>28</v>
      </c>
      <c r="J35" s="45" t="s">
        <v>122</v>
      </c>
      <c r="K35" s="9"/>
      <c r="L35" s="43" t="s">
        <v>110</v>
      </c>
      <c r="M35" s="6" t="str">
        <f>"104,3104"</f>
        <v>104,3104</v>
      </c>
      <c r="N35" s="8" t="s">
        <v>358</v>
      </c>
    </row>
    <row r="37" spans="1:13" ht="15.75">
      <c r="A37" s="1"/>
      <c r="B37" s="103" t="s">
        <v>123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14" ht="12.75">
      <c r="A38" s="43" t="s">
        <v>352</v>
      </c>
      <c r="B38" s="37" t="s">
        <v>374</v>
      </c>
      <c r="C38" s="6" t="s">
        <v>124</v>
      </c>
      <c r="D38" s="7" t="s">
        <v>125</v>
      </c>
      <c r="E38" s="6" t="str">
        <f>"0,5803"</f>
        <v>0,5803</v>
      </c>
      <c r="F38" s="8" t="s">
        <v>17</v>
      </c>
      <c r="G38" s="8" t="s">
        <v>18</v>
      </c>
      <c r="H38" s="47" t="s">
        <v>122</v>
      </c>
      <c r="I38" s="45" t="s">
        <v>126</v>
      </c>
      <c r="J38" s="45" t="s">
        <v>126</v>
      </c>
      <c r="K38" s="9"/>
      <c r="L38" s="43" t="s">
        <v>127</v>
      </c>
      <c r="M38" s="6" t="str">
        <f>"99,1443"</f>
        <v>99,1443</v>
      </c>
      <c r="N38" s="8" t="s">
        <v>358</v>
      </c>
    </row>
    <row r="39" spans="9:10" ht="12.75">
      <c r="I39" s="46"/>
      <c r="J39" s="46"/>
    </row>
    <row r="40" spans="2:3" ht="18">
      <c r="B40" s="39" t="s">
        <v>128</v>
      </c>
      <c r="C40" s="10"/>
    </row>
    <row r="41" spans="2:3" ht="15.75">
      <c r="B41" s="40" t="s">
        <v>129</v>
      </c>
      <c r="C41" s="11"/>
    </row>
    <row r="42" spans="2:3" ht="13.5">
      <c r="B42" s="48" t="s">
        <v>139</v>
      </c>
      <c r="C42" s="12"/>
    </row>
    <row r="43" spans="2:6" ht="13.5">
      <c r="B43" s="41" t="s">
        <v>131</v>
      </c>
      <c r="C43" s="13" t="s">
        <v>132</v>
      </c>
      <c r="D43" s="14" t="s">
        <v>133</v>
      </c>
      <c r="E43" s="13" t="s">
        <v>134</v>
      </c>
      <c r="F43" s="13" t="s">
        <v>135</v>
      </c>
    </row>
    <row r="44" spans="1:6" ht="12.75">
      <c r="A44" s="44" t="s">
        <v>352</v>
      </c>
      <c r="B44" s="42" t="s">
        <v>22</v>
      </c>
      <c r="C44" s="1" t="s">
        <v>139</v>
      </c>
      <c r="D44" s="5" t="s">
        <v>140</v>
      </c>
      <c r="E44" s="1" t="s">
        <v>27</v>
      </c>
      <c r="F44" s="44" t="s">
        <v>141</v>
      </c>
    </row>
    <row r="45" spans="1:6" ht="12.75">
      <c r="A45" s="44" t="s">
        <v>354</v>
      </c>
      <c r="B45" s="42" t="s">
        <v>95</v>
      </c>
      <c r="C45" s="1" t="s">
        <v>139</v>
      </c>
      <c r="D45" s="5" t="s">
        <v>142</v>
      </c>
      <c r="E45" s="1" t="s">
        <v>98</v>
      </c>
      <c r="F45" s="44" t="s">
        <v>143</v>
      </c>
    </row>
    <row r="46" spans="1:6" ht="12.75">
      <c r="A46" s="44" t="s">
        <v>355</v>
      </c>
      <c r="B46" s="42" t="s">
        <v>101</v>
      </c>
      <c r="C46" s="1" t="s">
        <v>139</v>
      </c>
      <c r="D46" s="5" t="s">
        <v>142</v>
      </c>
      <c r="E46" s="1" t="s">
        <v>103</v>
      </c>
      <c r="F46" s="44" t="s">
        <v>144</v>
      </c>
    </row>
    <row r="47" ht="12.75">
      <c r="F47" s="1"/>
    </row>
    <row r="48" spans="2:6" ht="13.5">
      <c r="B48" s="48" t="s">
        <v>147</v>
      </c>
      <c r="C48" s="12"/>
      <c r="F48" s="1"/>
    </row>
    <row r="49" spans="2:6" ht="13.5">
      <c r="B49" s="41" t="s">
        <v>131</v>
      </c>
      <c r="C49" s="13" t="s">
        <v>132</v>
      </c>
      <c r="D49" s="14" t="s">
        <v>133</v>
      </c>
      <c r="E49" s="13" t="s">
        <v>134</v>
      </c>
      <c r="F49" s="13" t="s">
        <v>135</v>
      </c>
    </row>
    <row r="50" spans="1:6" ht="12.75">
      <c r="A50" s="44" t="s">
        <v>352</v>
      </c>
      <c r="B50" s="42" t="s">
        <v>64</v>
      </c>
      <c r="C50" s="1" t="s">
        <v>148</v>
      </c>
      <c r="D50" s="5" t="s">
        <v>138</v>
      </c>
      <c r="E50" s="1" t="s">
        <v>45</v>
      </c>
      <c r="F50" s="44" t="s">
        <v>149</v>
      </c>
    </row>
    <row r="51" spans="1:6" ht="12.75">
      <c r="A51" s="44" t="s">
        <v>354</v>
      </c>
      <c r="B51" s="42" t="s">
        <v>89</v>
      </c>
      <c r="C51" s="1" t="s">
        <v>150</v>
      </c>
      <c r="D51" s="5" t="s">
        <v>137</v>
      </c>
      <c r="E51" s="1" t="s">
        <v>92</v>
      </c>
      <c r="F51" s="44" t="s">
        <v>151</v>
      </c>
    </row>
    <row r="52" spans="1:6" ht="12.75">
      <c r="A52" s="44" t="s">
        <v>355</v>
      </c>
      <c r="B52" s="42" t="s">
        <v>118</v>
      </c>
      <c r="C52" s="1" t="s">
        <v>152</v>
      </c>
      <c r="D52" s="5" t="s">
        <v>145</v>
      </c>
      <c r="E52" s="1" t="s">
        <v>28</v>
      </c>
      <c r="F52" s="44" t="s">
        <v>153</v>
      </c>
    </row>
  </sheetData>
  <sheetProtection/>
  <mergeCells count="20">
    <mergeCell ref="B14:M14"/>
    <mergeCell ref="B21:M21"/>
    <mergeCell ref="B27:M27"/>
    <mergeCell ref="B32:M32"/>
    <mergeCell ref="B37:M37"/>
    <mergeCell ref="A3:A4"/>
    <mergeCell ref="B5:M5"/>
    <mergeCell ref="B8:M8"/>
    <mergeCell ref="B11:M11"/>
    <mergeCell ref="E3:E4"/>
    <mergeCell ref="L3:L4"/>
    <mergeCell ref="M3:M4"/>
    <mergeCell ref="B1:N2"/>
    <mergeCell ref="H3:K3"/>
    <mergeCell ref="B3:B4"/>
    <mergeCell ref="C3:C4"/>
    <mergeCell ref="D3:D4"/>
    <mergeCell ref="N3:N4"/>
    <mergeCell ref="G3:G4"/>
    <mergeCell ref="F3:F4"/>
  </mergeCells>
  <printOptions/>
  <pageMargins left="0.19" right="0.47" top="0.45" bottom="0.49" header="0.5" footer="0.5"/>
  <pageSetup fitToHeight="100" fitToWidth="1" horizontalDpi="300" verticalDpi="300" orientation="landscape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F23" sqref="F23"/>
    </sheetView>
  </sheetViews>
  <sheetFormatPr defaultColWidth="8.75390625" defaultRowHeight="12.75"/>
  <cols>
    <col min="1" max="1" width="7.875" style="29" bestFit="1" customWidth="1"/>
    <col min="2" max="2" width="31.875" style="15" bestFit="1" customWidth="1"/>
    <col min="3" max="3" width="27.125" style="15" bestFit="1" customWidth="1"/>
    <col min="4" max="4" width="12.25390625" style="15" bestFit="1" customWidth="1"/>
    <col min="5" max="5" width="8.375" style="15" bestFit="1" customWidth="1"/>
    <col min="6" max="6" width="22.75390625" style="15" bestFit="1" customWidth="1"/>
    <col min="7" max="7" width="28.625" style="15" bestFit="1" customWidth="1"/>
    <col min="8" max="10" width="5.625" style="15" bestFit="1" customWidth="1"/>
    <col min="11" max="11" width="4.625" style="15" bestFit="1" customWidth="1"/>
    <col min="12" max="12" width="12.625" style="29" customWidth="1"/>
    <col min="13" max="13" width="8.625" style="15" bestFit="1" customWidth="1"/>
    <col min="14" max="14" width="19.875" style="15" customWidth="1"/>
  </cols>
  <sheetData>
    <row r="1" spans="2:14" s="1" customFormat="1" ht="15" customHeight="1">
      <c r="B1" s="69" t="s">
        <v>431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1"/>
    </row>
    <row r="2" spans="2:14" s="1" customFormat="1" ht="81.75" customHeight="1" thickBot="1"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</row>
    <row r="3" spans="1:14" s="2" customFormat="1" ht="12.75" customHeight="1">
      <c r="A3" s="64" t="s">
        <v>351</v>
      </c>
      <c r="B3" s="79" t="s">
        <v>0</v>
      </c>
      <c r="C3" s="77" t="s">
        <v>10</v>
      </c>
      <c r="D3" s="77" t="s">
        <v>11</v>
      </c>
      <c r="E3" s="64" t="s">
        <v>12</v>
      </c>
      <c r="F3" s="64" t="s">
        <v>7</v>
      </c>
      <c r="G3" s="64" t="s">
        <v>9</v>
      </c>
      <c r="H3" s="64" t="s">
        <v>3</v>
      </c>
      <c r="I3" s="64"/>
      <c r="J3" s="64"/>
      <c r="K3" s="64"/>
      <c r="L3" s="64" t="s">
        <v>353</v>
      </c>
      <c r="M3" s="64" t="s">
        <v>6</v>
      </c>
      <c r="N3" s="66" t="s">
        <v>5</v>
      </c>
    </row>
    <row r="4" spans="1:14" s="2" customFormat="1" ht="21" customHeight="1" thickBot="1">
      <c r="A4" s="65"/>
      <c r="B4" s="80"/>
      <c r="C4" s="65"/>
      <c r="D4" s="78"/>
      <c r="E4" s="65"/>
      <c r="F4" s="65"/>
      <c r="G4" s="65"/>
      <c r="H4" s="3">
        <v>1</v>
      </c>
      <c r="I4" s="3">
        <v>2</v>
      </c>
      <c r="J4" s="3">
        <v>3</v>
      </c>
      <c r="K4" s="3" t="s">
        <v>8</v>
      </c>
      <c r="L4" s="65"/>
      <c r="M4" s="65"/>
      <c r="N4" s="67"/>
    </row>
    <row r="5" spans="1:13" ht="15.75">
      <c r="A5"/>
      <c r="B5" s="68" t="s">
        <v>330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4" ht="12.75">
      <c r="A6" s="28" t="s">
        <v>352</v>
      </c>
      <c r="B6" s="16" t="s">
        <v>331</v>
      </c>
      <c r="C6" s="16" t="s">
        <v>332</v>
      </c>
      <c r="D6" s="16" t="s">
        <v>333</v>
      </c>
      <c r="E6" s="16" t="str">
        <f>"1,4359"</f>
        <v>1,4359</v>
      </c>
      <c r="F6" s="16" t="s">
        <v>17</v>
      </c>
      <c r="G6" s="16" t="s">
        <v>432</v>
      </c>
      <c r="H6" s="31" t="s">
        <v>288</v>
      </c>
      <c r="I6" s="31" t="s">
        <v>159</v>
      </c>
      <c r="J6" s="30" t="s">
        <v>74</v>
      </c>
      <c r="K6" s="17"/>
      <c r="L6" s="28">
        <v>60</v>
      </c>
      <c r="M6" s="16" t="str">
        <f>"86,1540"</f>
        <v>86,1540</v>
      </c>
      <c r="N6" s="16" t="s">
        <v>334</v>
      </c>
    </row>
    <row r="8" spans="1:13" ht="15.75">
      <c r="A8"/>
      <c r="B8" s="81" t="s">
        <v>160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4" ht="12.75">
      <c r="A9" s="28" t="s">
        <v>352</v>
      </c>
      <c r="B9" s="16" t="s">
        <v>427</v>
      </c>
      <c r="C9" s="16" t="s">
        <v>335</v>
      </c>
      <c r="D9" s="16" t="s">
        <v>336</v>
      </c>
      <c r="E9" s="16" t="str">
        <f>"0,9300"</f>
        <v>0,9300</v>
      </c>
      <c r="F9" s="16" t="s">
        <v>17</v>
      </c>
      <c r="G9" s="16" t="s">
        <v>337</v>
      </c>
      <c r="H9" s="31" t="s">
        <v>46</v>
      </c>
      <c r="I9" s="30" t="s">
        <v>338</v>
      </c>
      <c r="J9" s="30" t="s">
        <v>338</v>
      </c>
      <c r="K9" s="17"/>
      <c r="L9" s="28">
        <v>120</v>
      </c>
      <c r="M9" s="16" t="str">
        <f>"111,6000"</f>
        <v>111,6000</v>
      </c>
      <c r="N9" s="16" t="s">
        <v>426</v>
      </c>
    </row>
    <row r="11" spans="1:13" ht="15.75">
      <c r="A11"/>
      <c r="B11" s="81" t="s">
        <v>31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1:14" ht="12.75">
      <c r="A12" s="28" t="s">
        <v>352</v>
      </c>
      <c r="B12" s="16" t="s">
        <v>428</v>
      </c>
      <c r="C12" s="16" t="s">
        <v>340</v>
      </c>
      <c r="D12" s="16" t="s">
        <v>341</v>
      </c>
      <c r="E12" s="16" t="str">
        <f>"0,7345"</f>
        <v>0,7345</v>
      </c>
      <c r="F12" s="16" t="s">
        <v>17</v>
      </c>
      <c r="G12" s="16" t="s">
        <v>18</v>
      </c>
      <c r="H12" s="31" t="s">
        <v>103</v>
      </c>
      <c r="I12" s="31" t="s">
        <v>99</v>
      </c>
      <c r="J12" s="30" t="s">
        <v>261</v>
      </c>
      <c r="K12" s="17"/>
      <c r="L12" s="28">
        <v>195</v>
      </c>
      <c r="M12" s="16" t="str">
        <f>"143,2275"</f>
        <v>143,2275</v>
      </c>
      <c r="N12" s="16" t="s">
        <v>48</v>
      </c>
    </row>
    <row r="14" spans="1:13" ht="15.75">
      <c r="A14"/>
      <c r="B14" s="81" t="s">
        <v>69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1:14" ht="12.75">
      <c r="A15" s="28" t="s">
        <v>352</v>
      </c>
      <c r="B15" s="16" t="s">
        <v>430</v>
      </c>
      <c r="C15" s="16" t="s">
        <v>306</v>
      </c>
      <c r="D15" s="16" t="s">
        <v>307</v>
      </c>
      <c r="E15" s="16" t="str">
        <f>"0,6495"</f>
        <v>0,6495</v>
      </c>
      <c r="F15" s="16" t="s">
        <v>17</v>
      </c>
      <c r="G15" s="16" t="s">
        <v>393</v>
      </c>
      <c r="H15" s="31" t="s">
        <v>269</v>
      </c>
      <c r="I15" s="17"/>
      <c r="J15" s="17"/>
      <c r="K15" s="17"/>
      <c r="L15" s="28">
        <v>230</v>
      </c>
      <c r="M15" s="16" t="str">
        <f>"149,3850"</f>
        <v>149,3850</v>
      </c>
      <c r="N15" s="16" t="s">
        <v>417</v>
      </c>
    </row>
    <row r="17" spans="1:13" ht="15.75">
      <c r="A17"/>
      <c r="B17" s="81" t="s">
        <v>94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1:14" ht="12.75">
      <c r="A18" s="28" t="s">
        <v>352</v>
      </c>
      <c r="B18" s="16" t="s">
        <v>429</v>
      </c>
      <c r="C18" s="16" t="s">
        <v>343</v>
      </c>
      <c r="D18" s="16" t="s">
        <v>344</v>
      </c>
      <c r="E18" s="16" t="str">
        <f>"0,6158"</f>
        <v>0,6158</v>
      </c>
      <c r="F18" s="16" t="s">
        <v>17</v>
      </c>
      <c r="G18" s="16" t="s">
        <v>18</v>
      </c>
      <c r="H18" s="31" t="s">
        <v>247</v>
      </c>
      <c r="I18" s="31" t="s">
        <v>262</v>
      </c>
      <c r="J18" s="31" t="s">
        <v>299</v>
      </c>
      <c r="K18" s="17"/>
      <c r="L18" s="28">
        <v>232.5</v>
      </c>
      <c r="M18" s="16" t="str">
        <f>"143,1735"</f>
        <v>143,1735</v>
      </c>
      <c r="N18" s="16" t="s">
        <v>39</v>
      </c>
    </row>
    <row r="19" spans="1:14" ht="12.75">
      <c r="A19" s="33" t="s">
        <v>354</v>
      </c>
      <c r="B19" s="18" t="s">
        <v>391</v>
      </c>
      <c r="C19" s="18" t="s">
        <v>204</v>
      </c>
      <c r="D19" s="18" t="s">
        <v>203</v>
      </c>
      <c r="E19" s="18" t="str">
        <f>"0,6150"</f>
        <v>0,6150</v>
      </c>
      <c r="F19" s="18" t="s">
        <v>17</v>
      </c>
      <c r="G19" s="18" t="s">
        <v>164</v>
      </c>
      <c r="H19" s="34" t="s">
        <v>253</v>
      </c>
      <c r="I19" s="35" t="s">
        <v>263</v>
      </c>
      <c r="J19" s="35" t="s">
        <v>263</v>
      </c>
      <c r="K19" s="19"/>
      <c r="L19" s="33">
        <v>220</v>
      </c>
      <c r="M19" s="18" t="str">
        <f>"135,3000"</f>
        <v>135,3000</v>
      </c>
      <c r="N19" s="18" t="s">
        <v>205</v>
      </c>
    </row>
    <row r="22" spans="2:3" ht="18">
      <c r="B22" s="20" t="s">
        <v>128</v>
      </c>
      <c r="C22" s="20"/>
    </row>
    <row r="24" spans="2:3" ht="15.75">
      <c r="B24" s="21" t="s">
        <v>129</v>
      </c>
      <c r="C24" s="21"/>
    </row>
    <row r="25" spans="2:3" ht="13.5">
      <c r="B25" s="49" t="s">
        <v>139</v>
      </c>
      <c r="C25" s="23"/>
    </row>
    <row r="26" spans="2:6" ht="13.5">
      <c r="B26" s="24" t="s">
        <v>131</v>
      </c>
      <c r="C26" s="24" t="s">
        <v>132</v>
      </c>
      <c r="D26" s="24" t="s">
        <v>133</v>
      </c>
      <c r="E26" s="24" t="s">
        <v>134</v>
      </c>
      <c r="F26" s="24" t="s">
        <v>135</v>
      </c>
    </row>
    <row r="27" spans="1:6" ht="12.75">
      <c r="A27" s="29" t="s">
        <v>352</v>
      </c>
      <c r="B27" s="22" t="s">
        <v>305</v>
      </c>
      <c r="C27" s="27" t="s">
        <v>139</v>
      </c>
      <c r="D27" s="27" t="s">
        <v>137</v>
      </c>
      <c r="E27" s="27" t="s">
        <v>269</v>
      </c>
      <c r="F27" s="29" t="s">
        <v>345</v>
      </c>
    </row>
    <row r="28" spans="1:6" ht="12.75">
      <c r="A28" s="29" t="s">
        <v>354</v>
      </c>
      <c r="B28" s="22" t="s">
        <v>339</v>
      </c>
      <c r="C28" s="27" t="s">
        <v>139</v>
      </c>
      <c r="D28" s="27" t="s">
        <v>146</v>
      </c>
      <c r="E28" s="27" t="s">
        <v>99</v>
      </c>
      <c r="F28" s="29" t="s">
        <v>346</v>
      </c>
    </row>
    <row r="29" spans="1:6" ht="12.75">
      <c r="A29" s="29" t="s">
        <v>355</v>
      </c>
      <c r="B29" s="22" t="s">
        <v>342</v>
      </c>
      <c r="C29" s="27" t="s">
        <v>139</v>
      </c>
      <c r="D29" s="27" t="s">
        <v>142</v>
      </c>
      <c r="E29" s="27" t="s">
        <v>299</v>
      </c>
      <c r="F29" s="29" t="s">
        <v>347</v>
      </c>
    </row>
    <row r="30" spans="3:6" ht="12.75">
      <c r="C30" s="27"/>
      <c r="D30" s="27"/>
      <c r="E30" s="27"/>
      <c r="F30" s="27"/>
    </row>
  </sheetData>
  <sheetProtection/>
  <mergeCells count="17">
    <mergeCell ref="B14:M14"/>
    <mergeCell ref="B17:M17"/>
    <mergeCell ref="A3:A4"/>
    <mergeCell ref="L3:L4"/>
    <mergeCell ref="M3:M4"/>
    <mergeCell ref="N3:N4"/>
    <mergeCell ref="B5:M5"/>
    <mergeCell ref="B8:M8"/>
    <mergeCell ref="B11:M11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N16" sqref="N16"/>
    </sheetView>
  </sheetViews>
  <sheetFormatPr defaultColWidth="8.75390625" defaultRowHeight="12.75"/>
  <cols>
    <col min="1" max="1" width="7.875" style="29" bestFit="1" customWidth="1"/>
    <col min="2" max="2" width="31.875" style="15" bestFit="1" customWidth="1"/>
    <col min="3" max="3" width="26.00390625" style="15" bestFit="1" customWidth="1"/>
    <col min="4" max="4" width="12.25390625" style="15" bestFit="1" customWidth="1"/>
    <col min="5" max="5" width="8.375" style="15" bestFit="1" customWidth="1"/>
    <col min="6" max="6" width="22.75390625" style="15" bestFit="1" customWidth="1"/>
    <col min="7" max="7" width="39.00390625" style="15" bestFit="1" customWidth="1"/>
    <col min="8" max="10" width="5.625" style="15" bestFit="1" customWidth="1"/>
    <col min="11" max="11" width="4.625" style="15" bestFit="1" customWidth="1"/>
    <col min="12" max="12" width="12.00390625" style="29" customWidth="1"/>
    <col min="13" max="13" width="8.625" style="15" bestFit="1" customWidth="1"/>
    <col min="14" max="14" width="15.75390625" style="15" bestFit="1" customWidth="1"/>
  </cols>
  <sheetData>
    <row r="1" spans="2:14" s="1" customFormat="1" ht="15" customHeight="1">
      <c r="B1" s="69" t="s">
        <v>420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1"/>
    </row>
    <row r="2" spans="2:14" s="1" customFormat="1" ht="81.75" customHeight="1" thickBot="1"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</row>
    <row r="3" spans="1:14" s="2" customFormat="1" ht="12.75" customHeight="1">
      <c r="A3" s="64" t="s">
        <v>351</v>
      </c>
      <c r="B3" s="79" t="s">
        <v>0</v>
      </c>
      <c r="C3" s="77" t="s">
        <v>10</v>
      </c>
      <c r="D3" s="77" t="s">
        <v>11</v>
      </c>
      <c r="E3" s="64" t="s">
        <v>12</v>
      </c>
      <c r="F3" s="64" t="s">
        <v>7</v>
      </c>
      <c r="G3" s="64" t="s">
        <v>9</v>
      </c>
      <c r="H3" s="64" t="s">
        <v>3</v>
      </c>
      <c r="I3" s="64"/>
      <c r="J3" s="64"/>
      <c r="K3" s="64"/>
      <c r="L3" s="64" t="s">
        <v>353</v>
      </c>
      <c r="M3" s="64" t="s">
        <v>6</v>
      </c>
      <c r="N3" s="66" t="s">
        <v>5</v>
      </c>
    </row>
    <row r="4" spans="1:14" s="2" customFormat="1" ht="21" customHeight="1" thickBot="1">
      <c r="A4" s="65"/>
      <c r="B4" s="80"/>
      <c r="C4" s="65"/>
      <c r="D4" s="78"/>
      <c r="E4" s="65"/>
      <c r="F4" s="65"/>
      <c r="G4" s="65"/>
      <c r="H4" s="3">
        <v>1</v>
      </c>
      <c r="I4" s="3">
        <v>2</v>
      </c>
      <c r="J4" s="3">
        <v>3</v>
      </c>
      <c r="K4" s="3" t="s">
        <v>8</v>
      </c>
      <c r="L4" s="65"/>
      <c r="M4" s="65"/>
      <c r="N4" s="67"/>
    </row>
    <row r="5" spans="1:13" ht="15.75">
      <c r="A5"/>
      <c r="B5" s="68" t="s">
        <v>156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4" ht="12.75">
      <c r="A6" s="28" t="s">
        <v>352</v>
      </c>
      <c r="B6" s="16" t="s">
        <v>421</v>
      </c>
      <c r="C6" s="16" t="s">
        <v>308</v>
      </c>
      <c r="D6" s="16" t="s">
        <v>309</v>
      </c>
      <c r="E6" s="16" t="str">
        <f>"1,0491"</f>
        <v>1,0491</v>
      </c>
      <c r="F6" s="16" t="s">
        <v>17</v>
      </c>
      <c r="G6" s="16" t="s">
        <v>51</v>
      </c>
      <c r="H6" s="31" t="s">
        <v>109</v>
      </c>
      <c r="I6" s="31" t="s">
        <v>208</v>
      </c>
      <c r="J6" s="31" t="s">
        <v>27</v>
      </c>
      <c r="K6" s="17"/>
      <c r="L6" s="28">
        <v>162.5</v>
      </c>
      <c r="M6" s="16" t="str">
        <f>"170,4788"</f>
        <v>170,4788</v>
      </c>
      <c r="N6" s="16" t="s">
        <v>39</v>
      </c>
    </row>
    <row r="8" spans="1:13" ht="15.75">
      <c r="A8"/>
      <c r="B8" s="81" t="s">
        <v>31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4" ht="12.75">
      <c r="A9" s="28" t="s">
        <v>352</v>
      </c>
      <c r="B9" s="16" t="s">
        <v>422</v>
      </c>
      <c r="C9" s="16" t="s">
        <v>310</v>
      </c>
      <c r="D9" s="16" t="s">
        <v>311</v>
      </c>
      <c r="E9" s="16" t="str">
        <f>"0,9698"</f>
        <v>0,9698</v>
      </c>
      <c r="F9" s="16" t="s">
        <v>17</v>
      </c>
      <c r="G9" s="16" t="s">
        <v>268</v>
      </c>
      <c r="H9" s="30" t="s">
        <v>184</v>
      </c>
      <c r="I9" s="31" t="s">
        <v>79</v>
      </c>
      <c r="J9" s="31" t="s">
        <v>25</v>
      </c>
      <c r="K9" s="17"/>
      <c r="L9" s="28">
        <v>150</v>
      </c>
      <c r="M9" s="16" t="str">
        <f>"145,4700"</f>
        <v>145,4700</v>
      </c>
      <c r="N9" s="16" t="s">
        <v>39</v>
      </c>
    </row>
    <row r="11" spans="1:13" ht="15.75">
      <c r="A11"/>
      <c r="B11" s="81" t="s">
        <v>40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1:14" ht="12.75">
      <c r="A12" s="28" t="s">
        <v>352</v>
      </c>
      <c r="B12" s="16" t="s">
        <v>423</v>
      </c>
      <c r="C12" s="16" t="s">
        <v>312</v>
      </c>
      <c r="D12" s="16" t="s">
        <v>313</v>
      </c>
      <c r="E12" s="16" t="str">
        <f>"0,9444"</f>
        <v>0,9444</v>
      </c>
      <c r="F12" s="16" t="s">
        <v>17</v>
      </c>
      <c r="G12" s="16" t="s">
        <v>51</v>
      </c>
      <c r="H12" s="31" t="s">
        <v>35</v>
      </c>
      <c r="I12" s="31" t="s">
        <v>36</v>
      </c>
      <c r="J12" s="30" t="s">
        <v>46</v>
      </c>
      <c r="K12" s="17"/>
      <c r="L12" s="28">
        <v>115</v>
      </c>
      <c r="M12" s="16" t="str">
        <f>"108,6060"</f>
        <v>108,6060</v>
      </c>
      <c r="N12" s="16" t="s">
        <v>39</v>
      </c>
    </row>
    <row r="14" spans="1:13" ht="15.75">
      <c r="A14"/>
      <c r="B14" s="81" t="s">
        <v>94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1:14" ht="12.75">
      <c r="A15" s="28" t="s">
        <v>352</v>
      </c>
      <c r="B15" s="16" t="s">
        <v>424</v>
      </c>
      <c r="C15" s="16" t="s">
        <v>266</v>
      </c>
      <c r="D15" s="16" t="s">
        <v>267</v>
      </c>
      <c r="E15" s="16" t="str">
        <f>"0,6142"</f>
        <v>0,6142</v>
      </c>
      <c r="F15" s="16" t="s">
        <v>17</v>
      </c>
      <c r="G15" s="16" t="s">
        <v>268</v>
      </c>
      <c r="H15" s="31" t="s">
        <v>269</v>
      </c>
      <c r="I15" s="31" t="s">
        <v>263</v>
      </c>
      <c r="J15" s="31" t="s">
        <v>314</v>
      </c>
      <c r="K15" s="17"/>
      <c r="L15" s="28">
        <v>255</v>
      </c>
      <c r="M15" s="16" t="str">
        <f>"156,6210"</f>
        <v>156,6210</v>
      </c>
      <c r="N15" s="16" t="s">
        <v>39</v>
      </c>
    </row>
    <row r="16" spans="1:14" ht="12.75">
      <c r="A16" s="33" t="s">
        <v>354</v>
      </c>
      <c r="B16" s="18" t="s">
        <v>370</v>
      </c>
      <c r="C16" s="18" t="s">
        <v>107</v>
      </c>
      <c r="D16" s="18" t="s">
        <v>108</v>
      </c>
      <c r="E16" s="18" t="str">
        <f>"0,6238"</f>
        <v>0,6238</v>
      </c>
      <c r="F16" s="18" t="s">
        <v>17</v>
      </c>
      <c r="G16" s="18" t="s">
        <v>18</v>
      </c>
      <c r="H16" s="34" t="s">
        <v>253</v>
      </c>
      <c r="I16" s="34" t="s">
        <v>263</v>
      </c>
      <c r="J16" s="35" t="s">
        <v>314</v>
      </c>
      <c r="K16" s="19"/>
      <c r="L16" s="33">
        <v>240</v>
      </c>
      <c r="M16" s="18" t="str">
        <f>"149,7120"</f>
        <v>149,7120</v>
      </c>
      <c r="N16" s="16" t="s">
        <v>39</v>
      </c>
    </row>
    <row r="18" spans="1:13" ht="15.75">
      <c r="A18"/>
      <c r="B18" s="81" t="s">
        <v>111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19" spans="1:14" ht="12.75">
      <c r="A19" s="28" t="s">
        <v>352</v>
      </c>
      <c r="B19" s="16" t="s">
        <v>425</v>
      </c>
      <c r="C19" s="16" t="s">
        <v>316</v>
      </c>
      <c r="D19" s="16" t="s">
        <v>317</v>
      </c>
      <c r="E19" s="16" t="str">
        <f>"0,5976"</f>
        <v>0,5976</v>
      </c>
      <c r="F19" s="16" t="s">
        <v>17</v>
      </c>
      <c r="G19" s="16" t="s">
        <v>318</v>
      </c>
      <c r="H19" s="31" t="s">
        <v>319</v>
      </c>
      <c r="I19" s="31" t="s">
        <v>320</v>
      </c>
      <c r="J19" s="30" t="s">
        <v>321</v>
      </c>
      <c r="K19" s="17"/>
      <c r="L19" s="28">
        <v>295</v>
      </c>
      <c r="M19" s="16" t="str">
        <f>"176,2920"</f>
        <v>176,2920</v>
      </c>
      <c r="N19" s="16" t="s">
        <v>39</v>
      </c>
    </row>
    <row r="21" spans="1:13" ht="15.75">
      <c r="A21"/>
      <c r="B21" s="81" t="s">
        <v>123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1:14" ht="12.75">
      <c r="A22" s="28" t="s">
        <v>352</v>
      </c>
      <c r="B22" s="16" t="s">
        <v>322</v>
      </c>
      <c r="C22" s="16" t="s">
        <v>323</v>
      </c>
      <c r="D22" s="16" t="s">
        <v>324</v>
      </c>
      <c r="E22" s="16" t="str">
        <f>"0,5840"</f>
        <v>0,5840</v>
      </c>
      <c r="F22" s="16" t="s">
        <v>17</v>
      </c>
      <c r="G22" s="16" t="s">
        <v>325</v>
      </c>
      <c r="H22" s="31" t="s">
        <v>25</v>
      </c>
      <c r="I22" s="31" t="s">
        <v>208</v>
      </c>
      <c r="J22" s="31" t="s">
        <v>122</v>
      </c>
      <c r="K22" s="17"/>
      <c r="L22" s="28">
        <v>170</v>
      </c>
      <c r="M22" s="16" t="str">
        <f>"99,2800"</f>
        <v>99,2800</v>
      </c>
      <c r="N22" s="16" t="s">
        <v>326</v>
      </c>
    </row>
    <row r="25" spans="2:3" ht="18">
      <c r="B25" s="20" t="s">
        <v>128</v>
      </c>
      <c r="C25" s="20"/>
    </row>
    <row r="26" spans="2:3" ht="15.75">
      <c r="B26" s="21" t="s">
        <v>129</v>
      </c>
      <c r="C26" s="21"/>
    </row>
    <row r="27" spans="2:3" ht="13.5">
      <c r="B27" s="49" t="s">
        <v>139</v>
      </c>
      <c r="C27" s="23"/>
    </row>
    <row r="28" spans="2:6" ht="13.5">
      <c r="B28" s="24" t="s">
        <v>131</v>
      </c>
      <c r="C28" s="24" t="s">
        <v>132</v>
      </c>
      <c r="D28" s="24" t="s">
        <v>133</v>
      </c>
      <c r="E28" s="24" t="s">
        <v>134</v>
      </c>
      <c r="F28" s="24" t="s">
        <v>135</v>
      </c>
    </row>
    <row r="29" spans="1:6" ht="12.75">
      <c r="A29" s="29" t="s">
        <v>352</v>
      </c>
      <c r="B29" s="22" t="s">
        <v>315</v>
      </c>
      <c r="C29" s="27" t="s">
        <v>139</v>
      </c>
      <c r="D29" s="27" t="s">
        <v>145</v>
      </c>
      <c r="E29" s="27" t="s">
        <v>320</v>
      </c>
      <c r="F29" s="29" t="s">
        <v>327</v>
      </c>
    </row>
    <row r="30" spans="1:6" ht="12.75">
      <c r="A30" s="29" t="s">
        <v>354</v>
      </c>
      <c r="B30" s="22" t="s">
        <v>265</v>
      </c>
      <c r="C30" s="27" t="s">
        <v>139</v>
      </c>
      <c r="D30" s="27" t="s">
        <v>142</v>
      </c>
      <c r="E30" s="27" t="s">
        <v>314</v>
      </c>
      <c r="F30" s="29" t="s">
        <v>328</v>
      </c>
    </row>
    <row r="31" spans="1:6" ht="12.75">
      <c r="A31" s="29" t="s">
        <v>355</v>
      </c>
      <c r="B31" s="22" t="s">
        <v>106</v>
      </c>
      <c r="C31" s="27" t="s">
        <v>139</v>
      </c>
      <c r="D31" s="27" t="s">
        <v>142</v>
      </c>
      <c r="E31" s="27" t="s">
        <v>263</v>
      </c>
      <c r="F31" s="29" t="s">
        <v>329</v>
      </c>
    </row>
  </sheetData>
  <sheetProtection/>
  <mergeCells count="18">
    <mergeCell ref="B14:M14"/>
    <mergeCell ref="B18:M18"/>
    <mergeCell ref="B21:M21"/>
    <mergeCell ref="A3:A4"/>
    <mergeCell ref="L3:L4"/>
    <mergeCell ref="M3:M4"/>
    <mergeCell ref="G3:G4"/>
    <mergeCell ref="H3:K3"/>
    <mergeCell ref="N3:N4"/>
    <mergeCell ref="B5:M5"/>
    <mergeCell ref="B8:M8"/>
    <mergeCell ref="B11:M11"/>
    <mergeCell ref="B1:N2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M17" sqref="M17"/>
    </sheetView>
  </sheetViews>
  <sheetFormatPr defaultColWidth="11.00390625" defaultRowHeight="12.75"/>
  <cols>
    <col min="1" max="1" width="6.625" style="0" customWidth="1"/>
    <col min="2" max="2" width="24.625" style="0" customWidth="1"/>
    <col min="3" max="3" width="22.625" style="0" customWidth="1"/>
    <col min="4" max="4" width="11.125" style="0" customWidth="1"/>
    <col min="7" max="7" width="23.625" style="0" customWidth="1"/>
    <col min="12" max="12" width="18.875" style="0" customWidth="1"/>
  </cols>
  <sheetData>
    <row r="1" spans="1:12" ht="57.75" customHeight="1">
      <c r="A1" s="89"/>
      <c r="B1" s="90" t="s">
        <v>506</v>
      </c>
      <c r="C1" s="90"/>
      <c r="D1" s="90"/>
      <c r="E1" s="90"/>
      <c r="F1" s="90"/>
      <c r="G1" s="90"/>
      <c r="H1" s="90"/>
      <c r="I1" s="90"/>
      <c r="J1" s="90"/>
      <c r="K1" s="90"/>
      <c r="L1" s="91"/>
    </row>
    <row r="2" spans="1:12" ht="0.75" customHeight="1">
      <c r="A2" s="89"/>
      <c r="B2" s="92"/>
      <c r="C2" s="92"/>
      <c r="D2" s="92"/>
      <c r="E2" s="92"/>
      <c r="F2" s="92"/>
      <c r="G2" s="92"/>
      <c r="H2" s="92"/>
      <c r="I2" s="92"/>
      <c r="J2" s="92"/>
      <c r="K2" s="92"/>
      <c r="L2" s="93"/>
    </row>
    <row r="3" spans="1:12" ht="30" thickBot="1">
      <c r="A3" s="62"/>
      <c r="B3" s="92" t="s">
        <v>436</v>
      </c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ht="13.5">
      <c r="A4" s="94" t="s">
        <v>351</v>
      </c>
      <c r="B4" s="96" t="s">
        <v>0</v>
      </c>
      <c r="C4" s="63" t="s">
        <v>437</v>
      </c>
      <c r="D4" s="98" t="s">
        <v>11</v>
      </c>
      <c r="E4" s="84" t="s">
        <v>439</v>
      </c>
      <c r="F4" s="84" t="s">
        <v>7</v>
      </c>
      <c r="G4" s="84" t="s">
        <v>9</v>
      </c>
      <c r="H4" s="82" t="s">
        <v>2</v>
      </c>
      <c r="I4" s="83"/>
      <c r="J4" s="84" t="s">
        <v>440</v>
      </c>
      <c r="K4" s="84" t="s">
        <v>6</v>
      </c>
      <c r="L4" s="86" t="s">
        <v>5</v>
      </c>
    </row>
    <row r="5" spans="1:12" ht="15" thickBot="1">
      <c r="A5" s="95"/>
      <c r="B5" s="97"/>
      <c r="C5" s="58" t="s">
        <v>438</v>
      </c>
      <c r="D5" s="99"/>
      <c r="E5" s="85"/>
      <c r="F5" s="85"/>
      <c r="G5" s="85"/>
      <c r="H5" s="52" t="s">
        <v>441</v>
      </c>
      <c r="I5" s="52" t="s">
        <v>442</v>
      </c>
      <c r="J5" s="85"/>
      <c r="K5" s="85"/>
      <c r="L5" s="87"/>
    </row>
    <row r="6" spans="2:12" ht="15.75">
      <c r="B6" s="88" t="s">
        <v>13</v>
      </c>
      <c r="C6" s="88"/>
      <c r="D6" s="88"/>
      <c r="E6" s="88"/>
      <c r="F6" s="88"/>
      <c r="G6" s="88"/>
      <c r="H6" s="88"/>
      <c r="I6" s="88"/>
      <c r="J6" s="88"/>
      <c r="K6" s="88"/>
      <c r="L6" s="15"/>
    </row>
    <row r="7" spans="1:12" ht="12.75">
      <c r="A7" s="28" t="s">
        <v>352</v>
      </c>
      <c r="B7" s="59" t="s">
        <v>215</v>
      </c>
      <c r="C7" s="59" t="s">
        <v>216</v>
      </c>
      <c r="D7" s="59" t="s">
        <v>217</v>
      </c>
      <c r="E7" s="59" t="s">
        <v>507</v>
      </c>
      <c r="F7" s="59" t="s">
        <v>17</v>
      </c>
      <c r="G7" s="59" t="s">
        <v>218</v>
      </c>
      <c r="H7" s="61" t="s">
        <v>508</v>
      </c>
      <c r="I7" s="61" t="s">
        <v>498</v>
      </c>
      <c r="J7" s="56" t="s">
        <v>509</v>
      </c>
      <c r="K7" s="61" t="s">
        <v>510</v>
      </c>
      <c r="L7" s="59" t="s">
        <v>39</v>
      </c>
    </row>
    <row r="8" spans="1:12" ht="12.75">
      <c r="A8" s="29"/>
      <c r="B8" s="15"/>
      <c r="C8" s="15"/>
      <c r="D8" s="15"/>
      <c r="E8" s="15"/>
      <c r="F8" s="15"/>
      <c r="G8" s="15"/>
      <c r="H8" s="25"/>
      <c r="I8" s="25"/>
      <c r="J8" s="29"/>
      <c r="K8" s="25"/>
      <c r="L8" s="15"/>
    </row>
    <row r="9" spans="1:12" ht="12.75">
      <c r="A9" s="29"/>
      <c r="B9" s="15"/>
      <c r="C9" s="15"/>
      <c r="D9" s="15"/>
      <c r="E9" s="15"/>
      <c r="F9" s="15"/>
      <c r="G9" s="15"/>
      <c r="H9" s="25"/>
      <c r="I9" s="25"/>
      <c r="J9" s="29"/>
      <c r="K9" s="25"/>
      <c r="L9" s="15"/>
    </row>
    <row r="10" spans="1:12" ht="12.75">
      <c r="A10" s="29"/>
      <c r="B10" s="15"/>
      <c r="C10" s="15"/>
      <c r="D10" s="15"/>
      <c r="E10" s="15"/>
      <c r="F10" s="15"/>
      <c r="G10" s="15"/>
      <c r="H10" s="25"/>
      <c r="I10" s="25"/>
      <c r="J10" s="29"/>
      <c r="K10" s="25"/>
      <c r="L10" s="15"/>
    </row>
    <row r="11" spans="1:12" ht="12.75">
      <c r="A11" s="29"/>
      <c r="B11" s="15"/>
      <c r="C11" s="15"/>
      <c r="D11" s="15"/>
      <c r="E11" s="15"/>
      <c r="F11" s="15"/>
      <c r="G11" s="15"/>
      <c r="H11" s="25"/>
      <c r="I11" s="25"/>
      <c r="J11" s="29"/>
      <c r="K11" s="25"/>
      <c r="L11" s="15"/>
    </row>
    <row r="12" spans="1:12" ht="12.75">
      <c r="A12" s="29"/>
      <c r="B12" s="15"/>
      <c r="C12" s="15"/>
      <c r="D12" s="15"/>
      <c r="E12" s="15"/>
      <c r="F12" s="15"/>
      <c r="G12" s="15"/>
      <c r="H12" s="25"/>
      <c r="I12" s="25"/>
      <c r="J12" s="29"/>
      <c r="K12" s="25"/>
      <c r="L12" s="15"/>
    </row>
    <row r="13" spans="1:12" ht="12.75">
      <c r="A13" s="29"/>
      <c r="B13" s="15"/>
      <c r="C13" s="15"/>
      <c r="D13" s="15"/>
      <c r="E13" s="15"/>
      <c r="F13" s="15"/>
      <c r="G13" s="15"/>
      <c r="H13" s="25"/>
      <c r="I13" s="25"/>
      <c r="J13" s="29"/>
      <c r="K13" s="25"/>
      <c r="L13" s="15"/>
    </row>
    <row r="14" spans="1:12" ht="12.75">
      <c r="A14" s="29"/>
      <c r="B14" s="15"/>
      <c r="C14" s="15"/>
      <c r="D14" s="15"/>
      <c r="E14" s="15"/>
      <c r="F14" s="15"/>
      <c r="G14" s="15"/>
      <c r="H14" s="25"/>
      <c r="I14" s="25"/>
      <c r="J14" s="29"/>
      <c r="K14" s="25"/>
      <c r="L14" s="15"/>
    </row>
    <row r="15" spans="1:12" ht="12.75">
      <c r="A15" s="29"/>
      <c r="B15" s="15"/>
      <c r="C15" s="15"/>
      <c r="D15" s="15"/>
      <c r="E15" s="15"/>
      <c r="F15" s="15"/>
      <c r="G15" s="15"/>
      <c r="H15" s="25"/>
      <c r="I15" s="25"/>
      <c r="J15" s="29"/>
      <c r="K15" s="25"/>
      <c r="L15" s="15"/>
    </row>
    <row r="16" spans="1:12" ht="12.75">
      <c r="A16" s="29"/>
      <c r="B16" s="15"/>
      <c r="C16" s="15"/>
      <c r="D16" s="15"/>
      <c r="E16" s="15"/>
      <c r="F16" s="15"/>
      <c r="G16" s="15"/>
      <c r="H16" s="25"/>
      <c r="I16" s="25"/>
      <c r="J16" s="29"/>
      <c r="K16" s="25"/>
      <c r="L16" s="15"/>
    </row>
    <row r="17" spans="1:12" ht="12.75">
      <c r="A17" s="29"/>
      <c r="B17" s="15"/>
      <c r="C17" s="15"/>
      <c r="D17" s="15"/>
      <c r="E17" s="15"/>
      <c r="F17" s="15"/>
      <c r="G17" s="15"/>
      <c r="H17" s="25"/>
      <c r="I17" s="25"/>
      <c r="J17" s="29"/>
      <c r="K17" s="25"/>
      <c r="L17" s="15"/>
    </row>
    <row r="18" spans="1:12" ht="12.75">
      <c r="A18" s="29"/>
      <c r="B18" s="15"/>
      <c r="C18" s="15"/>
      <c r="D18" s="15"/>
      <c r="E18" s="15"/>
      <c r="F18" s="15"/>
      <c r="G18" s="15"/>
      <c r="H18" s="25"/>
      <c r="I18" s="25"/>
      <c r="J18" s="29"/>
      <c r="K18" s="25"/>
      <c r="L18" s="15"/>
    </row>
    <row r="19" spans="1:12" ht="12.75">
      <c r="A19" s="29"/>
      <c r="B19" s="15"/>
      <c r="C19" s="15"/>
      <c r="D19" s="15"/>
      <c r="E19" s="15"/>
      <c r="F19" s="15"/>
      <c r="G19" s="15"/>
      <c r="H19" s="25"/>
      <c r="I19" s="25"/>
      <c r="J19" s="29"/>
      <c r="K19" s="25"/>
      <c r="L19" s="15"/>
    </row>
    <row r="20" spans="1:12" ht="12.75">
      <c r="A20" s="29"/>
      <c r="B20" s="15"/>
      <c r="C20" s="15"/>
      <c r="D20" s="15"/>
      <c r="E20" s="15"/>
      <c r="F20" s="15"/>
      <c r="G20" s="15"/>
      <c r="H20" s="25"/>
      <c r="I20" s="25"/>
      <c r="J20" s="29"/>
      <c r="K20" s="25"/>
      <c r="L20" s="15"/>
    </row>
    <row r="21" spans="1:12" ht="12.75">
      <c r="A21" s="29"/>
      <c r="B21" s="15"/>
      <c r="C21" s="15"/>
      <c r="D21" s="15"/>
      <c r="E21" s="15"/>
      <c r="F21" s="15"/>
      <c r="G21" s="15"/>
      <c r="H21" s="25"/>
      <c r="I21" s="25"/>
      <c r="J21" s="29"/>
      <c r="K21" s="25"/>
      <c r="L21" s="15"/>
    </row>
    <row r="22" spans="1:12" ht="12.75">
      <c r="A22" s="29"/>
      <c r="B22" s="15"/>
      <c r="C22" s="15"/>
      <c r="D22" s="15"/>
      <c r="E22" s="15"/>
      <c r="F22" s="15"/>
      <c r="G22" s="15"/>
      <c r="H22" s="25"/>
      <c r="I22" s="25"/>
      <c r="J22" s="29"/>
      <c r="K22" s="25"/>
      <c r="L22" s="15"/>
    </row>
    <row r="23" spans="1:12" ht="12.75">
      <c r="A23" s="29"/>
      <c r="B23" s="15"/>
      <c r="C23" s="15"/>
      <c r="D23" s="15"/>
      <c r="E23" s="15"/>
      <c r="F23" s="15"/>
      <c r="G23" s="15"/>
      <c r="H23" s="25"/>
      <c r="I23" s="25"/>
      <c r="J23" s="29"/>
      <c r="K23" s="25"/>
      <c r="L23" s="15"/>
    </row>
    <row r="24" spans="1:12" ht="12.75">
      <c r="A24" s="29"/>
      <c r="B24" s="15"/>
      <c r="C24" s="15"/>
      <c r="D24" s="15"/>
      <c r="E24" s="15"/>
      <c r="F24" s="15"/>
      <c r="G24" s="15"/>
      <c r="H24" s="25"/>
      <c r="I24" s="25"/>
      <c r="J24" s="29"/>
      <c r="K24" s="25"/>
      <c r="L24" s="15"/>
    </row>
  </sheetData>
  <sheetProtection/>
  <mergeCells count="15">
    <mergeCell ref="B4:B5"/>
    <mergeCell ref="D4:D5"/>
    <mergeCell ref="E4:E5"/>
    <mergeCell ref="F4:F5"/>
    <mergeCell ref="G4:G5"/>
    <mergeCell ref="H4:I4"/>
    <mergeCell ref="J4:J5"/>
    <mergeCell ref="K4:K5"/>
    <mergeCell ref="L4:L5"/>
    <mergeCell ref="B6:K6"/>
    <mergeCell ref="A1:A2"/>
    <mergeCell ref="B1:L1"/>
    <mergeCell ref="B2:L2"/>
    <mergeCell ref="B3:L3"/>
    <mergeCell ref="A4:A5"/>
  </mergeCells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G35" sqref="G35"/>
    </sheetView>
  </sheetViews>
  <sheetFormatPr defaultColWidth="11.00390625" defaultRowHeight="12.75"/>
  <cols>
    <col min="1" max="1" width="8.00390625" style="0" customWidth="1"/>
    <col min="2" max="2" width="22.00390625" style="0" customWidth="1"/>
    <col min="3" max="3" width="22.625" style="0" customWidth="1"/>
    <col min="7" max="7" width="25.125" style="0" customWidth="1"/>
    <col min="12" max="12" width="14.25390625" style="0" customWidth="1"/>
  </cols>
  <sheetData>
    <row r="1" spans="1:12" ht="52.5" customHeight="1">
      <c r="A1" s="89"/>
      <c r="B1" s="90" t="s">
        <v>435</v>
      </c>
      <c r="C1" s="90"/>
      <c r="D1" s="90"/>
      <c r="E1" s="90"/>
      <c r="F1" s="90"/>
      <c r="G1" s="90"/>
      <c r="H1" s="90"/>
      <c r="I1" s="90"/>
      <c r="J1" s="90"/>
      <c r="K1" s="90"/>
      <c r="L1" s="91"/>
    </row>
    <row r="2" spans="1:12" ht="28.5" hidden="1">
      <c r="A2" s="89"/>
      <c r="B2" s="92"/>
      <c r="C2" s="92"/>
      <c r="D2" s="92"/>
      <c r="E2" s="92"/>
      <c r="F2" s="92"/>
      <c r="G2" s="92"/>
      <c r="H2" s="92"/>
      <c r="I2" s="92"/>
      <c r="J2" s="92"/>
      <c r="K2" s="92"/>
      <c r="L2" s="93"/>
    </row>
    <row r="3" spans="1:12" ht="30" thickBot="1">
      <c r="A3" s="62"/>
      <c r="B3" s="92" t="s">
        <v>436</v>
      </c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ht="13.5">
      <c r="A4" s="94" t="s">
        <v>351</v>
      </c>
      <c r="B4" s="96" t="s">
        <v>0</v>
      </c>
      <c r="C4" s="63" t="s">
        <v>437</v>
      </c>
      <c r="D4" s="98" t="s">
        <v>11</v>
      </c>
      <c r="E4" s="84" t="s">
        <v>439</v>
      </c>
      <c r="F4" s="84" t="s">
        <v>7</v>
      </c>
      <c r="G4" s="84" t="s">
        <v>9</v>
      </c>
      <c r="H4" s="82" t="s">
        <v>2</v>
      </c>
      <c r="I4" s="83"/>
      <c r="J4" s="84" t="s">
        <v>440</v>
      </c>
      <c r="K4" s="84" t="s">
        <v>6</v>
      </c>
      <c r="L4" s="86" t="s">
        <v>5</v>
      </c>
    </row>
    <row r="5" spans="1:12" ht="15" thickBot="1">
      <c r="A5" s="95"/>
      <c r="B5" s="97"/>
      <c r="C5" s="58" t="s">
        <v>438</v>
      </c>
      <c r="D5" s="99"/>
      <c r="E5" s="85"/>
      <c r="F5" s="85"/>
      <c r="G5" s="85"/>
      <c r="H5" s="52" t="s">
        <v>441</v>
      </c>
      <c r="I5" s="52" t="s">
        <v>442</v>
      </c>
      <c r="J5" s="85"/>
      <c r="K5" s="85"/>
      <c r="L5" s="87"/>
    </row>
    <row r="6" spans="1:12" ht="15.75">
      <c r="A6" s="27"/>
      <c r="B6" s="100" t="s">
        <v>156</v>
      </c>
      <c r="C6" s="100"/>
      <c r="D6" s="100"/>
      <c r="E6" s="100"/>
      <c r="F6" s="100"/>
      <c r="G6" s="100"/>
      <c r="H6" s="100"/>
      <c r="I6" s="100"/>
      <c r="J6" s="100"/>
      <c r="K6" s="100"/>
      <c r="L6" s="50"/>
    </row>
    <row r="7" spans="1:12" ht="12.75">
      <c r="A7" s="28" t="s">
        <v>352</v>
      </c>
      <c r="B7" s="53" t="s">
        <v>178</v>
      </c>
      <c r="C7" s="54" t="s">
        <v>179</v>
      </c>
      <c r="D7" s="55" t="s">
        <v>180</v>
      </c>
      <c r="E7" s="54" t="s">
        <v>443</v>
      </c>
      <c r="F7" s="53" t="s">
        <v>17</v>
      </c>
      <c r="G7" s="53" t="s">
        <v>393</v>
      </c>
      <c r="H7" s="56" t="s">
        <v>155</v>
      </c>
      <c r="I7" s="56" t="s">
        <v>444</v>
      </c>
      <c r="J7" s="56" t="s">
        <v>445</v>
      </c>
      <c r="K7" s="56" t="s">
        <v>446</v>
      </c>
      <c r="L7" s="53" t="s">
        <v>39</v>
      </c>
    </row>
    <row r="8" spans="1:12" ht="12.75">
      <c r="A8" s="29"/>
      <c r="B8" s="50"/>
      <c r="C8" s="27"/>
      <c r="D8" s="57"/>
      <c r="E8" s="27"/>
      <c r="F8" s="50"/>
      <c r="G8" s="50"/>
      <c r="H8" s="29"/>
      <c r="I8" s="29"/>
      <c r="J8" s="29"/>
      <c r="K8" s="29"/>
      <c r="L8" s="50"/>
    </row>
    <row r="9" spans="1:12" ht="15.75">
      <c r="A9" s="27"/>
      <c r="B9" s="100" t="s">
        <v>40</v>
      </c>
      <c r="C9" s="100"/>
      <c r="D9" s="100"/>
      <c r="E9" s="100"/>
      <c r="F9" s="100"/>
      <c r="G9" s="100"/>
      <c r="H9" s="100"/>
      <c r="I9" s="100"/>
      <c r="J9" s="100"/>
      <c r="K9" s="100"/>
      <c r="L9" s="50"/>
    </row>
    <row r="10" spans="1:12" ht="12.75">
      <c r="A10" s="28" t="s">
        <v>352</v>
      </c>
      <c r="B10" s="53" t="s">
        <v>447</v>
      </c>
      <c r="C10" s="54" t="s">
        <v>448</v>
      </c>
      <c r="D10" s="55" t="s">
        <v>449</v>
      </c>
      <c r="E10" s="54" t="s">
        <v>450</v>
      </c>
      <c r="F10" s="53" t="s">
        <v>17</v>
      </c>
      <c r="G10" s="53" t="s">
        <v>51</v>
      </c>
      <c r="H10" s="56" t="s">
        <v>174</v>
      </c>
      <c r="I10" s="56" t="s">
        <v>444</v>
      </c>
      <c r="J10" s="56" t="s">
        <v>451</v>
      </c>
      <c r="K10" s="56" t="s">
        <v>452</v>
      </c>
      <c r="L10" s="53" t="s">
        <v>39</v>
      </c>
    </row>
    <row r="11" spans="1:12" ht="12.75">
      <c r="A11" s="29"/>
      <c r="B11" s="50"/>
      <c r="C11" s="27"/>
      <c r="D11" s="57"/>
      <c r="E11" s="27"/>
      <c r="F11" s="50"/>
      <c r="G11" s="50"/>
      <c r="H11" s="29"/>
      <c r="I11" s="29"/>
      <c r="J11" s="29"/>
      <c r="K11" s="29"/>
      <c r="L11" s="50"/>
    </row>
    <row r="12" spans="1:12" ht="15.75">
      <c r="A12" s="27"/>
      <c r="B12" s="100" t="s">
        <v>94</v>
      </c>
      <c r="C12" s="100"/>
      <c r="D12" s="100"/>
      <c r="E12" s="100"/>
      <c r="F12" s="100"/>
      <c r="G12" s="100"/>
      <c r="H12" s="100"/>
      <c r="I12" s="100"/>
      <c r="J12" s="100"/>
      <c r="K12" s="100"/>
      <c r="L12" s="50"/>
    </row>
    <row r="13" spans="1:12" ht="12.75">
      <c r="A13" s="28" t="s">
        <v>352</v>
      </c>
      <c r="B13" s="53" t="s">
        <v>453</v>
      </c>
      <c r="C13" s="54" t="s">
        <v>454</v>
      </c>
      <c r="D13" s="55" t="s">
        <v>455</v>
      </c>
      <c r="E13" s="54" t="s">
        <v>456</v>
      </c>
      <c r="F13" s="53" t="s">
        <v>17</v>
      </c>
      <c r="G13" s="53" t="s">
        <v>218</v>
      </c>
      <c r="H13" s="56" t="s">
        <v>170</v>
      </c>
      <c r="I13" s="56" t="s">
        <v>457</v>
      </c>
      <c r="J13" s="56" t="s">
        <v>458</v>
      </c>
      <c r="K13" s="56" t="s">
        <v>459</v>
      </c>
      <c r="L13" s="53" t="s">
        <v>39</v>
      </c>
    </row>
    <row r="14" spans="1:12" ht="12.75">
      <c r="A14" s="29"/>
      <c r="B14" s="50"/>
      <c r="C14" s="27"/>
      <c r="D14" s="57"/>
      <c r="E14" s="27"/>
      <c r="F14" s="50"/>
      <c r="G14" s="50"/>
      <c r="H14" s="29"/>
      <c r="I14" s="29"/>
      <c r="J14" s="29"/>
      <c r="K14" s="29"/>
      <c r="L14" s="50"/>
    </row>
    <row r="15" spans="1:12" ht="12.75">
      <c r="A15" s="29"/>
      <c r="B15" s="50"/>
      <c r="C15" s="27"/>
      <c r="D15" s="57"/>
      <c r="E15" s="27"/>
      <c r="F15" s="50"/>
      <c r="G15" s="50"/>
      <c r="H15" s="29"/>
      <c r="I15" s="29"/>
      <c r="J15" s="29"/>
      <c r="K15" s="29"/>
      <c r="L15" s="50"/>
    </row>
    <row r="16" spans="1:12" ht="12.75">
      <c r="A16" s="29"/>
      <c r="B16" s="50"/>
      <c r="C16" s="27"/>
      <c r="D16" s="57"/>
      <c r="E16" s="27"/>
      <c r="F16" s="50"/>
      <c r="G16" s="50"/>
      <c r="H16" s="29"/>
      <c r="I16" s="29"/>
      <c r="J16" s="29"/>
      <c r="K16" s="29"/>
      <c r="L16" s="50"/>
    </row>
    <row r="17" spans="1:12" ht="12.75">
      <c r="A17" s="29"/>
      <c r="B17" s="50"/>
      <c r="C17" s="27"/>
      <c r="D17" s="57"/>
      <c r="E17" s="27"/>
      <c r="F17" s="50"/>
      <c r="G17" s="50"/>
      <c r="H17" s="29"/>
      <c r="I17" s="29"/>
      <c r="J17" s="29"/>
      <c r="K17" s="29"/>
      <c r="L17" s="50"/>
    </row>
    <row r="18" spans="1:12" ht="12.75">
      <c r="A18" s="29"/>
      <c r="B18" s="50"/>
      <c r="C18" s="27"/>
      <c r="D18" s="57"/>
      <c r="E18" s="27"/>
      <c r="F18" s="50"/>
      <c r="G18" s="50"/>
      <c r="H18" s="29"/>
      <c r="I18" s="29"/>
      <c r="J18" s="29"/>
      <c r="K18" s="29"/>
      <c r="L18" s="50"/>
    </row>
    <row r="19" spans="1:12" ht="12.75">
      <c r="A19" s="29"/>
      <c r="B19" s="50"/>
      <c r="C19" s="27"/>
      <c r="D19" s="57"/>
      <c r="E19" s="27"/>
      <c r="F19" s="50"/>
      <c r="G19" s="50"/>
      <c r="H19" s="29"/>
      <c r="I19" s="29"/>
      <c r="J19" s="29"/>
      <c r="K19" s="29"/>
      <c r="L19" s="50"/>
    </row>
    <row r="20" spans="1:12" ht="12.75">
      <c r="A20" s="29"/>
      <c r="B20" s="50"/>
      <c r="C20" s="27"/>
      <c r="D20" s="57"/>
      <c r="E20" s="27"/>
      <c r="F20" s="50"/>
      <c r="G20" s="50"/>
      <c r="H20" s="29"/>
      <c r="I20" s="29"/>
      <c r="J20" s="29"/>
      <c r="K20" s="29"/>
      <c r="L20" s="50"/>
    </row>
  </sheetData>
  <sheetProtection/>
  <mergeCells count="17">
    <mergeCell ref="A1:A2"/>
    <mergeCell ref="B1:L1"/>
    <mergeCell ref="B2:L2"/>
    <mergeCell ref="B3:L3"/>
    <mergeCell ref="A4:A5"/>
    <mergeCell ref="B4:B5"/>
    <mergeCell ref="D4:D5"/>
    <mergeCell ref="E4:E5"/>
    <mergeCell ref="F4:F5"/>
    <mergeCell ref="G4:G5"/>
    <mergeCell ref="B12:K12"/>
    <mergeCell ref="H4:I4"/>
    <mergeCell ref="J4:J5"/>
    <mergeCell ref="K4:K5"/>
    <mergeCell ref="L4:L5"/>
    <mergeCell ref="B6:K6"/>
    <mergeCell ref="B9:K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K35" sqref="K35"/>
    </sheetView>
  </sheetViews>
  <sheetFormatPr defaultColWidth="11.00390625" defaultRowHeight="12.75"/>
  <cols>
    <col min="1" max="1" width="7.25390625" style="0" customWidth="1"/>
    <col min="2" max="2" width="18.125" style="0" customWidth="1"/>
    <col min="3" max="3" width="24.25390625" style="0" customWidth="1"/>
    <col min="6" max="6" width="12.25390625" style="0" customWidth="1"/>
    <col min="7" max="7" width="24.875" style="0" customWidth="1"/>
    <col min="12" max="12" width="18.125" style="0" customWidth="1"/>
  </cols>
  <sheetData>
    <row r="1" spans="1:13" ht="57" customHeight="1">
      <c r="A1" s="89"/>
      <c r="B1" s="90" t="s">
        <v>460</v>
      </c>
      <c r="C1" s="90"/>
      <c r="D1" s="90"/>
      <c r="E1" s="90"/>
      <c r="F1" s="90"/>
      <c r="G1" s="90"/>
      <c r="H1" s="90"/>
      <c r="I1" s="90"/>
      <c r="J1" s="90"/>
      <c r="K1" s="90"/>
      <c r="L1" s="91"/>
      <c r="M1" s="101"/>
    </row>
    <row r="2" spans="1:13" ht="28.5" hidden="1">
      <c r="A2" s="89"/>
      <c r="B2" s="92"/>
      <c r="C2" s="92"/>
      <c r="D2" s="92"/>
      <c r="E2" s="92"/>
      <c r="F2" s="92"/>
      <c r="G2" s="92"/>
      <c r="H2" s="92"/>
      <c r="I2" s="92"/>
      <c r="J2" s="92"/>
      <c r="K2" s="92"/>
      <c r="L2" s="93"/>
      <c r="M2" s="101"/>
    </row>
    <row r="3" spans="1:13" ht="30" thickBot="1">
      <c r="A3" s="62"/>
      <c r="B3" s="92" t="s">
        <v>436</v>
      </c>
      <c r="C3" s="92"/>
      <c r="D3" s="92"/>
      <c r="E3" s="92"/>
      <c r="F3" s="92"/>
      <c r="G3" s="92"/>
      <c r="H3" s="92"/>
      <c r="I3" s="92"/>
      <c r="J3" s="92"/>
      <c r="K3" s="92"/>
      <c r="L3" s="93"/>
      <c r="M3" s="27"/>
    </row>
    <row r="4" spans="1:13" ht="13.5">
      <c r="A4" s="94" t="s">
        <v>351</v>
      </c>
      <c r="B4" s="96" t="s">
        <v>0</v>
      </c>
      <c r="C4" s="63" t="s">
        <v>437</v>
      </c>
      <c r="D4" s="98" t="s">
        <v>11</v>
      </c>
      <c r="E4" s="84" t="s">
        <v>439</v>
      </c>
      <c r="F4" s="84" t="s">
        <v>7</v>
      </c>
      <c r="G4" s="84" t="s">
        <v>9</v>
      </c>
      <c r="H4" s="82" t="s">
        <v>2</v>
      </c>
      <c r="I4" s="83"/>
      <c r="J4" s="84" t="s">
        <v>440</v>
      </c>
      <c r="K4" s="84" t="s">
        <v>6</v>
      </c>
      <c r="L4" s="86" t="s">
        <v>5</v>
      </c>
      <c r="M4" s="51"/>
    </row>
    <row r="5" spans="1:13" ht="15" thickBot="1">
      <c r="A5" s="95"/>
      <c r="B5" s="97"/>
      <c r="C5" s="58" t="s">
        <v>438</v>
      </c>
      <c r="D5" s="99"/>
      <c r="E5" s="85"/>
      <c r="F5" s="85"/>
      <c r="G5" s="85"/>
      <c r="H5" s="52" t="s">
        <v>441</v>
      </c>
      <c r="I5" s="52" t="s">
        <v>442</v>
      </c>
      <c r="J5" s="85"/>
      <c r="K5" s="85"/>
      <c r="L5" s="87"/>
      <c r="M5" s="51"/>
    </row>
    <row r="6" spans="2:12" ht="15.75">
      <c r="B6" s="88" t="s">
        <v>13</v>
      </c>
      <c r="C6" s="88"/>
      <c r="D6" s="88"/>
      <c r="E6" s="88"/>
      <c r="F6" s="88"/>
      <c r="G6" s="88"/>
      <c r="H6" s="88"/>
      <c r="I6" s="88"/>
      <c r="J6" s="88"/>
      <c r="K6" s="88"/>
      <c r="L6" s="15"/>
    </row>
    <row r="7" spans="1:12" ht="12.75">
      <c r="A7" s="28" t="s">
        <v>352</v>
      </c>
      <c r="B7" s="59" t="s">
        <v>167</v>
      </c>
      <c r="C7" s="59" t="s">
        <v>461</v>
      </c>
      <c r="D7" s="59" t="s">
        <v>169</v>
      </c>
      <c r="E7" s="59" t="s">
        <v>462</v>
      </c>
      <c r="F7" s="59" t="s">
        <v>17</v>
      </c>
      <c r="G7" s="59" t="s">
        <v>18</v>
      </c>
      <c r="H7" s="56" t="s">
        <v>159</v>
      </c>
      <c r="I7" s="56" t="s">
        <v>457</v>
      </c>
      <c r="J7" s="56" t="s">
        <v>463</v>
      </c>
      <c r="K7" s="56" t="s">
        <v>464</v>
      </c>
      <c r="L7" s="59" t="s">
        <v>358</v>
      </c>
    </row>
    <row r="8" spans="1:12" ht="12.75">
      <c r="A8" s="29"/>
      <c r="B8" s="15"/>
      <c r="C8" s="15"/>
      <c r="D8" s="15"/>
      <c r="E8" s="15"/>
      <c r="F8" s="15"/>
      <c r="G8" s="15"/>
      <c r="H8" s="29"/>
      <c r="I8" s="29"/>
      <c r="J8" s="29"/>
      <c r="K8" s="29"/>
      <c r="L8" s="15"/>
    </row>
    <row r="9" spans="2:12" ht="15.75">
      <c r="B9" s="81" t="s">
        <v>31</v>
      </c>
      <c r="C9" s="81"/>
      <c r="D9" s="81"/>
      <c r="E9" s="81"/>
      <c r="F9" s="81"/>
      <c r="G9" s="81"/>
      <c r="H9" s="81"/>
      <c r="I9" s="81"/>
      <c r="J9" s="81"/>
      <c r="K9" s="81"/>
      <c r="L9" s="15"/>
    </row>
    <row r="10" spans="1:12" ht="12.75">
      <c r="A10" s="28" t="s">
        <v>352</v>
      </c>
      <c r="B10" s="16" t="s">
        <v>465</v>
      </c>
      <c r="C10" s="16" t="s">
        <v>466</v>
      </c>
      <c r="D10" s="16" t="s">
        <v>467</v>
      </c>
      <c r="E10" s="16" t="s">
        <v>468</v>
      </c>
      <c r="F10" s="16" t="s">
        <v>17</v>
      </c>
      <c r="G10" s="16" t="s">
        <v>469</v>
      </c>
      <c r="H10" s="28" t="s">
        <v>73</v>
      </c>
      <c r="I10" s="28" t="s">
        <v>470</v>
      </c>
      <c r="J10" s="28" t="s">
        <v>471</v>
      </c>
      <c r="K10" s="28" t="s">
        <v>472</v>
      </c>
      <c r="L10" s="16" t="s">
        <v>473</v>
      </c>
    </row>
    <row r="11" spans="1:12" ht="12.75">
      <c r="A11" s="28" t="s">
        <v>354</v>
      </c>
      <c r="B11" s="16" t="s">
        <v>474</v>
      </c>
      <c r="C11" s="16" t="s">
        <v>185</v>
      </c>
      <c r="D11" s="16" t="s">
        <v>186</v>
      </c>
      <c r="E11" s="16" t="s">
        <v>475</v>
      </c>
      <c r="F11" s="16" t="s">
        <v>17</v>
      </c>
      <c r="G11" s="16" t="s">
        <v>18</v>
      </c>
      <c r="H11" s="28" t="s">
        <v>73</v>
      </c>
      <c r="I11" s="28" t="s">
        <v>476</v>
      </c>
      <c r="J11" s="28" t="s">
        <v>477</v>
      </c>
      <c r="K11" s="28" t="s">
        <v>478</v>
      </c>
      <c r="L11" s="16" t="s">
        <v>88</v>
      </c>
    </row>
    <row r="12" spans="1:12" ht="12.75">
      <c r="A12" s="29"/>
      <c r="B12" s="15"/>
      <c r="C12" s="15"/>
      <c r="D12" s="15"/>
      <c r="E12" s="15"/>
      <c r="F12" s="15"/>
      <c r="G12" s="15"/>
      <c r="H12" s="29"/>
      <c r="I12" s="29"/>
      <c r="J12" s="29"/>
      <c r="K12" s="29"/>
      <c r="L12" s="15"/>
    </row>
    <row r="13" spans="2:12" ht="15.75">
      <c r="B13" s="88" t="s">
        <v>40</v>
      </c>
      <c r="C13" s="88"/>
      <c r="D13" s="88"/>
      <c r="E13" s="88"/>
      <c r="F13" s="88"/>
      <c r="G13" s="88"/>
      <c r="H13" s="88"/>
      <c r="I13" s="88"/>
      <c r="J13" s="88"/>
      <c r="K13" s="88"/>
      <c r="L13" s="15"/>
    </row>
    <row r="14" spans="1:12" ht="12.75">
      <c r="A14" s="28" t="s">
        <v>352</v>
      </c>
      <c r="B14" s="59" t="s">
        <v>64</v>
      </c>
      <c r="C14" s="59" t="s">
        <v>479</v>
      </c>
      <c r="D14" s="59" t="s">
        <v>66</v>
      </c>
      <c r="E14" s="59" t="s">
        <v>480</v>
      </c>
      <c r="F14" s="59" t="s">
        <v>17</v>
      </c>
      <c r="G14" s="59" t="s">
        <v>18</v>
      </c>
      <c r="H14" s="56" t="s">
        <v>174</v>
      </c>
      <c r="I14" s="56" t="s">
        <v>481</v>
      </c>
      <c r="J14" s="56" t="s">
        <v>482</v>
      </c>
      <c r="K14" s="56" t="s">
        <v>483</v>
      </c>
      <c r="L14" s="59" t="s">
        <v>358</v>
      </c>
    </row>
    <row r="15" spans="1:12" ht="12.75">
      <c r="A15" s="29"/>
      <c r="B15" s="15"/>
      <c r="C15" s="15"/>
      <c r="D15" s="15"/>
      <c r="E15" s="15"/>
      <c r="F15" s="15"/>
      <c r="G15" s="15"/>
      <c r="H15" s="29"/>
      <c r="I15" s="29"/>
      <c r="J15" s="29"/>
      <c r="K15" s="29"/>
      <c r="L15" s="15"/>
    </row>
    <row r="16" spans="2:12" ht="15.75">
      <c r="B16" s="88" t="s">
        <v>69</v>
      </c>
      <c r="C16" s="88"/>
      <c r="D16" s="88"/>
      <c r="E16" s="88"/>
      <c r="F16" s="88"/>
      <c r="G16" s="88"/>
      <c r="H16" s="88"/>
      <c r="I16" s="88"/>
      <c r="J16" s="88"/>
      <c r="K16" s="88"/>
      <c r="L16" s="15"/>
    </row>
    <row r="17" spans="1:12" ht="12.75">
      <c r="A17" s="28" t="s">
        <v>352</v>
      </c>
      <c r="B17" s="59" t="s">
        <v>199</v>
      </c>
      <c r="C17" s="59" t="s">
        <v>200</v>
      </c>
      <c r="D17" s="59" t="s">
        <v>201</v>
      </c>
      <c r="E17" s="59" t="s">
        <v>484</v>
      </c>
      <c r="F17" s="59" t="s">
        <v>17</v>
      </c>
      <c r="G17" s="59" t="s">
        <v>18</v>
      </c>
      <c r="H17" s="56" t="s">
        <v>224</v>
      </c>
      <c r="I17" s="56" t="s">
        <v>485</v>
      </c>
      <c r="J17" s="56" t="s">
        <v>477</v>
      </c>
      <c r="K17" s="56" t="s">
        <v>486</v>
      </c>
      <c r="L17" s="59" t="s">
        <v>358</v>
      </c>
    </row>
    <row r="18" spans="1:12" ht="12.75">
      <c r="A18" s="29"/>
      <c r="B18" s="15"/>
      <c r="C18" s="15"/>
      <c r="D18" s="15"/>
      <c r="E18" s="15"/>
      <c r="F18" s="15"/>
      <c r="G18" s="15"/>
      <c r="H18" s="29"/>
      <c r="I18" s="29"/>
      <c r="J18" s="29"/>
      <c r="K18" s="29"/>
      <c r="L18" s="15"/>
    </row>
    <row r="19" spans="2:12" ht="15.75">
      <c r="B19" s="88" t="s">
        <v>123</v>
      </c>
      <c r="C19" s="88"/>
      <c r="D19" s="88"/>
      <c r="E19" s="88"/>
      <c r="F19" s="88"/>
      <c r="G19" s="88"/>
      <c r="H19" s="88"/>
      <c r="I19" s="88"/>
      <c r="J19" s="88"/>
      <c r="K19" s="88"/>
      <c r="L19" s="15"/>
    </row>
    <row r="20" spans="1:12" ht="12.75">
      <c r="A20" s="28" t="s">
        <v>352</v>
      </c>
      <c r="B20" s="59" t="s">
        <v>426</v>
      </c>
      <c r="C20" s="59" t="s">
        <v>487</v>
      </c>
      <c r="D20" s="59" t="s">
        <v>488</v>
      </c>
      <c r="E20" s="59" t="s">
        <v>489</v>
      </c>
      <c r="F20" s="59" t="s">
        <v>17</v>
      </c>
      <c r="G20" s="59" t="s">
        <v>337</v>
      </c>
      <c r="H20" s="56" t="s">
        <v>36</v>
      </c>
      <c r="I20" s="56" t="s">
        <v>490</v>
      </c>
      <c r="J20" s="56" t="s">
        <v>491</v>
      </c>
      <c r="K20" s="56" t="s">
        <v>492</v>
      </c>
      <c r="L20" s="59" t="s">
        <v>358</v>
      </c>
    </row>
    <row r="21" spans="1:12" ht="12.75">
      <c r="A21" s="29"/>
      <c r="B21" s="15"/>
      <c r="C21" s="15"/>
      <c r="D21" s="15"/>
      <c r="E21" s="15"/>
      <c r="F21" s="15"/>
      <c r="G21" s="15"/>
      <c r="H21" s="29"/>
      <c r="I21" s="29"/>
      <c r="J21" s="29"/>
      <c r="K21" s="29"/>
      <c r="L21" s="15"/>
    </row>
    <row r="22" spans="2:12" ht="15.75">
      <c r="B22" s="88" t="s">
        <v>493</v>
      </c>
      <c r="C22" s="88"/>
      <c r="D22" s="88"/>
      <c r="E22" s="88"/>
      <c r="F22" s="88"/>
      <c r="G22" s="88"/>
      <c r="H22" s="88"/>
      <c r="I22" s="88"/>
      <c r="J22" s="88"/>
      <c r="K22" s="88"/>
      <c r="L22" s="15"/>
    </row>
    <row r="23" spans="1:12" ht="12.75">
      <c r="A23" s="28" t="s">
        <v>352</v>
      </c>
      <c r="B23" s="59" t="s">
        <v>494</v>
      </c>
      <c r="C23" s="59" t="s">
        <v>495</v>
      </c>
      <c r="D23" s="59" t="s">
        <v>496</v>
      </c>
      <c r="E23" s="59" t="s">
        <v>497</v>
      </c>
      <c r="F23" s="59" t="s">
        <v>17</v>
      </c>
      <c r="G23" s="59" t="s">
        <v>51</v>
      </c>
      <c r="H23" s="56" t="s">
        <v>181</v>
      </c>
      <c r="I23" s="56" t="s">
        <v>498</v>
      </c>
      <c r="J23" s="56" t="s">
        <v>499</v>
      </c>
      <c r="K23" s="56" t="s">
        <v>500</v>
      </c>
      <c r="L23" s="59" t="s">
        <v>358</v>
      </c>
    </row>
    <row r="24" spans="1:12" ht="12.75">
      <c r="A24" s="29"/>
      <c r="B24" s="15"/>
      <c r="C24" s="15"/>
      <c r="D24" s="15"/>
      <c r="E24" s="15"/>
      <c r="F24" s="15"/>
      <c r="G24" s="15"/>
      <c r="H24" s="29"/>
      <c r="I24" s="29"/>
      <c r="J24" s="29"/>
      <c r="K24" s="29"/>
      <c r="L24" s="15"/>
    </row>
    <row r="25" spans="1:12" ht="12.75">
      <c r="A25" s="29"/>
      <c r="B25" s="15"/>
      <c r="C25" s="15"/>
      <c r="D25" s="15"/>
      <c r="E25" s="15"/>
      <c r="F25" s="15"/>
      <c r="G25" s="15"/>
      <c r="H25" s="29"/>
      <c r="I25" s="29"/>
      <c r="J25" s="29"/>
      <c r="K25" s="29"/>
      <c r="L25" s="15"/>
    </row>
    <row r="26" spans="1:12" ht="18">
      <c r="A26" s="29"/>
      <c r="B26" s="20" t="s">
        <v>128</v>
      </c>
      <c r="C26" s="20"/>
      <c r="D26" s="15"/>
      <c r="E26" s="15"/>
      <c r="F26" s="15"/>
      <c r="G26" s="15"/>
      <c r="H26" s="29"/>
      <c r="I26" s="29"/>
      <c r="J26" s="29"/>
      <c r="K26" s="29"/>
      <c r="L26" s="15"/>
    </row>
    <row r="27" spans="1:12" ht="18">
      <c r="A27" s="29"/>
      <c r="B27" s="20"/>
      <c r="C27" s="20"/>
      <c r="D27" s="15"/>
      <c r="E27" s="15"/>
      <c r="F27" s="15"/>
      <c r="G27" s="15"/>
      <c r="H27" s="29"/>
      <c r="I27" s="29"/>
      <c r="J27" s="29"/>
      <c r="K27" s="29"/>
      <c r="L27" s="15"/>
    </row>
    <row r="28" spans="1:12" ht="15.75">
      <c r="A28" s="29"/>
      <c r="B28" s="21" t="s">
        <v>129</v>
      </c>
      <c r="C28" s="21"/>
      <c r="D28" s="15"/>
      <c r="E28" s="15"/>
      <c r="F28" s="15"/>
      <c r="G28" s="15"/>
      <c r="H28" s="29"/>
      <c r="I28" s="29"/>
      <c r="J28" s="29"/>
      <c r="K28" s="29"/>
      <c r="L28" s="15"/>
    </row>
    <row r="29" spans="1:12" ht="13.5">
      <c r="A29" s="29"/>
      <c r="B29" s="49" t="s">
        <v>139</v>
      </c>
      <c r="C29" s="23"/>
      <c r="D29" s="15"/>
      <c r="E29" s="15"/>
      <c r="F29" s="15"/>
      <c r="G29" s="15"/>
      <c r="H29" s="29"/>
      <c r="I29" s="29"/>
      <c r="J29" s="29"/>
      <c r="K29" s="29"/>
      <c r="L29" s="15"/>
    </row>
    <row r="30" spans="1:12" ht="13.5">
      <c r="A30" s="29"/>
      <c r="B30" s="24" t="s">
        <v>131</v>
      </c>
      <c r="C30" s="60" t="s">
        <v>132</v>
      </c>
      <c r="D30" s="60" t="s">
        <v>133</v>
      </c>
      <c r="E30" s="60" t="s">
        <v>134</v>
      </c>
      <c r="F30" s="60" t="s">
        <v>501</v>
      </c>
      <c r="G30" s="15"/>
      <c r="H30" s="29"/>
      <c r="I30" s="29"/>
      <c r="J30" s="29"/>
      <c r="K30" s="29"/>
      <c r="L30" s="15"/>
    </row>
    <row r="31" spans="1:12" ht="12.75">
      <c r="A31" s="29" t="s">
        <v>352</v>
      </c>
      <c r="B31" s="22" t="s">
        <v>426</v>
      </c>
      <c r="C31" s="27" t="s">
        <v>139</v>
      </c>
      <c r="D31" s="27" t="s">
        <v>502</v>
      </c>
      <c r="E31" s="27" t="s">
        <v>503</v>
      </c>
      <c r="F31" s="29" t="s">
        <v>492</v>
      </c>
      <c r="G31" s="15"/>
      <c r="H31" s="29"/>
      <c r="I31" s="29"/>
      <c r="J31" s="29"/>
      <c r="K31" s="29"/>
      <c r="L31" s="15"/>
    </row>
    <row r="32" spans="1:12" ht="12.75">
      <c r="A32" s="29" t="s">
        <v>354</v>
      </c>
      <c r="B32" s="22" t="s">
        <v>465</v>
      </c>
      <c r="C32" s="27" t="s">
        <v>139</v>
      </c>
      <c r="D32" s="27" t="s">
        <v>146</v>
      </c>
      <c r="E32" s="27" t="s">
        <v>504</v>
      </c>
      <c r="F32" s="29" t="s">
        <v>472</v>
      </c>
      <c r="G32" s="15"/>
      <c r="H32" s="29"/>
      <c r="I32" s="29"/>
      <c r="J32" s="29"/>
      <c r="K32" s="29"/>
      <c r="L32" s="15"/>
    </row>
    <row r="33" spans="1:12" ht="12.75">
      <c r="A33" s="29" t="s">
        <v>355</v>
      </c>
      <c r="B33" s="22" t="s">
        <v>474</v>
      </c>
      <c r="C33" s="27" t="s">
        <v>139</v>
      </c>
      <c r="D33" s="27" t="s">
        <v>146</v>
      </c>
      <c r="E33" s="27" t="s">
        <v>505</v>
      </c>
      <c r="F33" s="29" t="s">
        <v>478</v>
      </c>
      <c r="G33" s="15"/>
      <c r="H33" s="29"/>
      <c r="I33" s="29"/>
      <c r="J33" s="29"/>
      <c r="K33" s="29"/>
      <c r="L33" s="15"/>
    </row>
    <row r="34" spans="1:12" ht="12.75">
      <c r="A34" s="29"/>
      <c r="B34" s="15"/>
      <c r="C34" s="15"/>
      <c r="D34" s="15"/>
      <c r="E34" s="15"/>
      <c r="F34" s="15"/>
      <c r="G34" s="15"/>
      <c r="H34" s="29"/>
      <c r="I34" s="29"/>
      <c r="J34" s="29"/>
      <c r="K34" s="29"/>
      <c r="L34" s="15"/>
    </row>
    <row r="35" spans="1:12" ht="12.75">
      <c r="A35" s="29"/>
      <c r="B35" s="15"/>
      <c r="C35" s="15"/>
      <c r="D35" s="15"/>
      <c r="E35" s="15"/>
      <c r="F35" s="15"/>
      <c r="G35" s="15"/>
      <c r="H35" s="29"/>
      <c r="I35" s="29"/>
      <c r="J35" s="29"/>
      <c r="K35" s="29"/>
      <c r="L35" s="15"/>
    </row>
    <row r="36" spans="1:12" ht="12.75">
      <c r="A36" s="29"/>
      <c r="B36" s="15"/>
      <c r="C36" s="15"/>
      <c r="D36" s="15"/>
      <c r="E36" s="15"/>
      <c r="F36" s="15"/>
      <c r="G36" s="15"/>
      <c r="H36" s="29"/>
      <c r="I36" s="29"/>
      <c r="J36" s="29"/>
      <c r="K36" s="29"/>
      <c r="L36" s="15"/>
    </row>
    <row r="37" spans="1:12" ht="12.75">
      <c r="A37" s="29"/>
      <c r="B37" s="15"/>
      <c r="C37" s="15"/>
      <c r="D37" s="15"/>
      <c r="E37" s="15"/>
      <c r="F37" s="15"/>
      <c r="G37" s="15"/>
      <c r="H37" s="29"/>
      <c r="I37" s="29"/>
      <c r="J37" s="29"/>
      <c r="K37" s="29"/>
      <c r="L37" s="15"/>
    </row>
    <row r="38" spans="1:12" ht="12.75">
      <c r="A38" s="29"/>
      <c r="B38" s="15"/>
      <c r="C38" s="15"/>
      <c r="D38" s="15"/>
      <c r="E38" s="15"/>
      <c r="F38" s="15"/>
      <c r="G38" s="15"/>
      <c r="H38" s="29"/>
      <c r="I38" s="29"/>
      <c r="J38" s="29"/>
      <c r="K38" s="29"/>
      <c r="L38" s="15"/>
    </row>
    <row r="39" spans="1:12" ht="12.75">
      <c r="A39" s="29"/>
      <c r="B39" s="15"/>
      <c r="C39" s="15"/>
      <c r="D39" s="15"/>
      <c r="E39" s="15"/>
      <c r="F39" s="15"/>
      <c r="G39" s="15"/>
      <c r="H39" s="29"/>
      <c r="I39" s="29"/>
      <c r="J39" s="29"/>
      <c r="K39" s="29"/>
      <c r="L39" s="15"/>
    </row>
    <row r="40" spans="1:12" ht="12.75">
      <c r="A40" s="29"/>
      <c r="B40" s="15"/>
      <c r="C40" s="15"/>
      <c r="D40" s="15"/>
      <c r="E40" s="15"/>
      <c r="F40" s="15"/>
      <c r="G40" s="15"/>
      <c r="H40" s="29"/>
      <c r="I40" s="29"/>
      <c r="J40" s="29"/>
      <c r="K40" s="29"/>
      <c r="L40" s="15"/>
    </row>
    <row r="41" spans="1:12" ht="12.75">
      <c r="A41" s="29"/>
      <c r="B41" s="15"/>
      <c r="C41" s="15"/>
      <c r="D41" s="15"/>
      <c r="E41" s="15"/>
      <c r="F41" s="15"/>
      <c r="G41" s="15"/>
      <c r="H41" s="29"/>
      <c r="I41" s="29"/>
      <c r="J41" s="29"/>
      <c r="K41" s="29"/>
      <c r="L41" s="15"/>
    </row>
    <row r="42" spans="1:12" ht="12.75">
      <c r="A42" s="29"/>
      <c r="B42" s="15"/>
      <c r="C42" s="15"/>
      <c r="D42" s="15"/>
      <c r="E42" s="15"/>
      <c r="F42" s="15"/>
      <c r="G42" s="15"/>
      <c r="H42" s="29"/>
      <c r="I42" s="29"/>
      <c r="J42" s="29"/>
      <c r="K42" s="29"/>
      <c r="L42" s="15"/>
    </row>
    <row r="43" spans="1:12" ht="12.75">
      <c r="A43" s="29"/>
      <c r="B43" s="15"/>
      <c r="C43" s="15"/>
      <c r="D43" s="15"/>
      <c r="E43" s="15"/>
      <c r="F43" s="15"/>
      <c r="G43" s="15"/>
      <c r="H43" s="29"/>
      <c r="I43" s="29"/>
      <c r="J43" s="29"/>
      <c r="K43" s="29"/>
      <c r="L43" s="15"/>
    </row>
  </sheetData>
  <sheetProtection/>
  <mergeCells count="21">
    <mergeCell ref="M1:M2"/>
    <mergeCell ref="A4:A5"/>
    <mergeCell ref="B4:B5"/>
    <mergeCell ref="D4:D5"/>
    <mergeCell ref="E4:E5"/>
    <mergeCell ref="F4:F5"/>
    <mergeCell ref="L4:L5"/>
    <mergeCell ref="B6:K6"/>
    <mergeCell ref="A1:A2"/>
    <mergeCell ref="B1:L1"/>
    <mergeCell ref="B2:L2"/>
    <mergeCell ref="B3:L3"/>
    <mergeCell ref="B9:K9"/>
    <mergeCell ref="B13:K13"/>
    <mergeCell ref="B16:K16"/>
    <mergeCell ref="B19:K19"/>
    <mergeCell ref="B22:K22"/>
    <mergeCell ref="G4:G5"/>
    <mergeCell ref="H4:I4"/>
    <mergeCell ref="J4:J5"/>
    <mergeCell ref="K4:K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9"/>
  <sheetViews>
    <sheetView workbookViewId="0" topLeftCell="A1">
      <selection activeCell="D24" sqref="D24"/>
    </sheetView>
  </sheetViews>
  <sheetFormatPr defaultColWidth="8.75390625" defaultRowHeight="12.75"/>
  <cols>
    <col min="1" max="1" width="7.875" style="29" bestFit="1" customWidth="1"/>
    <col min="2" max="2" width="24.25390625" style="15" customWidth="1"/>
    <col min="3" max="3" width="27.125" style="15" bestFit="1" customWidth="1"/>
    <col min="4" max="4" width="10.75390625" style="15" customWidth="1"/>
    <col min="5" max="5" width="8.375" style="15" bestFit="1" customWidth="1"/>
    <col min="6" max="6" width="11.375" style="15" customWidth="1"/>
    <col min="7" max="7" width="21.875" style="15" customWidth="1"/>
    <col min="8" max="10" width="5.625" style="15" bestFit="1" customWidth="1"/>
    <col min="11" max="11" width="4.625" style="15" bestFit="1" customWidth="1"/>
    <col min="12" max="14" width="5.625" style="15" bestFit="1" customWidth="1"/>
    <col min="15" max="15" width="4.625" style="15" bestFit="1" customWidth="1"/>
    <col min="16" max="18" width="5.625" style="15" bestFit="1" customWidth="1"/>
    <col min="19" max="19" width="4.625" style="15" bestFit="1" customWidth="1"/>
    <col min="20" max="20" width="7.875" style="29" bestFit="1" customWidth="1"/>
    <col min="21" max="21" width="8.625" style="15" bestFit="1" customWidth="1"/>
    <col min="22" max="22" width="18.625" style="15" customWidth="1"/>
  </cols>
  <sheetData>
    <row r="1" spans="2:22" s="1" customFormat="1" ht="15" customHeight="1">
      <c r="B1" s="69" t="s">
        <v>356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1"/>
    </row>
    <row r="2" spans="2:22" s="1" customFormat="1" ht="81.75" customHeight="1" thickBot="1"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4"/>
    </row>
    <row r="3" spans="1:22" s="2" customFormat="1" ht="12.75" customHeight="1">
      <c r="A3" s="64" t="s">
        <v>351</v>
      </c>
      <c r="B3" s="79" t="s">
        <v>0</v>
      </c>
      <c r="C3" s="77" t="s">
        <v>10</v>
      </c>
      <c r="D3" s="77" t="s">
        <v>11</v>
      </c>
      <c r="E3" s="64" t="s">
        <v>12</v>
      </c>
      <c r="F3" s="64" t="s">
        <v>7</v>
      </c>
      <c r="G3" s="64" t="s">
        <v>9</v>
      </c>
      <c r="H3" s="64" t="s">
        <v>1</v>
      </c>
      <c r="I3" s="64"/>
      <c r="J3" s="64"/>
      <c r="K3" s="64"/>
      <c r="L3" s="64" t="s">
        <v>2</v>
      </c>
      <c r="M3" s="64"/>
      <c r="N3" s="64"/>
      <c r="O3" s="64"/>
      <c r="P3" s="64" t="s">
        <v>3</v>
      </c>
      <c r="Q3" s="64"/>
      <c r="R3" s="64"/>
      <c r="S3" s="64"/>
      <c r="T3" s="64" t="s">
        <v>4</v>
      </c>
      <c r="U3" s="64" t="s">
        <v>6</v>
      </c>
      <c r="V3" s="66" t="s">
        <v>5</v>
      </c>
    </row>
    <row r="4" spans="1:22" s="2" customFormat="1" ht="21" customHeight="1" thickBot="1">
      <c r="A4" s="65"/>
      <c r="B4" s="80"/>
      <c r="C4" s="65"/>
      <c r="D4" s="78"/>
      <c r="E4" s="65"/>
      <c r="F4" s="65"/>
      <c r="G4" s="65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65"/>
      <c r="U4" s="65"/>
      <c r="V4" s="67"/>
    </row>
    <row r="5" spans="1:21" ht="15.75">
      <c r="A5"/>
      <c r="B5" s="68" t="s">
        <v>302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</row>
    <row r="6" spans="1:22" ht="12.75">
      <c r="A6" s="28" t="s">
        <v>352</v>
      </c>
      <c r="B6" s="16" t="s">
        <v>418</v>
      </c>
      <c r="C6" s="16" t="s">
        <v>303</v>
      </c>
      <c r="D6" s="16" t="s">
        <v>304</v>
      </c>
      <c r="E6" s="16" t="str">
        <f>"0,8081"</f>
        <v>0,8081</v>
      </c>
      <c r="F6" s="16" t="s">
        <v>17</v>
      </c>
      <c r="G6" s="16" t="s">
        <v>51</v>
      </c>
      <c r="H6" s="31" t="s">
        <v>208</v>
      </c>
      <c r="I6" s="31" t="s">
        <v>122</v>
      </c>
      <c r="J6" s="30" t="s">
        <v>126</v>
      </c>
      <c r="K6" s="17"/>
      <c r="L6" s="31" t="s">
        <v>73</v>
      </c>
      <c r="M6" s="30" t="s">
        <v>75</v>
      </c>
      <c r="N6" s="30" t="s">
        <v>75</v>
      </c>
      <c r="O6" s="17"/>
      <c r="P6" s="31" t="s">
        <v>181</v>
      </c>
      <c r="Q6" s="31" t="s">
        <v>184</v>
      </c>
      <c r="R6" s="31" t="s">
        <v>79</v>
      </c>
      <c r="S6" s="17"/>
      <c r="T6" s="28">
        <v>390</v>
      </c>
      <c r="U6" s="16" t="str">
        <f>"315,1590"</f>
        <v>315,1590</v>
      </c>
      <c r="V6" s="16" t="s">
        <v>30</v>
      </c>
    </row>
    <row r="8" spans="1:21" ht="15.75">
      <c r="A8"/>
      <c r="B8" s="81" t="s">
        <v>69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</row>
    <row r="9" spans="1:22" ht="12.75">
      <c r="A9" s="28" t="s">
        <v>352</v>
      </c>
      <c r="B9" s="16" t="s">
        <v>419</v>
      </c>
      <c r="C9" s="16" t="s">
        <v>306</v>
      </c>
      <c r="D9" s="16" t="s">
        <v>307</v>
      </c>
      <c r="E9" s="16" t="str">
        <f>"0,6495"</f>
        <v>0,6495</v>
      </c>
      <c r="F9" s="16" t="s">
        <v>17</v>
      </c>
      <c r="G9" s="16" t="s">
        <v>393</v>
      </c>
      <c r="H9" s="31" t="s">
        <v>98</v>
      </c>
      <c r="I9" s="31" t="s">
        <v>247</v>
      </c>
      <c r="J9" s="17"/>
      <c r="K9" s="17"/>
      <c r="L9" s="31" t="s">
        <v>46</v>
      </c>
      <c r="M9" s="31" t="s">
        <v>181</v>
      </c>
      <c r="N9" s="31" t="s">
        <v>84</v>
      </c>
      <c r="O9" s="17"/>
      <c r="P9" s="31" t="s">
        <v>248</v>
      </c>
      <c r="Q9" s="31" t="s">
        <v>253</v>
      </c>
      <c r="R9" s="31" t="s">
        <v>269</v>
      </c>
      <c r="S9" s="17"/>
      <c r="T9" s="28">
        <v>565</v>
      </c>
      <c r="U9" s="16" t="str">
        <f>"366,9675"</f>
        <v>366,9675</v>
      </c>
      <c r="V9" s="16" t="s">
        <v>417</v>
      </c>
    </row>
  </sheetData>
  <sheetProtection/>
  <mergeCells count="16">
    <mergeCell ref="T3:T4"/>
    <mergeCell ref="U3:U4"/>
    <mergeCell ref="V3:V4"/>
    <mergeCell ref="B5:U5"/>
    <mergeCell ref="B8:U8"/>
    <mergeCell ref="A3:A4"/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P3:S3"/>
  </mergeCells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V6"/>
  <sheetViews>
    <sheetView workbookViewId="0" topLeftCell="A1">
      <selection activeCell="U20" sqref="U20"/>
    </sheetView>
  </sheetViews>
  <sheetFormatPr defaultColWidth="8.75390625" defaultRowHeight="12.75"/>
  <cols>
    <col min="1" max="1" width="7.875" style="29" bestFit="1" customWidth="1"/>
    <col min="2" max="2" width="26.375" style="15" customWidth="1"/>
    <col min="3" max="3" width="27.875" style="15" customWidth="1"/>
    <col min="4" max="4" width="12.25390625" style="15" bestFit="1" customWidth="1"/>
    <col min="5" max="5" width="8.375" style="15" bestFit="1" customWidth="1"/>
    <col min="6" max="6" width="13.125" style="15" customWidth="1"/>
    <col min="7" max="7" width="13.625" style="15" customWidth="1"/>
    <col min="8" max="10" width="5.625" style="15" bestFit="1" customWidth="1"/>
    <col min="11" max="11" width="4.625" style="15" bestFit="1" customWidth="1"/>
    <col min="12" max="14" width="5.625" style="15" bestFit="1" customWidth="1"/>
    <col min="15" max="15" width="4.625" style="15" bestFit="1" customWidth="1"/>
    <col min="16" max="18" width="5.625" style="15" bestFit="1" customWidth="1"/>
    <col min="19" max="19" width="4.625" style="15" bestFit="1" customWidth="1"/>
    <col min="20" max="20" width="7.875" style="29" bestFit="1" customWidth="1"/>
    <col min="21" max="21" width="8.625" style="15" bestFit="1" customWidth="1"/>
    <col min="22" max="22" width="14.375" style="15" customWidth="1"/>
  </cols>
  <sheetData>
    <row r="1" spans="2:22" s="1" customFormat="1" ht="15" customHeight="1">
      <c r="B1" s="69" t="s">
        <v>415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1"/>
    </row>
    <row r="2" spans="2:22" s="1" customFormat="1" ht="81.75" customHeight="1" thickBot="1"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4"/>
    </row>
    <row r="3" spans="1:22" s="2" customFormat="1" ht="12.75" customHeight="1">
      <c r="A3" s="64" t="s">
        <v>351</v>
      </c>
      <c r="B3" s="79" t="s">
        <v>0</v>
      </c>
      <c r="C3" s="77" t="s">
        <v>10</v>
      </c>
      <c r="D3" s="77" t="s">
        <v>11</v>
      </c>
      <c r="E3" s="64" t="s">
        <v>12</v>
      </c>
      <c r="F3" s="64" t="s">
        <v>7</v>
      </c>
      <c r="G3" s="64" t="s">
        <v>9</v>
      </c>
      <c r="H3" s="64" t="s">
        <v>1</v>
      </c>
      <c r="I3" s="64"/>
      <c r="J3" s="64"/>
      <c r="K3" s="64"/>
      <c r="L3" s="64" t="s">
        <v>2</v>
      </c>
      <c r="M3" s="64"/>
      <c r="N3" s="64"/>
      <c r="O3" s="64"/>
      <c r="P3" s="64" t="s">
        <v>3</v>
      </c>
      <c r="Q3" s="64"/>
      <c r="R3" s="64"/>
      <c r="S3" s="64"/>
      <c r="T3" s="64" t="s">
        <v>4</v>
      </c>
      <c r="U3" s="64" t="s">
        <v>6</v>
      </c>
      <c r="V3" s="66" t="s">
        <v>5</v>
      </c>
    </row>
    <row r="4" spans="1:22" s="2" customFormat="1" ht="21" customHeight="1" thickBot="1">
      <c r="A4" s="65"/>
      <c r="B4" s="80"/>
      <c r="C4" s="65"/>
      <c r="D4" s="78"/>
      <c r="E4" s="65"/>
      <c r="F4" s="65"/>
      <c r="G4" s="65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65"/>
      <c r="U4" s="65"/>
      <c r="V4" s="67"/>
    </row>
    <row r="5" spans="1:21" ht="15.75">
      <c r="A5"/>
      <c r="B5" s="68" t="s">
        <v>69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</row>
    <row r="6" spans="1:22" ht="12.75">
      <c r="A6" s="28" t="s">
        <v>352</v>
      </c>
      <c r="B6" s="16" t="s">
        <v>416</v>
      </c>
      <c r="C6" s="16" t="s">
        <v>301</v>
      </c>
      <c r="D6" s="16" t="s">
        <v>295</v>
      </c>
      <c r="E6" s="16" t="str">
        <f>"0,6428"</f>
        <v>0,6428</v>
      </c>
      <c r="F6" s="16" t="s">
        <v>17</v>
      </c>
      <c r="G6" s="16" t="s">
        <v>51</v>
      </c>
      <c r="H6" s="31" t="s">
        <v>269</v>
      </c>
      <c r="I6" s="31" t="s">
        <v>257</v>
      </c>
      <c r="J6" s="30" t="s">
        <v>264</v>
      </c>
      <c r="K6" s="17"/>
      <c r="L6" s="31" t="s">
        <v>25</v>
      </c>
      <c r="M6" s="31" t="s">
        <v>208</v>
      </c>
      <c r="N6" s="30" t="s">
        <v>27</v>
      </c>
      <c r="O6" s="17"/>
      <c r="P6" s="31" t="s">
        <v>269</v>
      </c>
      <c r="Q6" s="31" t="s">
        <v>263</v>
      </c>
      <c r="R6" s="30" t="s">
        <v>264</v>
      </c>
      <c r="S6" s="17"/>
      <c r="T6" s="28">
        <v>645</v>
      </c>
      <c r="U6" s="16" t="str">
        <f>"414,6060"</f>
        <v>414,6060</v>
      </c>
      <c r="V6" s="16" t="s">
        <v>358</v>
      </c>
    </row>
  </sheetData>
  <sheetProtection/>
  <mergeCells count="15">
    <mergeCell ref="U3:U4"/>
    <mergeCell ref="V3:V4"/>
    <mergeCell ref="B5:U5"/>
    <mergeCell ref="A3:A4"/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P3:S3"/>
    <mergeCell ref="T3:T4"/>
  </mergeCells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8"/>
  <sheetViews>
    <sheetView workbookViewId="0" topLeftCell="A1">
      <selection activeCell="V18" sqref="V18"/>
    </sheetView>
  </sheetViews>
  <sheetFormatPr defaultColWidth="8.75390625" defaultRowHeight="12.75"/>
  <cols>
    <col min="1" max="1" width="7.875" style="29" bestFit="1" customWidth="1"/>
    <col min="2" max="2" width="24.375" style="15" customWidth="1"/>
    <col min="3" max="3" width="29.125" style="15" customWidth="1"/>
    <col min="4" max="4" width="12.25390625" style="15" bestFit="1" customWidth="1"/>
    <col min="5" max="5" width="8.375" style="15" bestFit="1" customWidth="1"/>
    <col min="6" max="6" width="11.25390625" style="15" customWidth="1"/>
    <col min="7" max="7" width="28.625" style="15" bestFit="1" customWidth="1"/>
    <col min="8" max="10" width="5.625" style="15" bestFit="1" customWidth="1"/>
    <col min="11" max="11" width="4.625" style="15" bestFit="1" customWidth="1"/>
    <col min="12" max="14" width="5.625" style="15" bestFit="1" customWidth="1"/>
    <col min="15" max="15" width="4.625" style="15" bestFit="1" customWidth="1"/>
    <col min="16" max="18" width="5.625" style="15" bestFit="1" customWidth="1"/>
    <col min="19" max="19" width="4.625" style="15" bestFit="1" customWidth="1"/>
    <col min="20" max="20" width="7.875" style="29" bestFit="1" customWidth="1"/>
    <col min="21" max="21" width="8.625" style="15" bestFit="1" customWidth="1"/>
    <col min="22" max="22" width="16.75390625" style="15" customWidth="1"/>
  </cols>
  <sheetData>
    <row r="1" spans="2:22" s="1" customFormat="1" ht="15" customHeight="1">
      <c r="B1" s="69" t="s">
        <v>410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1"/>
    </row>
    <row r="2" spans="2:22" s="1" customFormat="1" ht="81.75" customHeight="1" thickBot="1"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4"/>
    </row>
    <row r="3" spans="1:22" s="2" customFormat="1" ht="12.75" customHeight="1">
      <c r="A3" s="64" t="s">
        <v>351</v>
      </c>
      <c r="B3" s="79" t="s">
        <v>0</v>
      </c>
      <c r="C3" s="77" t="s">
        <v>10</v>
      </c>
      <c r="D3" s="77" t="s">
        <v>11</v>
      </c>
      <c r="E3" s="64" t="s">
        <v>12</v>
      </c>
      <c r="F3" s="64" t="s">
        <v>7</v>
      </c>
      <c r="G3" s="64" t="s">
        <v>9</v>
      </c>
      <c r="H3" s="64" t="s">
        <v>1</v>
      </c>
      <c r="I3" s="64"/>
      <c r="J3" s="64"/>
      <c r="K3" s="64"/>
      <c r="L3" s="64" t="s">
        <v>2</v>
      </c>
      <c r="M3" s="64"/>
      <c r="N3" s="64"/>
      <c r="O3" s="64"/>
      <c r="P3" s="64" t="s">
        <v>3</v>
      </c>
      <c r="Q3" s="64"/>
      <c r="R3" s="64"/>
      <c r="S3" s="64"/>
      <c r="T3" s="64" t="s">
        <v>4</v>
      </c>
      <c r="U3" s="64" t="s">
        <v>6</v>
      </c>
      <c r="V3" s="66" t="s">
        <v>5</v>
      </c>
    </row>
    <row r="4" spans="1:22" s="2" customFormat="1" ht="21" customHeight="1" thickBot="1">
      <c r="A4" s="65"/>
      <c r="B4" s="80"/>
      <c r="C4" s="65"/>
      <c r="D4" s="78"/>
      <c r="E4" s="65"/>
      <c r="F4" s="65"/>
      <c r="G4" s="65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65"/>
      <c r="U4" s="65"/>
      <c r="V4" s="67"/>
    </row>
    <row r="5" spans="1:21" ht="15.75">
      <c r="A5"/>
      <c r="B5" s="68" t="s">
        <v>285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</row>
    <row r="6" spans="1:22" ht="12.75">
      <c r="A6" s="28" t="s">
        <v>352</v>
      </c>
      <c r="B6" s="16" t="s">
        <v>414</v>
      </c>
      <c r="C6" s="16" t="s">
        <v>286</v>
      </c>
      <c r="D6" s="16" t="s">
        <v>287</v>
      </c>
      <c r="E6" s="16" t="str">
        <f>"1,3532"</f>
        <v>1,3532</v>
      </c>
      <c r="F6" s="16" t="s">
        <v>17</v>
      </c>
      <c r="G6" s="16" t="s">
        <v>164</v>
      </c>
      <c r="H6" s="31" t="s">
        <v>173</v>
      </c>
      <c r="I6" s="30" t="s">
        <v>73</v>
      </c>
      <c r="J6" s="30" t="s">
        <v>73</v>
      </c>
      <c r="K6" s="17"/>
      <c r="L6" s="31" t="s">
        <v>236</v>
      </c>
      <c r="M6" s="31" t="s">
        <v>237</v>
      </c>
      <c r="N6" s="30" t="s">
        <v>288</v>
      </c>
      <c r="O6" s="17"/>
      <c r="P6" s="31" t="s">
        <v>74</v>
      </c>
      <c r="Q6" s="31" t="s">
        <v>229</v>
      </c>
      <c r="R6" s="31" t="s">
        <v>224</v>
      </c>
      <c r="S6" s="17"/>
      <c r="T6" s="28">
        <v>197.5</v>
      </c>
      <c r="U6" s="16" t="str">
        <f>"267,2570"</f>
        <v>267,2570</v>
      </c>
      <c r="V6" s="16" t="s">
        <v>358</v>
      </c>
    </row>
    <row r="8" spans="1:21" ht="15.75">
      <c r="A8"/>
      <c r="B8" s="81" t="s">
        <v>160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</row>
    <row r="9" spans="1:22" ht="12.75">
      <c r="A9" s="28" t="s">
        <v>352</v>
      </c>
      <c r="B9" s="16" t="s">
        <v>413</v>
      </c>
      <c r="C9" s="16" t="s">
        <v>289</v>
      </c>
      <c r="D9" s="16" t="s">
        <v>290</v>
      </c>
      <c r="E9" s="16" t="str">
        <f>"1,2002"</f>
        <v>1,2002</v>
      </c>
      <c r="F9" s="16" t="s">
        <v>17</v>
      </c>
      <c r="G9" s="16" t="s">
        <v>164</v>
      </c>
      <c r="H9" s="31" t="s">
        <v>74</v>
      </c>
      <c r="I9" s="30" t="s">
        <v>291</v>
      </c>
      <c r="J9" s="31" t="s">
        <v>291</v>
      </c>
      <c r="K9" s="17"/>
      <c r="L9" s="31" t="s">
        <v>288</v>
      </c>
      <c r="M9" s="30" t="s">
        <v>292</v>
      </c>
      <c r="N9" s="30" t="s">
        <v>292</v>
      </c>
      <c r="O9" s="17"/>
      <c r="P9" s="31" t="s">
        <v>74</v>
      </c>
      <c r="Q9" s="30" t="s">
        <v>224</v>
      </c>
      <c r="R9" s="30" t="s">
        <v>224</v>
      </c>
      <c r="S9" s="17"/>
      <c r="T9" s="28">
        <v>207.5</v>
      </c>
      <c r="U9" s="16" t="str">
        <f>"249,0415"</f>
        <v>249,0415</v>
      </c>
      <c r="V9" s="16" t="s">
        <v>358</v>
      </c>
    </row>
    <row r="11" spans="1:21" ht="15.75">
      <c r="A11"/>
      <c r="B11" s="81" t="s">
        <v>31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</row>
    <row r="12" spans="1:22" ht="12.75">
      <c r="A12" s="28" t="s">
        <v>352</v>
      </c>
      <c r="B12" s="16" t="s">
        <v>412</v>
      </c>
      <c r="C12" s="16" t="s">
        <v>293</v>
      </c>
      <c r="D12" s="16" t="s">
        <v>183</v>
      </c>
      <c r="E12" s="16" t="str">
        <f>"0,7179"</f>
        <v>0,7179</v>
      </c>
      <c r="F12" s="16" t="s">
        <v>17</v>
      </c>
      <c r="G12" s="16" t="s">
        <v>18</v>
      </c>
      <c r="H12" s="31" t="s">
        <v>181</v>
      </c>
      <c r="I12" s="30" t="s">
        <v>63</v>
      </c>
      <c r="J12" s="31" t="s">
        <v>84</v>
      </c>
      <c r="K12" s="17"/>
      <c r="L12" s="31" t="s">
        <v>67</v>
      </c>
      <c r="M12" s="31" t="s">
        <v>68</v>
      </c>
      <c r="N12" s="30" t="s">
        <v>37</v>
      </c>
      <c r="O12" s="17"/>
      <c r="P12" s="31" t="s">
        <v>25</v>
      </c>
      <c r="Q12" s="31" t="s">
        <v>208</v>
      </c>
      <c r="R12" s="31" t="s">
        <v>122</v>
      </c>
      <c r="S12" s="17"/>
      <c r="T12" s="28">
        <v>417.5</v>
      </c>
      <c r="U12" s="16" t="str">
        <f>"299,7232"</f>
        <v>299,7232</v>
      </c>
      <c r="V12" s="16" t="s">
        <v>358</v>
      </c>
    </row>
    <row r="14" spans="1:21" ht="15.75">
      <c r="A14"/>
      <c r="B14" s="81" t="s">
        <v>69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</row>
    <row r="15" spans="1:22" ht="12.75">
      <c r="A15" s="28" t="s">
        <v>352</v>
      </c>
      <c r="B15" s="16" t="s">
        <v>411</v>
      </c>
      <c r="C15" s="16" t="s">
        <v>294</v>
      </c>
      <c r="D15" s="16" t="s">
        <v>295</v>
      </c>
      <c r="E15" s="16" t="str">
        <f>"0,6428"</f>
        <v>0,6428</v>
      </c>
      <c r="F15" s="16" t="s">
        <v>17</v>
      </c>
      <c r="G15" s="16" t="s">
        <v>18</v>
      </c>
      <c r="H15" s="31" t="s">
        <v>25</v>
      </c>
      <c r="I15" s="31" t="s">
        <v>122</v>
      </c>
      <c r="J15" s="30" t="s">
        <v>126</v>
      </c>
      <c r="K15" s="17"/>
      <c r="L15" s="31" t="s">
        <v>46</v>
      </c>
      <c r="M15" s="31" t="s">
        <v>62</v>
      </c>
      <c r="N15" s="30" t="s">
        <v>181</v>
      </c>
      <c r="O15" s="17"/>
      <c r="P15" s="31" t="s">
        <v>114</v>
      </c>
      <c r="Q15" s="31" t="s">
        <v>261</v>
      </c>
      <c r="R15" s="30" t="s">
        <v>253</v>
      </c>
      <c r="S15" s="17"/>
      <c r="T15" s="28">
        <v>502.5</v>
      </c>
      <c r="U15" s="16" t="str">
        <f>"323,0070"</f>
        <v>323,0070</v>
      </c>
      <c r="V15" s="16" t="s">
        <v>358</v>
      </c>
    </row>
    <row r="17" spans="1:21" ht="15.75">
      <c r="A17"/>
      <c r="B17" s="81" t="s">
        <v>123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</row>
    <row r="18" spans="1:22" ht="12.75">
      <c r="A18" s="28"/>
      <c r="B18" s="16" t="s">
        <v>296</v>
      </c>
      <c r="C18" s="16" t="s">
        <v>297</v>
      </c>
      <c r="D18" s="16" t="s">
        <v>298</v>
      </c>
      <c r="E18" s="16" t="str">
        <f>"0,5730"</f>
        <v>0,5730</v>
      </c>
      <c r="F18" s="16" t="s">
        <v>17</v>
      </c>
      <c r="G18" s="16" t="s">
        <v>51</v>
      </c>
      <c r="H18" s="31" t="s">
        <v>253</v>
      </c>
      <c r="I18" s="30" t="s">
        <v>299</v>
      </c>
      <c r="J18" s="17"/>
      <c r="K18" s="17"/>
      <c r="L18" s="31" t="s">
        <v>208</v>
      </c>
      <c r="M18" s="31" t="s">
        <v>28</v>
      </c>
      <c r="N18" s="30" t="s">
        <v>122</v>
      </c>
      <c r="O18" s="17"/>
      <c r="P18" s="30" t="s">
        <v>300</v>
      </c>
      <c r="Q18" s="30" t="s">
        <v>300</v>
      </c>
      <c r="R18" s="30" t="s">
        <v>300</v>
      </c>
      <c r="S18" s="17"/>
      <c r="T18" s="28">
        <v>0</v>
      </c>
      <c r="U18" s="16" t="str">
        <f>"0,0000"</f>
        <v>0,0000</v>
      </c>
      <c r="V18" s="16" t="s">
        <v>358</v>
      </c>
    </row>
  </sheetData>
  <sheetProtection/>
  <mergeCells count="19">
    <mergeCell ref="B14:U14"/>
    <mergeCell ref="B17:U17"/>
    <mergeCell ref="A3:A4"/>
    <mergeCell ref="T3:T4"/>
    <mergeCell ref="U3:U4"/>
    <mergeCell ref="V3:V4"/>
    <mergeCell ref="B5:U5"/>
    <mergeCell ref="B8:U8"/>
    <mergeCell ref="B11:U11"/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P3:S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Сергей Длужневский</cp:lastModifiedBy>
  <cp:lastPrinted>2008-02-22T21:19:39Z</cp:lastPrinted>
  <dcterms:created xsi:type="dcterms:W3CDTF">2002-06-16T13:36:44Z</dcterms:created>
  <dcterms:modified xsi:type="dcterms:W3CDTF">2015-09-28T10:01:39Z</dcterms:modified>
  <cp:category/>
  <cp:version/>
  <cp:contentType/>
  <cp:contentStatus/>
</cp:coreProperties>
</file>