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617" firstSheet="12" activeTab="16"/>
  </bookViews>
  <sheets>
    <sheet name="Тяга в экипировке ДК" sheetId="4" r:id="rId1"/>
    <sheet name="Тяга без экипировки ДК" sheetId="5" r:id="rId2"/>
    <sheet name="Тяга без экипировки" sheetId="6" r:id="rId3"/>
    <sheet name="ПЛ бинты" sheetId="8" r:id="rId4"/>
    <sheet name="ПЛ бинты ДК" sheetId="7" r:id="rId5"/>
    <sheet name="ПЛ без экипировки ДК" sheetId="9" r:id="rId6"/>
    <sheet name="ПЛ без экипировки" sheetId="10" r:id="rId7"/>
    <sheet name="Присед в бинтах ДК" sheetId="1" r:id="rId8"/>
    <sheet name="Присед без экипировки ДК" sheetId="2" r:id="rId9"/>
    <sheet name="Присед без экипировки" sheetId="3" r:id="rId10"/>
    <sheet name="Жим однослой ДК" sheetId="11" r:id="rId11"/>
    <sheet name="Жим однослой" sheetId="12" r:id="rId12"/>
    <sheet name="Жим без экипировки ДК" sheetId="13" r:id="rId13"/>
    <sheet name="Жим без экипировки" sheetId="14" r:id="rId14"/>
    <sheet name="Пауэрспорт" sheetId="15" r:id="rId15"/>
    <sheet name="Народный жим ДК" sheetId="16" r:id="rId16"/>
    <sheet name="Народный жим" sheetId="17" r:id="rId17"/>
  </sheets>
  <definedNames>
    <definedName name="Excel_BuiltIn__FilterDatabase" localSheetId="13">'Жим без экипировки'!$B$1:$L$3</definedName>
  </definedNames>
  <calcPr calcId="125725"/>
</workbook>
</file>

<file path=xl/calcChain.xml><?xml version="1.0" encoding="utf-8"?>
<calcChain xmlns="http://schemas.openxmlformats.org/spreadsheetml/2006/main">
  <c r="E29" i="17"/>
  <c r="E26"/>
  <c r="E25"/>
  <c r="E24"/>
  <c r="E21"/>
  <c r="E20"/>
  <c r="E17"/>
  <c r="E14"/>
  <c r="E13"/>
  <c r="E12"/>
  <c r="E9"/>
  <c r="E6"/>
  <c r="E21" i="16"/>
  <c r="E20"/>
  <c r="E19"/>
  <c r="E17"/>
  <c r="E15"/>
  <c r="E14"/>
  <c r="E12"/>
  <c r="E10"/>
  <c r="E8"/>
  <c r="E7"/>
  <c r="Q7" i="15"/>
  <c r="E6" i="14"/>
  <c r="M6"/>
  <c r="E9"/>
  <c r="M9"/>
  <c r="E12"/>
  <c r="M12"/>
  <c r="E13"/>
  <c r="M13"/>
  <c r="E16"/>
  <c r="M16"/>
  <c r="E19"/>
  <c r="M19"/>
  <c r="E20"/>
  <c r="M20"/>
  <c r="E21"/>
  <c r="M21"/>
  <c r="E22"/>
  <c r="M22"/>
  <c r="E25"/>
  <c r="M25"/>
  <c r="E26"/>
  <c r="M26"/>
  <c r="E27"/>
  <c r="M27"/>
  <c r="E28"/>
  <c r="M28"/>
  <c r="E31"/>
  <c r="M31"/>
  <c r="E34"/>
  <c r="M34"/>
  <c r="E37"/>
  <c r="M37"/>
  <c r="E6" i="13"/>
  <c r="M6"/>
  <c r="E9"/>
  <c r="M9"/>
  <c r="E10"/>
  <c r="M10"/>
  <c r="E13"/>
  <c r="M13"/>
  <c r="E16"/>
  <c r="M16"/>
  <c r="E19"/>
  <c r="M19"/>
  <c r="E22"/>
  <c r="M22"/>
  <c r="E23"/>
  <c r="M23"/>
  <c r="E24"/>
  <c r="M24"/>
  <c r="E25"/>
  <c r="M25"/>
  <c r="E26"/>
  <c r="M26"/>
  <c r="E29"/>
  <c r="M29"/>
  <c r="E30"/>
  <c r="M30"/>
  <c r="E31"/>
  <c r="M31"/>
  <c r="E32"/>
  <c r="M32"/>
  <c r="E33"/>
  <c r="M33"/>
  <c r="E36"/>
  <c r="M36"/>
  <c r="E37"/>
  <c r="M37"/>
  <c r="E38"/>
  <c r="M38"/>
  <c r="E39"/>
  <c r="M39"/>
  <c r="E40"/>
  <c r="M40"/>
  <c r="E41"/>
  <c r="M41"/>
  <c r="E44"/>
  <c r="M44"/>
  <c r="E45"/>
  <c r="M45"/>
  <c r="E46"/>
  <c r="M46"/>
  <c r="E6" i="12"/>
  <c r="M6"/>
  <c r="E7"/>
  <c r="M7"/>
  <c r="E8"/>
  <c r="M8"/>
  <c r="E11"/>
  <c r="M11"/>
  <c r="E6" i="11"/>
  <c r="M6"/>
  <c r="E9"/>
  <c r="M9"/>
  <c r="E6" i="10"/>
  <c r="U6"/>
  <c r="E7"/>
  <c r="U7"/>
  <c r="E10"/>
  <c r="U10"/>
  <c r="E11"/>
  <c r="U11"/>
  <c r="E14"/>
  <c r="U14"/>
  <c r="E17"/>
  <c r="U17"/>
  <c r="E20"/>
  <c r="U20"/>
  <c r="E21"/>
  <c r="U21"/>
  <c r="E24"/>
  <c r="U24"/>
  <c r="E27"/>
  <c r="U27"/>
  <c r="E30"/>
  <c r="U30"/>
  <c r="E31"/>
  <c r="U31"/>
  <c r="E34"/>
  <c r="U34"/>
  <c r="E35"/>
  <c r="U35"/>
  <c r="E36"/>
  <c r="U36"/>
  <c r="E37"/>
  <c r="U37"/>
  <c r="E38"/>
  <c r="U38"/>
  <c r="E41"/>
  <c r="U41"/>
  <c r="E42"/>
  <c r="U42"/>
  <c r="E43"/>
  <c r="U43"/>
  <c r="E44"/>
  <c r="U44"/>
  <c r="E45"/>
  <c r="U45"/>
  <c r="E48"/>
  <c r="U48"/>
  <c r="E49"/>
  <c r="U49"/>
  <c r="E52"/>
  <c r="U52"/>
  <c r="E6" i="9"/>
  <c r="U6"/>
  <c r="E9"/>
  <c r="U9"/>
  <c r="E10"/>
  <c r="U10"/>
  <c r="E13"/>
  <c r="U13"/>
  <c r="E14"/>
  <c r="U14"/>
  <c r="E15"/>
  <c r="U15"/>
  <c r="E18"/>
  <c r="U18"/>
  <c r="E21"/>
  <c r="U21"/>
  <c r="E6" i="8"/>
  <c r="U6"/>
  <c r="E9"/>
  <c r="U9"/>
  <c r="E12"/>
  <c r="U12"/>
  <c r="E15"/>
  <c r="U15"/>
  <c r="E18"/>
  <c r="U18"/>
  <c r="E21"/>
  <c r="U21"/>
  <c r="E6" i="7"/>
  <c r="U6"/>
  <c r="E9"/>
  <c r="U9"/>
  <c r="E10"/>
  <c r="U10"/>
  <c r="E6" i="3"/>
  <c r="M6"/>
  <c r="E6" i="2"/>
  <c r="M6"/>
  <c r="E6" i="1"/>
  <c r="M6"/>
  <c r="E6" i="6"/>
  <c r="M6"/>
  <c r="E9"/>
  <c r="M9"/>
  <c r="E12"/>
  <c r="M12"/>
  <c r="E13"/>
  <c r="M13"/>
  <c r="E14"/>
  <c r="M14"/>
  <c r="E17"/>
  <c r="M17"/>
  <c r="E18"/>
  <c r="M18"/>
  <c r="E21"/>
  <c r="M21"/>
  <c r="E22"/>
  <c r="M22"/>
  <c r="E25"/>
  <c r="M25"/>
  <c r="E6" i="5"/>
  <c r="M6"/>
  <c r="E9"/>
  <c r="M9"/>
  <c r="E10"/>
  <c r="M10"/>
  <c r="E13"/>
  <c r="M13"/>
  <c r="E16"/>
  <c r="M16"/>
  <c r="E19"/>
  <c r="M19"/>
  <c r="E6" i="4"/>
  <c r="M6"/>
</calcChain>
</file>

<file path=xl/sharedStrings.xml><?xml version="1.0" encoding="utf-8"?>
<sst xmlns="http://schemas.openxmlformats.org/spreadsheetml/2006/main" count="2173" uniqueCount="708">
  <si>
    <t>Открытый Кубок Санкт-Петербурга по пауэрлифтингу, его отдельным движениям, народному жиму и пауэрспорту по версии IPL Присед в бинтах ДК
17.Май.2015</t>
  </si>
  <si>
    <t>ФИО</t>
  </si>
  <si>
    <t>Возрастная группа
Дата рождения/Возраст</t>
  </si>
  <si>
    <t>Собств. вес</t>
  </si>
  <si>
    <t>Wilks</t>
  </si>
  <si>
    <t>Команда</t>
  </si>
  <si>
    <t>Присед</t>
  </si>
  <si>
    <t>Сумма</t>
  </si>
  <si>
    <t>Очки</t>
  </si>
  <si>
    <t>Тренер</t>
  </si>
  <si>
    <t>Рек</t>
  </si>
  <si>
    <t>ВЕСОВАЯ КАТЕГОРИЯ   52</t>
  </si>
  <si>
    <t>Райляну Диана</t>
  </si>
  <si>
    <t>Open (26.06.1989)/25</t>
  </si>
  <si>
    <t>51,90</t>
  </si>
  <si>
    <t xml:space="preserve">лично </t>
  </si>
  <si>
    <t>100,0</t>
  </si>
  <si>
    <t>ВЕСОВАЯ КАТЕГОРИЯ   90</t>
  </si>
  <si>
    <t>Коваленко Сергей</t>
  </si>
  <si>
    <t>Juniors 20-23 (23.07.1994)/20</t>
  </si>
  <si>
    <t>89,10</t>
  </si>
  <si>
    <t>157,5</t>
  </si>
  <si>
    <t>180,0</t>
  </si>
  <si>
    <t>ВЕСОВАЯ КАТЕГОРИЯ   90+</t>
  </si>
  <si>
    <t>Кадун Светлана</t>
  </si>
  <si>
    <t>Open (27.05.1986)/28</t>
  </si>
  <si>
    <t>91,70</t>
  </si>
  <si>
    <t xml:space="preserve">Extra Sport </t>
  </si>
  <si>
    <t>80,0</t>
  </si>
  <si>
    <t>85,0</t>
  </si>
  <si>
    <t>Тяга</t>
  </si>
  <si>
    <t>ВЕСОВАЯ КАТЕГОРИЯ   82.5</t>
  </si>
  <si>
    <t>Вязьмин Виктор</t>
  </si>
  <si>
    <t>Open (18.07.1979)/35</t>
  </si>
  <si>
    <t>82,50</t>
  </si>
  <si>
    <t>210,0</t>
  </si>
  <si>
    <t>220,0</t>
  </si>
  <si>
    <t>0,0</t>
  </si>
  <si>
    <t>105,0</t>
  </si>
  <si>
    <t>ВЕСОВАЯ КАТЕГОРИЯ   56</t>
  </si>
  <si>
    <t>Дьякова Анастасия</t>
  </si>
  <si>
    <t>Juniors 20-23 (23.02.1993)/22</t>
  </si>
  <si>
    <t>54,80</t>
  </si>
  <si>
    <t>95,0</t>
  </si>
  <si>
    <t>Open (23.02.1993)/22</t>
  </si>
  <si>
    <t>ВЕСОВАЯ КАТЕГОРИЯ   60</t>
  </si>
  <si>
    <t>Рудык Таисия</t>
  </si>
  <si>
    <t>Open (09.07.1988)/26</t>
  </si>
  <si>
    <t>58,40</t>
  </si>
  <si>
    <t>110,0</t>
  </si>
  <si>
    <t>115,0</t>
  </si>
  <si>
    <t>120,0</t>
  </si>
  <si>
    <t xml:space="preserve">Смирнов А.В. </t>
  </si>
  <si>
    <t>Леванов Михаил</t>
  </si>
  <si>
    <t>Open (08.12.1989)/25</t>
  </si>
  <si>
    <t>81,40</t>
  </si>
  <si>
    <t>150,0</t>
  </si>
  <si>
    <t>160,0</t>
  </si>
  <si>
    <t>170,0</t>
  </si>
  <si>
    <t xml:space="preserve">Смирнов Олег </t>
  </si>
  <si>
    <t>ВЕСОВАЯ КАТЕГОРИЯ   100</t>
  </si>
  <si>
    <t>Кузнецов Сергей</t>
  </si>
  <si>
    <t>Open (15.01.1983)/32</t>
  </si>
  <si>
    <t>98,90</t>
  </si>
  <si>
    <t xml:space="preserve">Торнадо </t>
  </si>
  <si>
    <t>200,0</t>
  </si>
  <si>
    <t>215,0</t>
  </si>
  <si>
    <t>230,0</t>
  </si>
  <si>
    <t>ВЕСОВАЯ КАТЕГОРИЯ   75</t>
  </si>
  <si>
    <t>Веселов Павел</t>
  </si>
  <si>
    <t>Open (13.09.1987)/27</t>
  </si>
  <si>
    <t>69,40</t>
  </si>
  <si>
    <t>Арбузов Алексей</t>
  </si>
  <si>
    <t>Open (12.06.1989)/25</t>
  </si>
  <si>
    <t>79,40</t>
  </si>
  <si>
    <t xml:space="preserve">Team Bregan </t>
  </si>
  <si>
    <t xml:space="preserve">Отрадное/Ленинградская область </t>
  </si>
  <si>
    <t>190,0</t>
  </si>
  <si>
    <t>232,5</t>
  </si>
  <si>
    <t xml:space="preserve">Мамедяров Артур </t>
  </si>
  <si>
    <t>Мамедяров Артур</t>
  </si>
  <si>
    <t>Juniors 20-23 (20.08.1991)/23</t>
  </si>
  <si>
    <t>88,40</t>
  </si>
  <si>
    <t>290,0</t>
  </si>
  <si>
    <t>312,5</t>
  </si>
  <si>
    <t>327,5</t>
  </si>
  <si>
    <t xml:space="preserve">Арбузов Алексей </t>
  </si>
  <si>
    <t>Open (20.08.1991)/23</t>
  </si>
  <si>
    <t>Савченко Александр</t>
  </si>
  <si>
    <t>Open (06.01.1982)/33</t>
  </si>
  <si>
    <t>89,30</t>
  </si>
  <si>
    <t xml:space="preserve">Выборг/Ленинградская область </t>
  </si>
  <si>
    <t>245,0</t>
  </si>
  <si>
    <t>260,0</t>
  </si>
  <si>
    <t>Кобелев Павел</t>
  </si>
  <si>
    <t>Open (04.08.1989)/25</t>
  </si>
  <si>
    <t>90,60</t>
  </si>
  <si>
    <t>270,0</t>
  </si>
  <si>
    <t>300,0</t>
  </si>
  <si>
    <t>Крылов Алексей</t>
  </si>
  <si>
    <t>Open (21.02.1988)/27</t>
  </si>
  <si>
    <t>99,80</t>
  </si>
  <si>
    <t xml:space="preserve">Динамит </t>
  </si>
  <si>
    <t>250,0</t>
  </si>
  <si>
    <t>265,0</t>
  </si>
  <si>
    <t>272,5</t>
  </si>
  <si>
    <t>ВЕСОВАЯ КАТЕГОРИЯ   110</t>
  </si>
  <si>
    <t>Гусев Сергей</t>
  </si>
  <si>
    <t>Open (18.03.1987)/28</t>
  </si>
  <si>
    <t>106,90</t>
  </si>
  <si>
    <t>280,0</t>
  </si>
  <si>
    <t>Золотаренок Андрей</t>
  </si>
  <si>
    <t>Open (23.11.1978)/36</t>
  </si>
  <si>
    <t>106,20</t>
  </si>
  <si>
    <t>240,0</t>
  </si>
  <si>
    <t xml:space="preserve">Букина Валерия </t>
  </si>
  <si>
    <t>ВЕСОВАЯ КАТЕГОРИЯ   140</t>
  </si>
  <si>
    <t>Щигельский Вячеслав</t>
  </si>
  <si>
    <t>Open (04.09.1989)/25</t>
  </si>
  <si>
    <t>127,10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</si>
  <si>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</si>
  <si>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</si>
  <si>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</si>
  <si>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</si>
  <si>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</si>
  <si>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</si>
  <si>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</si>
  <si>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</si>
  <si>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90 </t>
  </si>
  <si>
    <t>211,0410</t>
  </si>
  <si>
    <t xml:space="preserve">100 </t>
  </si>
  <si>
    <t>171,8010</t>
  </si>
  <si>
    <t xml:space="preserve">140 </t>
  </si>
  <si>
    <t>170,4000</t>
  </si>
  <si>
    <t xml:space="preserve">110 </t>
  </si>
  <si>
    <t>166,2920</t>
  </si>
  <si>
    <t>161,4115</t>
  </si>
  <si>
    <t xml:space="preserve">82.5 </t>
  </si>
  <si>
    <t>159,4950</t>
  </si>
  <si>
    <t>157,0450</t>
  </si>
  <si>
    <t xml:space="preserve">75 </t>
  </si>
  <si>
    <t>150,8800</t>
  </si>
  <si>
    <t>136,8960</t>
  </si>
  <si>
    <t>Жим</t>
  </si>
  <si>
    <t>90,0</t>
  </si>
  <si>
    <t>40,0</t>
  </si>
  <si>
    <t>42,5</t>
  </si>
  <si>
    <t>45,0</t>
  </si>
  <si>
    <t>Новак Денис</t>
  </si>
  <si>
    <t>Open (07.12.1986)/28</t>
  </si>
  <si>
    <t>84,00</t>
  </si>
  <si>
    <t>175,0</t>
  </si>
  <si>
    <t>117,5</t>
  </si>
  <si>
    <t>122,5</t>
  </si>
  <si>
    <t>182,5</t>
  </si>
  <si>
    <t>Грязев Антон</t>
  </si>
  <si>
    <t>Open (06.06.1987)/27</t>
  </si>
  <si>
    <t>87,10</t>
  </si>
  <si>
    <t>155,0</t>
  </si>
  <si>
    <t>132,5</t>
  </si>
  <si>
    <t xml:space="preserve">Астахов Денис </t>
  </si>
  <si>
    <t>ВЕСОВАЯ КАТЕГОРИЯ   48</t>
  </si>
  <si>
    <t>Смирнова Юлия</t>
  </si>
  <si>
    <t>Juniors 20-23 (24.12.1994)/20</t>
  </si>
  <si>
    <t>45,00</t>
  </si>
  <si>
    <t>70,0</t>
  </si>
  <si>
    <t>72,5</t>
  </si>
  <si>
    <t>77,5</t>
  </si>
  <si>
    <t>35,0</t>
  </si>
  <si>
    <t>37,5</t>
  </si>
  <si>
    <t>60,0</t>
  </si>
  <si>
    <t>67,5</t>
  </si>
  <si>
    <t>Рубцов Яков</t>
  </si>
  <si>
    <t>Teenage 15-19 (26.03.1996)/19</t>
  </si>
  <si>
    <t>77,40</t>
  </si>
  <si>
    <t xml:space="preserve">МВАА </t>
  </si>
  <si>
    <t>145,0</t>
  </si>
  <si>
    <t>165,0</t>
  </si>
  <si>
    <t>107,5</t>
  </si>
  <si>
    <t>Забокрицкий Дмитрий</t>
  </si>
  <si>
    <t>Teenage 15-19 (12.12.1997)/17</t>
  </si>
  <si>
    <t>140,0</t>
  </si>
  <si>
    <t>87,5</t>
  </si>
  <si>
    <t>197,5</t>
  </si>
  <si>
    <t>ВЕСОВАЯ КАТЕГОРИЯ   125</t>
  </si>
  <si>
    <t>Бунин Олег</t>
  </si>
  <si>
    <t>Open (20.05.1978)/37</t>
  </si>
  <si>
    <t>118,30</t>
  </si>
  <si>
    <t>225,0</t>
  </si>
  <si>
    <t>ВЕСОВАЯ КАТЕГОРИЯ   140+</t>
  </si>
  <si>
    <t>Николаев Илья</t>
  </si>
  <si>
    <t>Open (24.07.1975)/39</t>
  </si>
  <si>
    <t>144,30</t>
  </si>
  <si>
    <t>235,0</t>
  </si>
  <si>
    <t>ВЕСОВАЯ КАТЕГОРИЯ   67.5</t>
  </si>
  <si>
    <t>Кузнецова Ольга</t>
  </si>
  <si>
    <t>Open (27.08.1983)/31</t>
  </si>
  <si>
    <t>64,70</t>
  </si>
  <si>
    <t>75,0</t>
  </si>
  <si>
    <t>47,5</t>
  </si>
  <si>
    <t>50,0</t>
  </si>
  <si>
    <t xml:space="preserve">Васильев А. </t>
  </si>
  <si>
    <t>Дмитриев Артем</t>
  </si>
  <si>
    <t>Juniors 20-23 (30.06.1993)/21</t>
  </si>
  <si>
    <t>82,30</t>
  </si>
  <si>
    <t xml:space="preserve">Вегетарианская Сила </t>
  </si>
  <si>
    <t>Чащин Александр</t>
  </si>
  <si>
    <t>Open (15.06.1987)/27</t>
  </si>
  <si>
    <t>82,00</t>
  </si>
  <si>
    <t>192,5</t>
  </si>
  <si>
    <t>205,0</t>
  </si>
  <si>
    <t>130,0</t>
  </si>
  <si>
    <t>142,5</t>
  </si>
  <si>
    <t>227,5</t>
  </si>
  <si>
    <t>Сорокин Максим</t>
  </si>
  <si>
    <t>Juniors 20-23 (23.06.1992)/22</t>
  </si>
  <si>
    <t xml:space="preserve">Top Gym </t>
  </si>
  <si>
    <t>135,0</t>
  </si>
  <si>
    <t>Шипилов Евгений</t>
  </si>
  <si>
    <t>Juniors 20-23 (22.10.1991)/23</t>
  </si>
  <si>
    <t>87,80</t>
  </si>
  <si>
    <t>125,0</t>
  </si>
  <si>
    <t xml:space="preserve">Лысиков Дмитрий </t>
  </si>
  <si>
    <t>Сафин Алексей</t>
  </si>
  <si>
    <t>Open (19.03.1991)/24</t>
  </si>
  <si>
    <t>88,80</t>
  </si>
  <si>
    <t>Васильев Алексей</t>
  </si>
  <si>
    <t>Open (27.10.1979)/35</t>
  </si>
  <si>
    <t>98,70</t>
  </si>
  <si>
    <t>177,5</t>
  </si>
  <si>
    <t>Педченко Александр</t>
  </si>
  <si>
    <t>Juniors 20-23 (20.05.1993)/22</t>
  </si>
  <si>
    <t>108,30</t>
  </si>
  <si>
    <t>207,5</t>
  </si>
  <si>
    <t>Бугова Анастасия</t>
  </si>
  <si>
    <t>Teenage 15-19 (01.12.1998)/16</t>
  </si>
  <si>
    <t>52,00</t>
  </si>
  <si>
    <t>55,0</t>
  </si>
  <si>
    <t>30,0</t>
  </si>
  <si>
    <t>32,5</t>
  </si>
  <si>
    <t>Соколова Евгения</t>
  </si>
  <si>
    <t>Open (27.04.1985)/30</t>
  </si>
  <si>
    <t>49,90</t>
  </si>
  <si>
    <t>65,0</t>
  </si>
  <si>
    <t xml:space="preserve">Сыромятников Максим </t>
  </si>
  <si>
    <t>Михайлова Ольга</t>
  </si>
  <si>
    <t>Open (14.12.1971)/43</t>
  </si>
  <si>
    <t>54,00</t>
  </si>
  <si>
    <t>Masters 40-44 (14.12.1971)/43</t>
  </si>
  <si>
    <t>Орлова Татьяна</t>
  </si>
  <si>
    <t>Open (30.10.1984)/30</t>
  </si>
  <si>
    <t>58,30</t>
  </si>
  <si>
    <t>82,5</t>
  </si>
  <si>
    <t>Могурова Ксения</t>
  </si>
  <si>
    <t>Open (17.11.1990)/24</t>
  </si>
  <si>
    <t>66,40</t>
  </si>
  <si>
    <t>127,5</t>
  </si>
  <si>
    <t>187,5</t>
  </si>
  <si>
    <t>Дога Виктория</t>
  </si>
  <si>
    <t>Open (04.09.1982)/32</t>
  </si>
  <si>
    <t>75,00</t>
  </si>
  <si>
    <t>92,5</t>
  </si>
  <si>
    <t>167,5</t>
  </si>
  <si>
    <t>185,0</t>
  </si>
  <si>
    <t>Чернина Элина</t>
  </si>
  <si>
    <t>Open (10.06.1987)/27</t>
  </si>
  <si>
    <t>74,70</t>
  </si>
  <si>
    <t>Карих Виктория</t>
  </si>
  <si>
    <t>Teenage 15-19 (18.07.1998)/16</t>
  </si>
  <si>
    <t>46,50</t>
  </si>
  <si>
    <t>25,0</t>
  </si>
  <si>
    <t>27,5</t>
  </si>
  <si>
    <t>152,5</t>
  </si>
  <si>
    <t>112,5</t>
  </si>
  <si>
    <t>Ростун Владимир</t>
  </si>
  <si>
    <t>Open (11.12.1981)/33</t>
  </si>
  <si>
    <t>81,30</t>
  </si>
  <si>
    <t>217,5</t>
  </si>
  <si>
    <t>282,5</t>
  </si>
  <si>
    <t>295,0</t>
  </si>
  <si>
    <t>Тумаков Михаил</t>
  </si>
  <si>
    <t>Open (04.02.1990)/25</t>
  </si>
  <si>
    <t>79,90</t>
  </si>
  <si>
    <t>195,0</t>
  </si>
  <si>
    <t>202,5</t>
  </si>
  <si>
    <t>137,5</t>
  </si>
  <si>
    <t>Бельцов Артур</t>
  </si>
  <si>
    <t>Open (04.03.1982)/33</t>
  </si>
  <si>
    <t>90,00</t>
  </si>
  <si>
    <t>Холяпин Сергей</t>
  </si>
  <si>
    <t>Open (14.02.1975)/40</t>
  </si>
  <si>
    <t>Новиков Сергей</t>
  </si>
  <si>
    <t>Open (26.10.1987)/27</t>
  </si>
  <si>
    <t>87,00</t>
  </si>
  <si>
    <t>237,5</t>
  </si>
  <si>
    <t>Титов Илья</t>
  </si>
  <si>
    <t>Open (22.07.1989)/25</t>
  </si>
  <si>
    <t>89,80</t>
  </si>
  <si>
    <t>172,5</t>
  </si>
  <si>
    <t>Masters 40-44 (14.02.1975)/40</t>
  </si>
  <si>
    <t>Панкратьев Александр</t>
  </si>
  <si>
    <t>Open (19.08.1987)/27</t>
  </si>
  <si>
    <t>97,90</t>
  </si>
  <si>
    <t>262,5</t>
  </si>
  <si>
    <t>275,0</t>
  </si>
  <si>
    <t>310,0</t>
  </si>
  <si>
    <t>Высочин Павел</t>
  </si>
  <si>
    <t>Open (19.11.1986)/28</t>
  </si>
  <si>
    <t>99,10</t>
  </si>
  <si>
    <t>222,5</t>
  </si>
  <si>
    <t>255,0</t>
  </si>
  <si>
    <t>Анучин Иван</t>
  </si>
  <si>
    <t>Open (17.04.1990)/25</t>
  </si>
  <si>
    <t>93,80</t>
  </si>
  <si>
    <t xml:space="preserve">Киров/Кировская область </t>
  </si>
  <si>
    <t>162,5</t>
  </si>
  <si>
    <t>Рубинков Сергей</t>
  </si>
  <si>
    <t>Open (07.11.1983)/31</t>
  </si>
  <si>
    <t>96,80</t>
  </si>
  <si>
    <t>Open (21.02.1983)/32</t>
  </si>
  <si>
    <t>257,5</t>
  </si>
  <si>
    <t>Ивачев Александр</t>
  </si>
  <si>
    <t>Open (10.04.1984)/31</t>
  </si>
  <si>
    <t>109,10</t>
  </si>
  <si>
    <t xml:space="preserve">Д-атлетик </t>
  </si>
  <si>
    <t>Пендер Алексей</t>
  </si>
  <si>
    <t>Open (17.08.1985)/29</t>
  </si>
  <si>
    <t>105,40</t>
  </si>
  <si>
    <t>Дерягин Денис</t>
  </si>
  <si>
    <t>Open (28.02.1980)/35</t>
  </si>
  <si>
    <t>113,10</t>
  </si>
  <si>
    <t>267,5</t>
  </si>
  <si>
    <t>287,5</t>
  </si>
  <si>
    <t xml:space="preserve">Женщины </t>
  </si>
  <si>
    <t xml:space="preserve">56 </t>
  </si>
  <si>
    <t>340,0</t>
  </si>
  <si>
    <t>411,6040</t>
  </si>
  <si>
    <t xml:space="preserve">67.5 </t>
  </si>
  <si>
    <t>385,0</t>
  </si>
  <si>
    <t>397,6280</t>
  </si>
  <si>
    <t>410,0</t>
  </si>
  <si>
    <t>389,7460</t>
  </si>
  <si>
    <t>405,0</t>
  </si>
  <si>
    <t>385,9650</t>
  </si>
  <si>
    <t xml:space="preserve">60 </t>
  </si>
  <si>
    <t>256,5225</t>
  </si>
  <si>
    <t xml:space="preserve">52 </t>
  </si>
  <si>
    <t>250,8870</t>
  </si>
  <si>
    <t>782,5</t>
  </si>
  <si>
    <t>480,3768</t>
  </si>
  <si>
    <t>710,0</t>
  </si>
  <si>
    <t>479,8890</t>
  </si>
  <si>
    <t>687,5</t>
  </si>
  <si>
    <t>438,9000</t>
  </si>
  <si>
    <t>727,5</t>
  </si>
  <si>
    <t>429,2250</t>
  </si>
  <si>
    <t xml:space="preserve">125 </t>
  </si>
  <si>
    <t>732,5</t>
  </si>
  <si>
    <t>427,5603</t>
  </si>
  <si>
    <t>665,0</t>
  </si>
  <si>
    <t>406,1820</t>
  </si>
  <si>
    <t>615,0</t>
  </si>
  <si>
    <t>384,8055</t>
  </si>
  <si>
    <t>612,5</t>
  </si>
  <si>
    <t>377,8513</t>
  </si>
  <si>
    <t>565,0</t>
  </si>
  <si>
    <t>364,0860</t>
  </si>
  <si>
    <t>547,5</t>
  </si>
  <si>
    <t>355,8203</t>
  </si>
  <si>
    <t>582,5</t>
  </si>
  <si>
    <t>354,8007</t>
  </si>
  <si>
    <t>462,5</t>
  </si>
  <si>
    <t>348,9100</t>
  </si>
  <si>
    <t>560,0</t>
  </si>
  <si>
    <t>334,2080</t>
  </si>
  <si>
    <t>505,0</t>
  </si>
  <si>
    <t>322,7455</t>
  </si>
  <si>
    <t>450,0</t>
  </si>
  <si>
    <t>307,4400</t>
  </si>
  <si>
    <t>Кудачкин Кирилл</t>
  </si>
  <si>
    <t>Open (10.12.1985)/29</t>
  </si>
  <si>
    <t>88,10</t>
  </si>
  <si>
    <t xml:space="preserve">Олимп </t>
  </si>
  <si>
    <t>Чернышев Дмитрий</t>
  </si>
  <si>
    <t>Open (07.06.1980)/34</t>
  </si>
  <si>
    <t>111,10</t>
  </si>
  <si>
    <t>Соколов Сергей</t>
  </si>
  <si>
    <t>Juniors 20-23 (11.07.1993)/21</t>
  </si>
  <si>
    <t>Open (11.07.1993)/21</t>
  </si>
  <si>
    <t>Петров Всеволод</t>
  </si>
  <si>
    <t>Open (04.08.1979)/35</t>
  </si>
  <si>
    <t xml:space="preserve">Морозов Филипп </t>
  </si>
  <si>
    <t>Попов Александр</t>
  </si>
  <si>
    <t>Open (10.05.1987)/28</t>
  </si>
  <si>
    <t>92,00</t>
  </si>
  <si>
    <t>Спиридонова Татьяна</t>
  </si>
  <si>
    <t>Open (08.01.1978)/37</t>
  </si>
  <si>
    <t>53,90</t>
  </si>
  <si>
    <t>Кутышева Дарья</t>
  </si>
  <si>
    <t>Open (11.08.1987)/27</t>
  </si>
  <si>
    <t>56,00</t>
  </si>
  <si>
    <t xml:space="preserve">РООСФИС </t>
  </si>
  <si>
    <t>Наумова Марина</t>
  </si>
  <si>
    <t>Open (27.01.1984)/31</t>
  </si>
  <si>
    <t>60,00</t>
  </si>
  <si>
    <t>Головина Наталья</t>
  </si>
  <si>
    <t>Open (01.10.1984)/30</t>
  </si>
  <si>
    <t>112,00</t>
  </si>
  <si>
    <t xml:space="preserve">Olymp </t>
  </si>
  <si>
    <t xml:space="preserve">Вязьмин Дмитрий </t>
  </si>
  <si>
    <t>Никитин Кирилл</t>
  </si>
  <si>
    <t>Juniors 20-23 (22.07.1992)/22</t>
  </si>
  <si>
    <t>66,60</t>
  </si>
  <si>
    <t>Силинский Сергей</t>
  </si>
  <si>
    <t>Juniors 20-23 (01.12.1994)/20</t>
  </si>
  <si>
    <t>80,40</t>
  </si>
  <si>
    <t>Рузаев Максим</t>
  </si>
  <si>
    <t>Juniors 20-23 (29.04.1993)/22</t>
  </si>
  <si>
    <t>78,60</t>
  </si>
  <si>
    <t>Осколков Валерий</t>
  </si>
  <si>
    <t>Juniors 20-23 (14.07.1995)/19</t>
  </si>
  <si>
    <t>81,00</t>
  </si>
  <si>
    <t>Фотиев Александр</t>
  </si>
  <si>
    <t>Open (02.05.1981)/34</t>
  </si>
  <si>
    <t>80,80</t>
  </si>
  <si>
    <t>Макаренко Евгений</t>
  </si>
  <si>
    <t>Open (21.09.1980)/34</t>
  </si>
  <si>
    <t>89,90</t>
  </si>
  <si>
    <t xml:space="preserve">Парадиз Георгий </t>
  </si>
  <si>
    <t>Дорохин Иван</t>
  </si>
  <si>
    <t>Open (14.07.1986)/28</t>
  </si>
  <si>
    <t>88,50</t>
  </si>
  <si>
    <t>Зернов Артем</t>
  </si>
  <si>
    <t>Open (31.07.1986)/28</t>
  </si>
  <si>
    <t>89,00</t>
  </si>
  <si>
    <t>Сутковецкий Александр</t>
  </si>
  <si>
    <t>Masters 45-49 (27.08.1966)/48</t>
  </si>
  <si>
    <t>89,60</t>
  </si>
  <si>
    <t>Максимов Алексей</t>
  </si>
  <si>
    <t>Open (11.09.1986)/28</t>
  </si>
  <si>
    <t>97,40</t>
  </si>
  <si>
    <t>Мелентьев Евгений</t>
  </si>
  <si>
    <t>Open (17.12.1989)/25</t>
  </si>
  <si>
    <t>97,30</t>
  </si>
  <si>
    <t xml:space="preserve">Коряжма/Архангельская область </t>
  </si>
  <si>
    <t>Аксенов Лев</t>
  </si>
  <si>
    <t>Open (13.10.1978)/36</t>
  </si>
  <si>
    <t>98,80</t>
  </si>
  <si>
    <t>Лилимберг Виталий</t>
  </si>
  <si>
    <t>Open (04.03.1991)/24</t>
  </si>
  <si>
    <t>95,40</t>
  </si>
  <si>
    <t xml:space="preserve">Мичко Иван </t>
  </si>
  <si>
    <t>Быстроумов Борис</t>
  </si>
  <si>
    <t>Masters 50-54 (24.12.1964)/50</t>
  </si>
  <si>
    <t>99,90</t>
  </si>
  <si>
    <t>110,00</t>
  </si>
  <si>
    <t>Муравьев Игорь</t>
  </si>
  <si>
    <t>Open (16.09.1985)/29</t>
  </si>
  <si>
    <t>108,20</t>
  </si>
  <si>
    <t>212,5</t>
  </si>
  <si>
    <t>Пиликов Вячеслав</t>
  </si>
  <si>
    <t>Open (28.10.1980)/34</t>
  </si>
  <si>
    <t>124,2360</t>
  </si>
  <si>
    <t>116,8880</t>
  </si>
  <si>
    <t>111,7900</t>
  </si>
  <si>
    <t>102,9875</t>
  </si>
  <si>
    <t>98,4800</t>
  </si>
  <si>
    <t>95,8170</t>
  </si>
  <si>
    <t>94,7980</t>
  </si>
  <si>
    <t>90,1600</t>
  </si>
  <si>
    <t>88,2887</t>
  </si>
  <si>
    <t>86,9260</t>
  </si>
  <si>
    <t>1</t>
  </si>
  <si>
    <t>Букина Валерия</t>
  </si>
  <si>
    <t>Open (07.05.1990)/25</t>
  </si>
  <si>
    <t>67,00</t>
  </si>
  <si>
    <t>Субботин Сергей</t>
  </si>
  <si>
    <t>Open (27.06.1984)/30</t>
  </si>
  <si>
    <t>67,40</t>
  </si>
  <si>
    <t>102,5</t>
  </si>
  <si>
    <t xml:space="preserve">Грахов Юлий </t>
  </si>
  <si>
    <t>Евсюков Олег</t>
  </si>
  <si>
    <t>Teenage 15-19 (07.08.1995)/19</t>
  </si>
  <si>
    <t>72,40</t>
  </si>
  <si>
    <t xml:space="preserve">Тихвин </t>
  </si>
  <si>
    <t xml:space="preserve">Тихвин/Ленинградская область </t>
  </si>
  <si>
    <t>Штурмин Артем</t>
  </si>
  <si>
    <t>Juniors 20-23 (27.08.1994)/20</t>
  </si>
  <si>
    <t>74,50</t>
  </si>
  <si>
    <t xml:space="preserve">Астрахань/Астраханская область </t>
  </si>
  <si>
    <t>2</t>
  </si>
  <si>
    <t>Масяйкин Олег</t>
  </si>
  <si>
    <t>98,30</t>
  </si>
  <si>
    <t>3</t>
  </si>
  <si>
    <t>Немнонов Сергей</t>
  </si>
  <si>
    <t>Open (29.08.1984)/30</t>
  </si>
  <si>
    <t>94,20</t>
  </si>
  <si>
    <t xml:space="preserve">Головинский Дмитрий </t>
  </si>
  <si>
    <t>Солнцев Иван</t>
  </si>
  <si>
    <t>Open (25.03.1974)/41</t>
  </si>
  <si>
    <t>101,60</t>
  </si>
  <si>
    <t>Василисков Игорь</t>
  </si>
  <si>
    <t>Open (18.06.1985)/29</t>
  </si>
  <si>
    <t>107,50</t>
  </si>
  <si>
    <t>Open (18.03.1984)/31</t>
  </si>
  <si>
    <t>Master 40-49 (25.03.1974)/41</t>
  </si>
  <si>
    <t>Карабак Денис</t>
  </si>
  <si>
    <t>Open (12.09.1982)/32</t>
  </si>
  <si>
    <t>120,40</t>
  </si>
  <si>
    <t xml:space="preserve">Рудаковский, Длужневский </t>
  </si>
  <si>
    <t>Сапожков Вадим</t>
  </si>
  <si>
    <t>Masters 45-49 (14.05.1967)/48</t>
  </si>
  <si>
    <t>145,00</t>
  </si>
  <si>
    <t>126,3000</t>
  </si>
  <si>
    <t>120,9600</t>
  </si>
  <si>
    <t>116,3363</t>
  </si>
  <si>
    <t>112,1800</t>
  </si>
  <si>
    <t>102,2580</t>
  </si>
  <si>
    <t>98,0640</t>
  </si>
  <si>
    <t>88,9770</t>
  </si>
  <si>
    <t>79,1197</t>
  </si>
  <si>
    <t>Glossbrenner</t>
  </si>
  <si>
    <t>Бицепс</t>
  </si>
  <si>
    <t>Участники с прохождением допинг-контроля</t>
  </si>
  <si>
    <t>Мехов Василий</t>
  </si>
  <si>
    <t>Open (08.07.1983)/31</t>
  </si>
  <si>
    <t>0,83285</t>
  </si>
  <si>
    <t>ВЕСОВАЯ КАТЕГОРИЯ   67,5</t>
  </si>
  <si>
    <t>Денисов Дмитрий Александрович</t>
  </si>
  <si>
    <t>Open (03.05.1989)/26</t>
  </si>
  <si>
    <t>62,4</t>
  </si>
  <si>
    <t>0,80245</t>
  </si>
  <si>
    <t>Rot Iron</t>
  </si>
  <si>
    <t>Поплевкин Леонид Александрович</t>
  </si>
  <si>
    <t>Open (21.06.1989)/26</t>
  </si>
  <si>
    <t>74,9</t>
  </si>
  <si>
    <t>0,689200</t>
  </si>
  <si>
    <t>ВЕСОВАЯ КАТЕГОРИЯ   82,5</t>
  </si>
  <si>
    <t>Суховерков Дмитрий Валерьевич</t>
  </si>
  <si>
    <t>Open (14.07.1985)/29</t>
  </si>
  <si>
    <t>79,4</t>
  </si>
  <si>
    <t>0,661200</t>
  </si>
  <si>
    <t>Участники без прохождения допинг-контроля</t>
  </si>
  <si>
    <t>Кукин Артем Юрьевич</t>
  </si>
  <si>
    <t>Juniors 20-23 (22.07.1991)</t>
  </si>
  <si>
    <t>0,612600</t>
  </si>
  <si>
    <t>Алекс Фитнес</t>
  </si>
  <si>
    <t>Открытый Кубок Санкт-Петербурга по пауэрлифтингу, его отдельным движениям, народному жиму и пауэрспорту по версии IPL Пауэрспорт
17 мая 2015 года</t>
  </si>
  <si>
    <t>Город/область</t>
  </si>
  <si>
    <t>Кронштадт/Ленинградская область</t>
  </si>
  <si>
    <t xml:space="preserve">Беларусь/Минск </t>
  </si>
  <si>
    <t>Сестрорецк/Ленинградская область</t>
  </si>
  <si>
    <t>Санкт-Петербург/Ленинградская область</t>
  </si>
  <si>
    <t>самостоятельно</t>
  </si>
  <si>
    <t>Абиджба Роман</t>
  </si>
  <si>
    <t>Открытый Кубок Санкт-Петербурга по пауэрлифтингу, его отдельным движениям, народному жиму и пауэрспорту по версии IPL Жим лежа без экипировки
17 мая 2015 года</t>
  </si>
  <si>
    <t>Грахов Юлий</t>
  </si>
  <si>
    <t>Результат</t>
  </si>
  <si>
    <t>Вязьмин Дмитрий</t>
  </si>
  <si>
    <t xml:space="preserve">Санкт-Петербург/Ленинградская область  </t>
  </si>
  <si>
    <t xml:space="preserve">Санкт-Петербург/Ленинградская область </t>
  </si>
  <si>
    <t xml:space="preserve">Москва/Московская область </t>
  </si>
  <si>
    <t xml:space="preserve">Колпино/Ленинградская область </t>
  </si>
  <si>
    <t>Никитинский Александр</t>
  </si>
  <si>
    <t>Антонов Леонид</t>
  </si>
  <si>
    <t>Открытый Кубок Санкт-Петербурга по пауэрлифтингу, его отдельным движениям, народному жиму и пауэрспорту по версии IPL Жим лежа без экипировки ДК
17 мая 2015 года</t>
  </si>
  <si>
    <t xml:space="preserve">Санкт-Петербург/Ленинградская область   </t>
  </si>
  <si>
    <t>Колпино/Ленинградская область</t>
  </si>
  <si>
    <t>0.0</t>
  </si>
  <si>
    <t>105.0</t>
  </si>
  <si>
    <t>102.5</t>
  </si>
  <si>
    <t>200.0</t>
  </si>
  <si>
    <t>160.0</t>
  </si>
  <si>
    <t>142.5</t>
  </si>
  <si>
    <t>172.5</t>
  </si>
  <si>
    <t>202.5</t>
  </si>
  <si>
    <t>197.5</t>
  </si>
  <si>
    <t>89,5960</t>
  </si>
  <si>
    <t>79,3440</t>
  </si>
  <si>
    <t>94,9530</t>
  </si>
  <si>
    <t>Пуликов Вячеслав</t>
  </si>
  <si>
    <t>Алимов Михаил</t>
  </si>
  <si>
    <t>Фадеев Александр</t>
  </si>
  <si>
    <t>Волков Михаил</t>
  </si>
  <si>
    <t xml:space="preserve">Антонов Леонид </t>
  </si>
  <si>
    <t>Открытый Кубок Санкт-Петербурга по пауэрлифтингу, его отдельным движениям, народному жиму и пауэрспорту по версии IPL Жим лежа в однослойной экипировке
17 мая 2015 года</t>
  </si>
  <si>
    <t>Открытый Кубок Санкт-Петербурга по пауэрлифтингу, его отдельным движениям, народному жиму и пауэрспорту по версии IPL Жим лежа в однослойной экипировке ДК 17 мая 2015 года</t>
  </si>
  <si>
    <t>Лещев Денис</t>
  </si>
  <si>
    <t>Открытый Кубок Санкт-Петербурга по пауэрлифтингу, его отдельным движениям, народному жиму и пауэрспорту по версии IPL Пауэрлифтинг без экипировки
17 мая 2015 года</t>
  </si>
  <si>
    <t>Васильев Роман</t>
  </si>
  <si>
    <t>Таранухин Георгий</t>
  </si>
  <si>
    <t>Крылов Дмитрий</t>
  </si>
  <si>
    <t>Открытый Кубок Санкт-Петербурга по пауэрлифтингу, его отдельным движениям, народному жиму и пауэрспорту по версии IPL Пауэрлифтинг без экипировки ДК
17 мая 2015 года</t>
  </si>
  <si>
    <t>Тимофеев Олег</t>
  </si>
  <si>
    <t>Открытый Кубок Санкт-Петербурга по пауэрлифтингу, его отдельным движениям, народному жиму и пауэрспорту по версии IPL Пауэрлифтинг в бинтах
17 мая 2015 года</t>
  </si>
  <si>
    <t>Фомбет</t>
  </si>
  <si>
    <t>Москва/Московская область</t>
  </si>
  <si>
    <t>Открытый Кубок Санкт-Петербурга по пауэрлифтингу, его отдельным движениям, народному жиму и пауэрспорту по версии IPL Пауэрлифтинг в бинтах ДК
17 мая 2015 года</t>
  </si>
  <si>
    <t>Открытый Кубок Санкт-Петербурга по пауэрлифтингу, его отдельным движениям, народному жиму и пауэрспорту по версии IPL Становая тяга без экипировки
17 мая 2015 года</t>
  </si>
  <si>
    <t>Колпино/Ленингадская область</t>
  </si>
  <si>
    <t xml:space="preserve">Таранухин Георгий </t>
  </si>
  <si>
    <t>Усков Николай</t>
  </si>
  <si>
    <t>Открытый Кубок Санкт-Петербурга по пауэрлифтингу, его отдельным движениям, народному жиму и пауэрспорту по версии IPL Становая тяга без экипировки ДК
17 мая 2015 года</t>
  </si>
  <si>
    <t>Открытый Кубок Санкт-Петербурга по пауэрлифтингу, его отдельным движениям, народному жиму и пауэрспорту по версии IPL Становая тяга в экипировке ДК
17 мая 2015 года</t>
  </si>
  <si>
    <t>Открытый Кубок Санкт-Петербурга по пауэрлифтингу, его отдельным движениям, народному жиму и пауэрспорту по версии IPL Присед без экипировки
17 мая 2015 года</t>
  </si>
  <si>
    <t>Бедоидзе Николай</t>
  </si>
  <si>
    <t>Открытый Кубок Санкт-Петербурга по пауэрлифтингу, его отдельным движениям, народному жиму и пауэрспорту по версии IPL Присед без экипировки ДК
17 мая 2015 года</t>
  </si>
  <si>
    <t>Gloss</t>
  </si>
  <si>
    <t>ЖИМ</t>
  </si>
  <si>
    <t>Тоннаж</t>
  </si>
  <si>
    <t>Вес</t>
  </si>
  <si>
    <t>Номинация 1/2 веса</t>
  </si>
  <si>
    <t>1290</t>
  </si>
  <si>
    <t>1301,997</t>
  </si>
  <si>
    <t>Сагань Наталья</t>
  </si>
  <si>
    <t>Masters 40-49 (21.10.1967)/47</t>
  </si>
  <si>
    <t>59,40</t>
  </si>
  <si>
    <t>780</t>
  </si>
  <si>
    <t>776,568</t>
  </si>
  <si>
    <t>Номинация собственный вес</t>
  </si>
  <si>
    <t xml:space="preserve">Кронштадт/Санкт-Петербург </t>
  </si>
  <si>
    <t>60</t>
  </si>
  <si>
    <t>11</t>
  </si>
  <si>
    <t>660</t>
  </si>
  <si>
    <t>549,648</t>
  </si>
  <si>
    <t>Денисов Дмитрий</t>
  </si>
  <si>
    <t>62,40</t>
  </si>
  <si>
    <t xml:space="preserve">Rot Iron </t>
  </si>
  <si>
    <t>62,5</t>
  </si>
  <si>
    <t>20</t>
  </si>
  <si>
    <t>1250</t>
  </si>
  <si>
    <t>1003,125</t>
  </si>
  <si>
    <t>Бондаренко Олег</t>
  </si>
  <si>
    <t>Teen 13-19 (17.07.1998)/16</t>
  </si>
  <si>
    <t>68,30</t>
  </si>
  <si>
    <t>70</t>
  </si>
  <si>
    <t>9</t>
  </si>
  <si>
    <t>630</t>
  </si>
  <si>
    <t>466,893</t>
  </si>
  <si>
    <t xml:space="preserve">Клиппенштейн И.Р. </t>
  </si>
  <si>
    <t>Соловьев Григорий</t>
  </si>
  <si>
    <t>Open (30.08.1983)/31</t>
  </si>
  <si>
    <t>74,60</t>
  </si>
  <si>
    <t>75</t>
  </si>
  <si>
    <t>13</t>
  </si>
  <si>
    <t>975</t>
  </si>
  <si>
    <t>674,0175</t>
  </si>
  <si>
    <t>Стариков Алексей</t>
  </si>
  <si>
    <t>Open (09.03.1988)/27</t>
  </si>
  <si>
    <t>90</t>
  </si>
  <si>
    <t>24</t>
  </si>
  <si>
    <t>2160</t>
  </si>
  <si>
    <t>1329,048</t>
  </si>
  <si>
    <t>Голубев Петр</t>
  </si>
  <si>
    <t>Open (03.07.1990)/24</t>
  </si>
  <si>
    <t>91,00</t>
  </si>
  <si>
    <t>1850</t>
  </si>
  <si>
    <t>1125,17</t>
  </si>
  <si>
    <t>100</t>
  </si>
  <si>
    <t>30</t>
  </si>
  <si>
    <t>3000</t>
  </si>
  <si>
    <t>1753,8</t>
  </si>
  <si>
    <t>19</t>
  </si>
  <si>
    <t>1900</t>
  </si>
  <si>
    <t>1110,17</t>
  </si>
  <si>
    <t>Открый Кубок Санкт- Петербурга по пауэрлифтингу, его отдельным движениям, народному жиму и пауэрспорту по версии IPL. Народный жим ДК
17 мая 2015 года</t>
  </si>
  <si>
    <t>Повторения</t>
  </si>
  <si>
    <t>674,017</t>
  </si>
  <si>
    <t>1125,170</t>
  </si>
  <si>
    <t>1753,800</t>
  </si>
  <si>
    <t>1110,170</t>
  </si>
  <si>
    <t>1350</t>
  </si>
  <si>
    <t>1221,615</t>
  </si>
  <si>
    <t>1147,5</t>
  </si>
  <si>
    <t>859,9365</t>
  </si>
  <si>
    <t>Juniors 20-23 (11.08.1994)/20</t>
  </si>
  <si>
    <t>1950</t>
  </si>
  <si>
    <t>Open (05.03.1987)/28</t>
  </si>
  <si>
    <t>74,20</t>
  </si>
  <si>
    <t>3975</t>
  </si>
  <si>
    <t>2758,65</t>
  </si>
  <si>
    <t>Никитин Константин</t>
  </si>
  <si>
    <t>Masters 40-49 (28.05.1970)/45</t>
  </si>
  <si>
    <t>72,30</t>
  </si>
  <si>
    <t>2247,5</t>
  </si>
  <si>
    <t>Логвинов Александр</t>
  </si>
  <si>
    <t>Teen 13-19 (01.11.1997)/17</t>
  </si>
  <si>
    <t>80,00</t>
  </si>
  <si>
    <t>480</t>
  </si>
  <si>
    <t>315,744</t>
  </si>
  <si>
    <t>Ефимчук Алексей</t>
  </si>
  <si>
    <t>Juniors 20-23 (08.08.1991)/23</t>
  </si>
  <si>
    <t>2070</t>
  </si>
  <si>
    <t>1272,015</t>
  </si>
  <si>
    <t>1935</t>
  </si>
  <si>
    <t>1099,854</t>
  </si>
  <si>
    <t>106,80</t>
  </si>
  <si>
    <t>2687,5</t>
  </si>
  <si>
    <t>1524,8875</t>
  </si>
  <si>
    <t>1095,7905</t>
  </si>
  <si>
    <t>1193,832</t>
  </si>
  <si>
    <t>Открытый Кубок Санкт- Петерубрга по пауэрлифтингу, его отдельным движениям, народному жиму и пауэрспорту по версии IPL. Народный жим
17 мая 2015 года</t>
  </si>
  <si>
    <t>859,936</t>
  </si>
  <si>
    <t>1349,400</t>
  </si>
  <si>
    <t>2758,650</t>
  </si>
  <si>
    <t>1591,005</t>
  </si>
  <si>
    <t>1524,887</t>
  </si>
  <si>
    <t>1095,790</t>
  </si>
</sst>
</file>

<file path=xl/styles.xml><?xml version="1.0" encoding="utf-8"?>
<styleSheet xmlns="http://schemas.openxmlformats.org/spreadsheetml/2006/main">
  <numFmts count="2">
    <numFmt numFmtId="165" formatCode="#,##0.0000"/>
    <numFmt numFmtId="166" formatCode="#,##0.0"/>
  </numFmts>
  <fonts count="25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24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trike/>
      <sz val="10"/>
      <name val="Arial Cyr"/>
      <family val="2"/>
      <charset val="204"/>
    </font>
    <font>
      <strike/>
      <sz val="10"/>
      <color indexed="10"/>
      <name val="Arial Cyr"/>
      <family val="2"/>
      <charset val="204"/>
    </font>
    <font>
      <strike/>
      <sz val="10"/>
      <color indexed="17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10"/>
      <color indexed="10"/>
      <name val="Arial Cyr"/>
      <family val="2"/>
      <charset val="204"/>
    </font>
    <font>
      <sz val="15"/>
      <name val="Arial Cyr"/>
      <family val="2"/>
      <charset val="204"/>
    </font>
    <font>
      <strike/>
      <sz val="10"/>
      <color indexed="53"/>
      <name val="Arial Cyr"/>
      <family val="2"/>
      <charset val="204"/>
    </font>
    <font>
      <sz val="10"/>
      <color indexed="21"/>
      <name val="Arial Cyr"/>
      <family val="2"/>
      <charset val="204"/>
    </font>
    <font>
      <sz val="10"/>
      <color indexed="58"/>
      <name val="Arial Cyr"/>
      <family val="2"/>
      <charset val="204"/>
    </font>
    <font>
      <b/>
      <sz val="10"/>
      <name val="Arial Cyr"/>
      <charset val="204"/>
    </font>
    <font>
      <b/>
      <sz val="18"/>
      <name val="Arial Cyr"/>
      <family val="2"/>
      <charset val="204"/>
    </font>
    <font>
      <b/>
      <i/>
      <sz val="18"/>
      <name val="Arial Cyr"/>
      <family val="2"/>
      <charset val="204"/>
    </font>
    <font>
      <sz val="18"/>
      <name val="Arial Cyr"/>
      <family val="2"/>
      <charset val="204"/>
    </font>
    <font>
      <b/>
      <sz val="11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/>
    <xf numFmtId="49" fontId="6" fillId="0" borderId="2" xfId="0" applyNumberFormat="1" applyFont="1" applyBorder="1"/>
    <xf numFmtId="49" fontId="7" fillId="0" borderId="2" xfId="0" applyNumberFormat="1" applyFont="1" applyBorder="1"/>
    <xf numFmtId="49" fontId="1" fillId="0" borderId="2" xfId="0" applyNumberFormat="1" applyFont="1" applyBorder="1" applyAlignment="1">
      <alignment horizontal="center"/>
    </xf>
    <xf numFmtId="49" fontId="8" fillId="0" borderId="2" xfId="0" applyNumberFormat="1" applyFont="1" applyBorder="1"/>
    <xf numFmtId="49" fontId="0" fillId="0" borderId="3" xfId="0" applyNumberFormat="1" applyFont="1" applyBorder="1"/>
    <xf numFmtId="49" fontId="6" fillId="0" borderId="3" xfId="0" applyNumberFormat="1" applyFont="1" applyBorder="1"/>
    <xf numFmtId="49" fontId="7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49" fontId="0" fillId="0" borderId="4" xfId="0" applyNumberFormat="1" applyFont="1" applyBorder="1"/>
    <xf numFmtId="49" fontId="6" fillId="0" borderId="4" xfId="0" applyNumberFormat="1" applyFont="1" applyBorder="1"/>
    <xf numFmtId="49" fontId="7" fillId="0" borderId="4" xfId="0" applyNumberFormat="1" applyFont="1" applyBorder="1"/>
    <xf numFmtId="49" fontId="0" fillId="0" borderId="5" xfId="0" applyNumberFormat="1" applyFont="1" applyBorder="1"/>
    <xf numFmtId="49" fontId="6" fillId="0" borderId="5" xfId="0" applyNumberFormat="1" applyFont="1" applyBorder="1"/>
    <xf numFmtId="49" fontId="7" fillId="0" borderId="5" xfId="0" applyNumberFormat="1" applyFont="1" applyBorder="1"/>
    <xf numFmtId="49" fontId="8" fillId="0" borderId="4" xfId="0" applyNumberFormat="1" applyFont="1" applyBorder="1"/>
    <xf numFmtId="49" fontId="8" fillId="0" borderId="3" xfId="0" applyNumberFormat="1" applyFont="1" applyBorder="1"/>
    <xf numFmtId="49" fontId="10" fillId="0" borderId="0" xfId="0" applyNumberFormat="1" applyFont="1" applyAlignment="1">
      <alignment horizontal="left"/>
    </xf>
    <xf numFmtId="49" fontId="11" fillId="0" borderId="0" xfId="0" applyNumberFormat="1" applyFont="1"/>
    <xf numFmtId="49" fontId="12" fillId="0" borderId="0" xfId="0" applyNumberFormat="1" applyFont="1"/>
    <xf numFmtId="49" fontId="13" fillId="0" borderId="0" xfId="0" applyNumberFormat="1" applyFont="1"/>
    <xf numFmtId="49" fontId="3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indent="1"/>
    </xf>
    <xf numFmtId="49" fontId="8" fillId="0" borderId="5" xfId="0" applyNumberFormat="1" applyFont="1" applyBorder="1"/>
    <xf numFmtId="49" fontId="9" fillId="0" borderId="2" xfId="0" applyNumberFormat="1" applyFont="1" applyBorder="1"/>
    <xf numFmtId="49" fontId="9" fillId="0" borderId="3" xfId="0" applyNumberFormat="1" applyFont="1" applyBorder="1"/>
    <xf numFmtId="49" fontId="14" fillId="0" borderId="3" xfId="0" applyNumberFormat="1" applyFont="1" applyBorder="1"/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16" fillId="0" borderId="2" xfId="0" applyNumberFormat="1" applyFont="1" applyBorder="1"/>
    <xf numFmtId="0" fontId="0" fillId="0" borderId="0" xfId="0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49" fontId="0" fillId="0" borderId="9" xfId="0" applyNumberFormat="1" applyBorder="1" applyAlignment="1">
      <alignment horizontal="left"/>
    </xf>
    <xf numFmtId="49" fontId="6" fillId="0" borderId="9" xfId="0" applyNumberFormat="1" applyFont="1" applyBorder="1"/>
    <xf numFmtId="49" fontId="18" fillId="0" borderId="9" xfId="0" applyNumberFormat="1" applyFont="1" applyBorder="1"/>
    <xf numFmtId="49" fontId="1" fillId="0" borderId="9" xfId="0" applyNumberFormat="1" applyFont="1" applyBorder="1" applyAlignment="1">
      <alignment horizontal="center"/>
    </xf>
    <xf numFmtId="49" fontId="0" fillId="0" borderId="2" xfId="0" applyNumberFormat="1" applyBorder="1"/>
    <xf numFmtId="0" fontId="0" fillId="0" borderId="10" xfId="0" applyBorder="1"/>
    <xf numFmtId="49" fontId="0" fillId="0" borderId="2" xfId="0" applyNumberForma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9" fontId="0" fillId="0" borderId="9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49" fontId="0" fillId="0" borderId="11" xfId="0" applyNumberFormat="1" applyFont="1" applyBorder="1"/>
    <xf numFmtId="49" fontId="0" fillId="0" borderId="9" xfId="0" applyNumberFormat="1" applyFont="1" applyBorder="1"/>
    <xf numFmtId="49" fontId="8" fillId="0" borderId="9" xfId="0" applyNumberFormat="1" applyFont="1" applyBorder="1"/>
    <xf numFmtId="49" fontId="7" fillId="0" borderId="9" xfId="0" applyNumberFormat="1" applyFont="1" applyBorder="1"/>
    <xf numFmtId="49" fontId="0" fillId="0" borderId="12" xfId="0" applyNumberFormat="1" applyFont="1" applyBorder="1"/>
    <xf numFmtId="49" fontId="0" fillId="0" borderId="13" xfId="0" applyNumberFormat="1" applyFont="1" applyBorder="1"/>
    <xf numFmtId="49" fontId="0" fillId="0" borderId="14" xfId="0" applyNumberFormat="1" applyFont="1" applyBorder="1"/>
    <xf numFmtId="49" fontId="8" fillId="0" borderId="14" xfId="0" applyNumberFormat="1" applyFont="1" applyBorder="1"/>
    <xf numFmtId="49" fontId="7" fillId="0" borderId="14" xfId="0" applyNumberFormat="1" applyFont="1" applyBorder="1"/>
    <xf numFmtId="49" fontId="0" fillId="0" borderId="0" xfId="0" applyNumberFormat="1" applyAlignment="1">
      <alignment horizontal="center"/>
    </xf>
    <xf numFmtId="49" fontId="0" fillId="0" borderId="3" xfId="0" applyNumberFormat="1" applyBorder="1"/>
    <xf numFmtId="49" fontId="0" fillId="0" borderId="9" xfId="0" applyNumberFormat="1" applyBorder="1"/>
    <xf numFmtId="49" fontId="0" fillId="0" borderId="15" xfId="0" applyNumberFormat="1" applyFont="1" applyBorder="1"/>
    <xf numFmtId="49" fontId="8" fillId="0" borderId="16" xfId="0" applyNumberFormat="1" applyFont="1" applyBorder="1"/>
    <xf numFmtId="49" fontId="0" fillId="0" borderId="17" xfId="0" applyNumberFormat="1" applyBorder="1"/>
    <xf numFmtId="49" fontId="6" fillId="0" borderId="16" xfId="0" applyNumberFormat="1" applyFont="1" applyBorder="1"/>
    <xf numFmtId="49" fontId="7" fillId="0" borderId="18" xfId="0" applyNumberFormat="1" applyFont="1" applyBorder="1"/>
    <xf numFmtId="49" fontId="1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/>
    <xf numFmtId="49" fontId="0" fillId="0" borderId="9" xfId="0" applyNumberForma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49" fontId="0" fillId="0" borderId="19" xfId="0" applyNumberFormat="1" applyFont="1" applyBorder="1"/>
    <xf numFmtId="49" fontId="6" fillId="0" borderId="20" xfId="0" applyNumberFormat="1" applyFont="1" applyBorder="1"/>
    <xf numFmtId="49" fontId="0" fillId="0" borderId="18" xfId="0" applyNumberFormat="1" applyFont="1" applyBorder="1"/>
    <xf numFmtId="49" fontId="0" fillId="0" borderId="12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21" xfId="0" applyNumberFormat="1" applyBorder="1"/>
    <xf numFmtId="49" fontId="6" fillId="0" borderId="22" xfId="0" applyNumberFormat="1" applyFont="1" applyBorder="1"/>
    <xf numFmtId="49" fontId="8" fillId="0" borderId="22" xfId="0" applyNumberFormat="1" applyFont="1" applyBorder="1"/>
    <xf numFmtId="166" fontId="19" fillId="0" borderId="3" xfId="0" applyNumberFormat="1" applyFont="1" applyBorder="1" applyAlignment="1">
      <alignment horizontal="center"/>
    </xf>
    <xf numFmtId="166" fontId="19" fillId="0" borderId="9" xfId="0" applyNumberFormat="1" applyFont="1" applyBorder="1" applyAlignment="1">
      <alignment horizontal="center"/>
    </xf>
    <xf numFmtId="166" fontId="19" fillId="0" borderId="4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49" fontId="0" fillId="0" borderId="23" xfId="0" applyNumberFormat="1" applyFont="1" applyBorder="1"/>
    <xf numFmtId="49" fontId="0" fillId="0" borderId="24" xfId="0" applyNumberFormat="1" applyFont="1" applyBorder="1"/>
    <xf numFmtId="49" fontId="6" fillId="0" borderId="24" xfId="0" applyNumberFormat="1" applyFont="1" applyBorder="1"/>
    <xf numFmtId="49" fontId="7" fillId="0" borderId="24" xfId="0" applyNumberFormat="1" applyFont="1" applyBorder="1"/>
    <xf numFmtId="49" fontId="8" fillId="0" borderId="24" xfId="0" applyNumberFormat="1" applyFont="1" applyBorder="1"/>
    <xf numFmtId="49" fontId="0" fillId="0" borderId="25" xfId="0" applyNumberFormat="1" applyFont="1" applyBorder="1"/>
    <xf numFmtId="49" fontId="9" fillId="0" borderId="9" xfId="0" applyNumberFormat="1" applyFont="1" applyBorder="1"/>
    <xf numFmtId="166" fontId="1" fillId="0" borderId="24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0" xfId="0" applyNumberFormat="1" applyBorder="1"/>
    <xf numFmtId="49" fontId="0" fillId="0" borderId="18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49" fontId="0" fillId="0" borderId="32" xfId="0" applyNumberFormat="1" applyFont="1" applyFill="1" applyBorder="1" applyAlignment="1">
      <alignment horizontal="left"/>
    </xf>
    <xf numFmtId="49" fontId="0" fillId="0" borderId="33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left" vertical="center"/>
    </xf>
    <xf numFmtId="49" fontId="22" fillId="0" borderId="39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9" fontId="18" fillId="0" borderId="3" xfId="0" applyNumberFormat="1" applyFont="1" applyBorder="1"/>
    <xf numFmtId="49" fontId="16" fillId="0" borderId="3" xfId="0" applyNumberFormat="1" applyFont="1" applyBorder="1"/>
    <xf numFmtId="49" fontId="4" fillId="0" borderId="53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/>
    <xf numFmtId="0" fontId="0" fillId="0" borderId="55" xfId="0" applyFont="1" applyBorder="1"/>
    <xf numFmtId="0" fontId="0" fillId="0" borderId="17" xfId="0" applyFont="1" applyBorder="1"/>
    <xf numFmtId="49" fontId="0" fillId="0" borderId="38" xfId="0" applyNumberFormat="1" applyFont="1" applyBorder="1"/>
    <xf numFmtId="49" fontId="0" fillId="0" borderId="22" xfId="0" applyNumberFormat="1" applyFont="1" applyBorder="1"/>
    <xf numFmtId="0" fontId="0" fillId="0" borderId="56" xfId="0" applyFont="1" applyBorder="1"/>
    <xf numFmtId="0" fontId="0" fillId="0" borderId="17" xfId="0" applyBorder="1"/>
    <xf numFmtId="165" fontId="0" fillId="0" borderId="56" xfId="0" applyNumberFormat="1" applyFon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7" fillId="0" borderId="17" xfId="0" applyNumberFormat="1" applyFont="1" applyBorder="1"/>
    <xf numFmtId="49" fontId="8" fillId="0" borderId="38" xfId="0" applyNumberFormat="1" applyFont="1" applyBorder="1"/>
    <xf numFmtId="49" fontId="6" fillId="0" borderId="17" xfId="0" applyNumberFormat="1" applyFont="1" applyBorder="1"/>
    <xf numFmtId="49" fontId="6" fillId="0" borderId="38" xfId="0" applyNumberFormat="1" applyFont="1" applyBorder="1"/>
    <xf numFmtId="49" fontId="16" fillId="0" borderId="38" xfId="0" applyNumberFormat="1" applyFont="1" applyBorder="1"/>
    <xf numFmtId="49" fontId="16" fillId="0" borderId="17" xfId="0" applyNumberFormat="1" applyFont="1" applyBorder="1"/>
    <xf numFmtId="49" fontId="17" fillId="0" borderId="38" xfId="0" applyNumberFormat="1" applyFont="1" applyBorder="1"/>
    <xf numFmtId="49" fontId="0" fillId="0" borderId="9" xfId="0" applyNumberFormat="1" applyFont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49" fontId="23" fillId="0" borderId="6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/>
    <xf numFmtId="49" fontId="13" fillId="0" borderId="0" xfId="0" applyNumberFormat="1" applyFont="1" applyAlignment="1"/>
    <xf numFmtId="49" fontId="0" fillId="0" borderId="0" xfId="0" applyNumberFormat="1" applyFont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49" fontId="23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/>
    <xf numFmtId="49" fontId="0" fillId="0" borderId="6" xfId="0" applyNumberFormat="1" applyFont="1" applyBorder="1"/>
    <xf numFmtId="49" fontId="1" fillId="0" borderId="6" xfId="0" applyNumberFormat="1" applyFont="1" applyBorder="1"/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49" fontId="0" fillId="0" borderId="0" xfId="0" applyNumberFormat="1" applyFont="1" applyBorder="1"/>
    <xf numFmtId="0" fontId="0" fillId="0" borderId="0" xfId="0" applyBorder="1" applyAlignment="1">
      <alignment horizontal="left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82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="90" zoomScaleNormal="90" workbookViewId="0">
      <selection activeCell="G6" sqref="G6"/>
    </sheetView>
  </sheetViews>
  <sheetFormatPr defaultRowHeight="12.75"/>
  <cols>
    <col min="1" max="1" width="4.7109375" style="1" customWidth="1"/>
    <col min="2" max="2" width="31.85546875" style="2" customWidth="1"/>
    <col min="3" max="3" width="31" style="2" customWidth="1"/>
    <col min="4" max="4" width="13.42578125" style="2" customWidth="1"/>
    <col min="5" max="5" width="8.42578125" style="2" customWidth="1"/>
    <col min="6" max="6" width="22.7109375" style="2" customWidth="1"/>
    <col min="7" max="7" width="41" style="2" customWidth="1"/>
    <col min="8" max="8" width="6.140625" style="2" customWidth="1"/>
    <col min="9" max="9" width="6" style="2" customWidth="1"/>
    <col min="10" max="11" width="5.28515625" style="2" customWidth="1"/>
    <col min="12" max="12" width="7.85546875" style="3" customWidth="1"/>
    <col min="13" max="13" width="9.7109375" style="2" customWidth="1"/>
    <col min="14" max="14" width="26" style="2" customWidth="1"/>
  </cols>
  <sheetData>
    <row r="1" spans="1:14" s="5" customFormat="1" ht="15" customHeight="1">
      <c r="A1" s="4"/>
      <c r="B1" s="207" t="s">
        <v>603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5" customFormat="1" ht="81.75" customHeight="1">
      <c r="A2" s="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s="6" customFormat="1" ht="12.75" customHeight="1">
      <c r="B3" s="208" t="s">
        <v>1</v>
      </c>
      <c r="C3" s="203" t="s">
        <v>2</v>
      </c>
      <c r="D3" s="202" t="s">
        <v>3</v>
      </c>
      <c r="E3" s="202" t="s">
        <v>4</v>
      </c>
      <c r="F3" s="202" t="s">
        <v>5</v>
      </c>
      <c r="G3" s="202" t="s">
        <v>548</v>
      </c>
      <c r="H3" s="204" t="s">
        <v>30</v>
      </c>
      <c r="I3" s="204"/>
      <c r="J3" s="204"/>
      <c r="K3" s="204"/>
      <c r="L3" s="202" t="s">
        <v>7</v>
      </c>
      <c r="M3" s="202" t="s">
        <v>8</v>
      </c>
      <c r="N3" s="205" t="s">
        <v>9</v>
      </c>
    </row>
    <row r="4" spans="1:14" s="6" customFormat="1" ht="33.75" customHeight="1">
      <c r="B4" s="208"/>
      <c r="C4" s="203"/>
      <c r="D4" s="203"/>
      <c r="E4" s="203"/>
      <c r="F4" s="203"/>
      <c r="G4" s="203"/>
      <c r="H4" s="7">
        <v>1</v>
      </c>
      <c r="I4" s="7">
        <v>2</v>
      </c>
      <c r="J4" s="7">
        <v>3</v>
      </c>
      <c r="K4" s="7" t="s">
        <v>10</v>
      </c>
      <c r="L4" s="202"/>
      <c r="M4" s="202"/>
      <c r="N4" s="205"/>
    </row>
    <row r="5" spans="1:14" ht="15">
      <c r="B5" s="206" t="s">
        <v>31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4">
      <c r="A6" s="1">
        <v>1</v>
      </c>
      <c r="B6" s="8" t="s">
        <v>32</v>
      </c>
      <c r="C6" s="8" t="s">
        <v>33</v>
      </c>
      <c r="D6" s="8" t="s">
        <v>34</v>
      </c>
      <c r="E6" s="8" t="str">
        <f>"0,6699"</f>
        <v>0,6699</v>
      </c>
      <c r="F6" s="8" t="s">
        <v>15</v>
      </c>
      <c r="G6" s="77" t="s">
        <v>559</v>
      </c>
      <c r="H6" s="9" t="s">
        <v>35</v>
      </c>
      <c r="I6" s="12" t="s">
        <v>36</v>
      </c>
      <c r="J6" s="12" t="s">
        <v>37</v>
      </c>
      <c r="K6" s="10"/>
      <c r="L6" s="112">
        <v>210</v>
      </c>
      <c r="M6" s="8" t="str">
        <f>"140,6790"</f>
        <v>140,6790</v>
      </c>
      <c r="N6" s="77" t="s">
        <v>553</v>
      </c>
    </row>
  </sheetData>
  <sheetProtection selectLockedCells="1" selectUnlockedCells="1"/>
  <mergeCells count="12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topLeftCell="C1" zoomScale="90" zoomScaleNormal="90" workbookViewId="0">
      <selection activeCell="G6" sqref="G6"/>
    </sheetView>
  </sheetViews>
  <sheetFormatPr defaultRowHeight="12.75"/>
  <cols>
    <col min="1" max="1" width="4.42578125" style="1" customWidth="1"/>
    <col min="2" max="2" width="31.7109375" style="2" customWidth="1"/>
    <col min="3" max="3" width="30" style="2" customWidth="1"/>
    <col min="4" max="4" width="13.42578125" style="2" customWidth="1"/>
    <col min="5" max="5" width="8.42578125" style="2" customWidth="1"/>
    <col min="6" max="6" width="20.140625" style="2" customWidth="1"/>
    <col min="7" max="7" width="40.7109375" style="2" customWidth="1"/>
    <col min="8" max="10" width="5.28515625" style="2" customWidth="1"/>
    <col min="11" max="11" width="4.5703125" style="2" customWidth="1"/>
    <col min="12" max="12" width="7.85546875" style="3" customWidth="1"/>
    <col min="13" max="13" width="7.5703125" style="2" customWidth="1"/>
    <col min="14" max="14" width="28.42578125" style="2" customWidth="1"/>
  </cols>
  <sheetData>
    <row r="1" spans="1:14" s="5" customFormat="1" ht="15" customHeight="1">
      <c r="A1" s="4"/>
      <c r="B1" s="207" t="s">
        <v>604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5" customFormat="1" ht="81.75" customHeight="1">
      <c r="A2" s="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s="6" customFormat="1" ht="12.75" customHeight="1">
      <c r="B3" s="208" t="s">
        <v>1</v>
      </c>
      <c r="C3" s="203" t="s">
        <v>2</v>
      </c>
      <c r="D3" s="202" t="s">
        <v>3</v>
      </c>
      <c r="E3" s="202" t="s">
        <v>4</v>
      </c>
      <c r="F3" s="202" t="s">
        <v>5</v>
      </c>
      <c r="G3" s="202" t="s">
        <v>548</v>
      </c>
      <c r="H3" s="204" t="s">
        <v>6</v>
      </c>
      <c r="I3" s="204"/>
      <c r="J3" s="204"/>
      <c r="K3" s="204"/>
      <c r="L3" s="202" t="s">
        <v>7</v>
      </c>
      <c r="M3" s="202" t="s">
        <v>8</v>
      </c>
      <c r="N3" s="205" t="s">
        <v>9</v>
      </c>
    </row>
    <row r="4" spans="1:14" s="6" customFormat="1" ht="33.75" customHeight="1">
      <c r="B4" s="208"/>
      <c r="C4" s="203"/>
      <c r="D4" s="203"/>
      <c r="E4" s="203"/>
      <c r="F4" s="203"/>
      <c r="G4" s="203"/>
      <c r="H4" s="7">
        <v>1</v>
      </c>
      <c r="I4" s="7">
        <v>2</v>
      </c>
      <c r="J4" s="7">
        <v>3</v>
      </c>
      <c r="K4" s="7" t="s">
        <v>10</v>
      </c>
      <c r="L4" s="202"/>
      <c r="M4" s="202"/>
      <c r="N4" s="205"/>
    </row>
    <row r="5" spans="1:14" ht="15">
      <c r="B5" s="206" t="s">
        <v>23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4">
      <c r="A6" s="1">
        <v>1</v>
      </c>
      <c r="B6" s="8" t="s">
        <v>24</v>
      </c>
      <c r="C6" s="8" t="s">
        <v>25</v>
      </c>
      <c r="D6" s="8" t="s">
        <v>26</v>
      </c>
      <c r="E6" s="8" t="str">
        <f>"0,8576"</f>
        <v>0,8576</v>
      </c>
      <c r="F6" s="8" t="s">
        <v>27</v>
      </c>
      <c r="G6" s="77" t="s">
        <v>559</v>
      </c>
      <c r="H6" s="9" t="s">
        <v>28</v>
      </c>
      <c r="I6" s="12" t="s">
        <v>29</v>
      </c>
      <c r="J6" s="12" t="s">
        <v>29</v>
      </c>
      <c r="K6" s="10"/>
      <c r="L6" s="112">
        <v>80</v>
      </c>
      <c r="M6" s="8" t="str">
        <f>"68,6080"</f>
        <v>68,6080</v>
      </c>
      <c r="N6" s="77" t="s">
        <v>605</v>
      </c>
    </row>
  </sheetData>
  <sheetProtection selectLockedCells="1" selectUnlockedCells="1"/>
  <mergeCells count="12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topLeftCell="C7" zoomScale="90" zoomScaleNormal="90" workbookViewId="0">
      <selection activeCell="G6" sqref="G6"/>
    </sheetView>
  </sheetViews>
  <sheetFormatPr defaultRowHeight="12.75"/>
  <cols>
    <col min="1" max="1" width="4.5703125" style="1" customWidth="1"/>
    <col min="2" max="2" width="24.5703125" style="2" customWidth="1"/>
    <col min="3" max="3" width="30.7109375" style="2" customWidth="1"/>
    <col min="4" max="4" width="13.42578125" style="2" customWidth="1"/>
    <col min="5" max="5" width="8.42578125" style="2" customWidth="1"/>
    <col min="6" max="6" width="22.7109375" style="2" customWidth="1"/>
    <col min="7" max="7" width="40.140625" style="2" customWidth="1"/>
    <col min="8" max="10" width="5.5703125" style="2" customWidth="1"/>
    <col min="11" max="11" width="4.5703125" style="2" customWidth="1"/>
    <col min="12" max="12" width="7.85546875" style="3" customWidth="1"/>
    <col min="13" max="13" width="9.28515625" style="2" customWidth="1"/>
    <col min="14" max="14" width="35.140625" style="2" customWidth="1"/>
  </cols>
  <sheetData>
    <row r="1" spans="1:14" s="5" customFormat="1" ht="15" customHeight="1">
      <c r="A1" s="4"/>
      <c r="B1" s="207" t="s">
        <v>586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5" customFormat="1" ht="96.75" customHeight="1">
      <c r="A2" s="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s="6" customFormat="1" ht="12.75" customHeight="1">
      <c r="B3" s="208" t="s">
        <v>1</v>
      </c>
      <c r="C3" s="203" t="s">
        <v>2</v>
      </c>
      <c r="D3" s="202" t="s">
        <v>3</v>
      </c>
      <c r="E3" s="202" t="s">
        <v>4</v>
      </c>
      <c r="F3" s="202" t="s">
        <v>5</v>
      </c>
      <c r="G3" s="202" t="s">
        <v>548</v>
      </c>
      <c r="H3" s="204" t="s">
        <v>143</v>
      </c>
      <c r="I3" s="204"/>
      <c r="J3" s="204"/>
      <c r="K3" s="204"/>
      <c r="L3" s="202" t="s">
        <v>7</v>
      </c>
      <c r="M3" s="202" t="s">
        <v>8</v>
      </c>
      <c r="N3" s="205" t="s">
        <v>9</v>
      </c>
    </row>
    <row r="4" spans="1:14" s="6" customFormat="1" ht="25.5" customHeight="1">
      <c r="B4" s="208"/>
      <c r="C4" s="203"/>
      <c r="D4" s="203"/>
      <c r="E4" s="203"/>
      <c r="F4" s="203"/>
      <c r="G4" s="203"/>
      <c r="H4" s="7">
        <v>1</v>
      </c>
      <c r="I4" s="7">
        <v>2</v>
      </c>
      <c r="J4" s="7">
        <v>3</v>
      </c>
      <c r="K4" s="7" t="s">
        <v>10</v>
      </c>
      <c r="L4" s="202"/>
      <c r="M4" s="202"/>
      <c r="N4" s="205"/>
    </row>
    <row r="5" spans="1:14" ht="15">
      <c r="B5" s="206" t="s">
        <v>17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4">
      <c r="A6" s="1">
        <v>1</v>
      </c>
      <c r="B6" s="8" t="s">
        <v>379</v>
      </c>
      <c r="C6" s="8" t="s">
        <v>380</v>
      </c>
      <c r="D6" s="8" t="s">
        <v>381</v>
      </c>
      <c r="E6" s="8" t="str">
        <f>"0,6455"</f>
        <v>0,6455</v>
      </c>
      <c r="F6" s="120" t="s">
        <v>382</v>
      </c>
      <c r="G6" s="106" t="s">
        <v>566</v>
      </c>
      <c r="H6" s="125" t="s">
        <v>58</v>
      </c>
      <c r="I6" s="9" t="s">
        <v>151</v>
      </c>
      <c r="J6" s="10"/>
      <c r="K6" s="10"/>
      <c r="L6" s="112">
        <v>175</v>
      </c>
      <c r="M6" s="8" t="str">
        <f>"112,9625"</f>
        <v>112,9625</v>
      </c>
      <c r="N6" s="77" t="s">
        <v>558</v>
      </c>
    </row>
    <row r="8" spans="1:14" ht="15">
      <c r="B8" s="209" t="s">
        <v>184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1:14">
      <c r="A9" s="1">
        <v>1</v>
      </c>
      <c r="B9" s="8" t="s">
        <v>383</v>
      </c>
      <c r="C9" s="8" t="s">
        <v>384</v>
      </c>
      <c r="D9" s="8" t="s">
        <v>385</v>
      </c>
      <c r="E9" s="8" t="str">
        <f>"0,5867"</f>
        <v>0,5867</v>
      </c>
      <c r="F9" s="120" t="s">
        <v>382</v>
      </c>
      <c r="G9" s="106" t="s">
        <v>566</v>
      </c>
      <c r="H9" s="126" t="s">
        <v>181</v>
      </c>
      <c r="I9" s="9" t="s">
        <v>181</v>
      </c>
      <c r="J9" s="12" t="s">
        <v>56</v>
      </c>
      <c r="K9" s="10"/>
      <c r="L9" s="112">
        <v>140</v>
      </c>
      <c r="M9" s="8" t="str">
        <f>"82,1380"</f>
        <v>82,1380</v>
      </c>
      <c r="N9" s="77" t="s">
        <v>587</v>
      </c>
    </row>
  </sheetData>
  <sheetProtection selectLockedCells="1" selectUnlockedCells="1"/>
  <mergeCells count="13">
    <mergeCell ref="N3:N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"/>
  <sheetViews>
    <sheetView topLeftCell="A10" zoomScale="90" zoomScaleNormal="90" workbookViewId="0">
      <selection activeCell="L11" sqref="L11"/>
    </sheetView>
  </sheetViews>
  <sheetFormatPr defaultRowHeight="12.75"/>
  <cols>
    <col min="1" max="1" width="5" style="1" customWidth="1"/>
    <col min="2" max="2" width="31.85546875" style="2" customWidth="1"/>
    <col min="3" max="3" width="26.42578125" style="2" customWidth="1"/>
    <col min="4" max="4" width="13.42578125" style="2" customWidth="1"/>
    <col min="5" max="5" width="8.42578125" style="2" customWidth="1"/>
    <col min="6" max="6" width="22.7109375" style="2" customWidth="1"/>
    <col min="7" max="7" width="41" style="2" customWidth="1"/>
    <col min="8" max="10" width="5.5703125" style="2" customWidth="1"/>
    <col min="11" max="11" width="4.5703125" style="2" customWidth="1"/>
    <col min="12" max="12" width="7.85546875" style="2" customWidth="1"/>
    <col min="13" max="13" width="9.85546875" style="2" customWidth="1"/>
    <col min="14" max="14" width="20.5703125" style="2" customWidth="1"/>
  </cols>
  <sheetData>
    <row r="1" spans="1:14" s="5" customFormat="1" ht="15" customHeight="1">
      <c r="A1" s="4"/>
      <c r="B1" s="207" t="s">
        <v>585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5" customFormat="1" ht="81.75" customHeight="1">
      <c r="A2" s="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s="6" customFormat="1" ht="12.75" customHeight="1">
      <c r="B3" s="208" t="s">
        <v>1</v>
      </c>
      <c r="C3" s="203" t="s">
        <v>2</v>
      </c>
      <c r="D3" s="202" t="s">
        <v>3</v>
      </c>
      <c r="E3" s="202" t="s">
        <v>4</v>
      </c>
      <c r="F3" s="202" t="s">
        <v>5</v>
      </c>
      <c r="G3" s="202" t="s">
        <v>548</v>
      </c>
      <c r="H3" s="204" t="s">
        <v>143</v>
      </c>
      <c r="I3" s="204"/>
      <c r="J3" s="204"/>
      <c r="K3" s="204"/>
      <c r="L3" s="202" t="s">
        <v>7</v>
      </c>
      <c r="M3" s="202" t="s">
        <v>8</v>
      </c>
      <c r="N3" s="205" t="s">
        <v>9</v>
      </c>
    </row>
    <row r="4" spans="1:14" s="6" customFormat="1" ht="33.75" customHeight="1">
      <c r="B4" s="208"/>
      <c r="C4" s="203"/>
      <c r="D4" s="203"/>
      <c r="E4" s="203"/>
      <c r="F4" s="203"/>
      <c r="G4" s="203"/>
      <c r="H4" s="7">
        <v>1</v>
      </c>
      <c r="I4" s="7">
        <v>2</v>
      </c>
      <c r="J4" s="7">
        <v>3</v>
      </c>
      <c r="K4" s="7" t="s">
        <v>10</v>
      </c>
      <c r="L4" s="202"/>
      <c r="M4" s="202"/>
      <c r="N4" s="205"/>
    </row>
    <row r="5" spans="1:14" ht="15">
      <c r="B5" s="206" t="s">
        <v>17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4">
      <c r="A6" s="1">
        <v>1</v>
      </c>
      <c r="B6" s="13" t="s">
        <v>386</v>
      </c>
      <c r="C6" s="13" t="s">
        <v>387</v>
      </c>
      <c r="D6" s="13" t="s">
        <v>225</v>
      </c>
      <c r="E6" s="13" t="str">
        <f>"0,6428"</f>
        <v>0,6428</v>
      </c>
      <c r="F6" s="13" t="s">
        <v>15</v>
      </c>
      <c r="G6" s="102" t="s">
        <v>566</v>
      </c>
      <c r="H6" s="24" t="s">
        <v>210</v>
      </c>
      <c r="I6" s="14" t="s">
        <v>210</v>
      </c>
      <c r="J6" s="14" t="s">
        <v>233</v>
      </c>
      <c r="K6" s="15"/>
      <c r="L6" s="127">
        <v>207.5</v>
      </c>
      <c r="M6" s="13" t="str">
        <f>"133,3810"</f>
        <v>133,3810</v>
      </c>
      <c r="N6" s="102" t="s">
        <v>553</v>
      </c>
    </row>
    <row r="7" spans="1:14">
      <c r="A7" s="1">
        <v>1</v>
      </c>
      <c r="B7" s="92" t="s">
        <v>386</v>
      </c>
      <c r="C7" s="93" t="s">
        <v>388</v>
      </c>
      <c r="D7" s="93" t="s">
        <v>225</v>
      </c>
      <c r="E7" s="93" t="str">
        <f>"0,6428"</f>
        <v>0,6428</v>
      </c>
      <c r="F7" s="93" t="s">
        <v>15</v>
      </c>
      <c r="G7" s="102" t="s">
        <v>566</v>
      </c>
      <c r="H7" s="94" t="s">
        <v>210</v>
      </c>
      <c r="I7" s="74" t="s">
        <v>210</v>
      </c>
      <c r="J7" s="74" t="s">
        <v>233</v>
      </c>
      <c r="K7" s="95"/>
      <c r="L7" s="128">
        <v>207.5</v>
      </c>
      <c r="M7" s="93" t="str">
        <f>"133,3810"</f>
        <v>133,3810</v>
      </c>
      <c r="N7" s="121" t="s">
        <v>553</v>
      </c>
    </row>
    <row r="8" spans="1:14">
      <c r="B8" s="17" t="s">
        <v>389</v>
      </c>
      <c r="C8" s="17" t="s">
        <v>390</v>
      </c>
      <c r="D8" s="17" t="s">
        <v>288</v>
      </c>
      <c r="E8" s="17" t="str">
        <f>"0,6384"</f>
        <v>0,6384</v>
      </c>
      <c r="F8" s="104" t="s">
        <v>15</v>
      </c>
      <c r="G8" s="106" t="s">
        <v>566</v>
      </c>
      <c r="H8" s="105" t="s">
        <v>210</v>
      </c>
      <c r="I8" s="23" t="s">
        <v>210</v>
      </c>
      <c r="J8" s="23" t="s">
        <v>35</v>
      </c>
      <c r="K8" s="19"/>
      <c r="L8" s="129">
        <v>0</v>
      </c>
      <c r="M8" s="17" t="str">
        <f>"0,0000"</f>
        <v>0,0000</v>
      </c>
      <c r="N8" s="17" t="s">
        <v>391</v>
      </c>
    </row>
    <row r="10" spans="1:14" ht="15">
      <c r="B10" s="209" t="s">
        <v>60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</row>
    <row r="11" spans="1:14">
      <c r="A11" s="1">
        <v>1</v>
      </c>
      <c r="B11" s="8" t="s">
        <v>392</v>
      </c>
      <c r="C11" s="8" t="s">
        <v>393</v>
      </c>
      <c r="D11" s="8" t="s">
        <v>394</v>
      </c>
      <c r="E11" s="8" t="str">
        <f>"0,6315"</f>
        <v>0,6315</v>
      </c>
      <c r="F11" s="8" t="s">
        <v>15</v>
      </c>
      <c r="G11" s="8" t="s">
        <v>314</v>
      </c>
      <c r="H11" s="9" t="s">
        <v>114</v>
      </c>
      <c r="I11" s="9" t="s">
        <v>92</v>
      </c>
      <c r="J11" s="12" t="s">
        <v>103</v>
      </c>
      <c r="K11" s="10"/>
      <c r="L11" s="130">
        <v>245</v>
      </c>
      <c r="M11" s="8" t="str">
        <f>"154,7175"</f>
        <v>154,7175</v>
      </c>
      <c r="N11" s="77" t="s">
        <v>553</v>
      </c>
    </row>
  </sheetData>
  <sheetProtection selectLockedCells="1" selectUnlockedCells="1"/>
  <mergeCells count="13">
    <mergeCell ref="N3:N4"/>
    <mergeCell ref="B5:M5"/>
    <mergeCell ref="B10:M10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3"/>
  <sheetViews>
    <sheetView topLeftCell="A34" zoomScale="90" zoomScaleNormal="90" workbookViewId="0">
      <selection activeCell="B54" sqref="B54:B63"/>
    </sheetView>
  </sheetViews>
  <sheetFormatPr defaultRowHeight="12.75"/>
  <cols>
    <col min="1" max="1" width="4.42578125" style="1" customWidth="1"/>
    <col min="2" max="2" width="31.85546875" style="2" customWidth="1"/>
    <col min="3" max="3" width="27.7109375" style="2" customWidth="1"/>
    <col min="4" max="4" width="13.42578125" style="2" customWidth="1"/>
    <col min="5" max="5" width="11.85546875" style="2" customWidth="1"/>
    <col min="6" max="6" width="22.7109375" style="2" customWidth="1"/>
    <col min="7" max="7" width="39.140625" style="2" customWidth="1"/>
    <col min="8" max="10" width="5.5703125" style="2" customWidth="1"/>
    <col min="11" max="11" width="4.5703125" style="2" customWidth="1"/>
    <col min="12" max="12" width="9" style="3" customWidth="1"/>
    <col min="13" max="13" width="9.42578125" style="2" customWidth="1"/>
    <col min="14" max="14" width="21.5703125" style="2" customWidth="1"/>
  </cols>
  <sheetData>
    <row r="1" spans="1:14" s="5" customFormat="1" ht="15" customHeight="1">
      <c r="A1" s="4"/>
      <c r="B1" s="207" t="s">
        <v>565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5" customFormat="1" ht="81.75" customHeight="1">
      <c r="A2" s="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s="6" customFormat="1" ht="12.75" customHeight="1">
      <c r="B3" s="208" t="s">
        <v>1</v>
      </c>
      <c r="C3" s="203" t="s">
        <v>2</v>
      </c>
      <c r="D3" s="202" t="s">
        <v>3</v>
      </c>
      <c r="E3" s="202" t="s">
        <v>4</v>
      </c>
      <c r="F3" s="202" t="s">
        <v>5</v>
      </c>
      <c r="G3" s="202" t="s">
        <v>548</v>
      </c>
      <c r="H3" s="204" t="s">
        <v>143</v>
      </c>
      <c r="I3" s="204"/>
      <c r="J3" s="204"/>
      <c r="K3" s="204"/>
      <c r="L3" s="202" t="s">
        <v>7</v>
      </c>
      <c r="M3" s="202" t="s">
        <v>8</v>
      </c>
      <c r="N3" s="205" t="s">
        <v>9</v>
      </c>
    </row>
    <row r="4" spans="1:14" s="6" customFormat="1" ht="33.75" customHeight="1">
      <c r="B4" s="208"/>
      <c r="C4" s="203"/>
      <c r="D4" s="203"/>
      <c r="E4" s="203"/>
      <c r="F4" s="203"/>
      <c r="G4" s="203"/>
      <c r="H4" s="7">
        <v>1</v>
      </c>
      <c r="I4" s="7">
        <v>2</v>
      </c>
      <c r="J4" s="7">
        <v>3</v>
      </c>
      <c r="K4" s="7" t="s">
        <v>10</v>
      </c>
      <c r="L4" s="202"/>
      <c r="M4" s="202"/>
      <c r="N4" s="205"/>
    </row>
    <row r="5" spans="1:14" ht="15">
      <c r="B5" s="206" t="s">
        <v>11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4">
      <c r="A6" s="1">
        <v>1</v>
      </c>
      <c r="B6" s="8" t="s">
        <v>12</v>
      </c>
      <c r="C6" s="8" t="s">
        <v>13</v>
      </c>
      <c r="D6" s="8" t="s">
        <v>14</v>
      </c>
      <c r="E6" s="8" t="str">
        <f>"1,2485"</f>
        <v>1,2485</v>
      </c>
      <c r="F6" s="8" t="s">
        <v>15</v>
      </c>
      <c r="G6" s="77" t="s">
        <v>566</v>
      </c>
      <c r="H6" s="9" t="s">
        <v>147</v>
      </c>
      <c r="I6" s="10"/>
      <c r="J6" s="10"/>
      <c r="K6" s="10"/>
      <c r="L6" s="112">
        <v>45</v>
      </c>
      <c r="M6" s="120" t="str">
        <f>"56,1825"</f>
        <v>56,1825</v>
      </c>
      <c r="N6" s="106" t="s">
        <v>553</v>
      </c>
    </row>
    <row r="8" spans="1:14" ht="15">
      <c r="B8" s="209" t="s">
        <v>39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1:14">
      <c r="A9" s="1">
        <v>1</v>
      </c>
      <c r="B9" s="13" t="s">
        <v>395</v>
      </c>
      <c r="C9" s="13" t="s">
        <v>396</v>
      </c>
      <c r="D9" s="13" t="s">
        <v>397</v>
      </c>
      <c r="E9" s="13" t="str">
        <f>"1,2123"</f>
        <v>1,2123</v>
      </c>
      <c r="F9" s="13" t="s">
        <v>15</v>
      </c>
      <c r="G9" s="102" t="s">
        <v>566</v>
      </c>
      <c r="H9" s="14" t="s">
        <v>147</v>
      </c>
      <c r="I9" s="24" t="s">
        <v>200</v>
      </c>
      <c r="J9" s="24" t="s">
        <v>200</v>
      </c>
      <c r="K9" s="15"/>
      <c r="L9" s="113">
        <v>45</v>
      </c>
      <c r="M9" s="13" t="str">
        <f>"54,5535"</f>
        <v>54,5535</v>
      </c>
      <c r="N9" s="102" t="s">
        <v>88</v>
      </c>
    </row>
    <row r="10" spans="1:14">
      <c r="A10" s="1">
        <v>2</v>
      </c>
      <c r="B10" s="92" t="s">
        <v>398</v>
      </c>
      <c r="C10" s="93" t="s">
        <v>399</v>
      </c>
      <c r="D10" s="93" t="s">
        <v>400</v>
      </c>
      <c r="E10" s="93" t="str">
        <f>"1,1766"</f>
        <v>1,1766</v>
      </c>
      <c r="F10" s="93" t="s">
        <v>401</v>
      </c>
      <c r="G10" s="103" t="s">
        <v>566</v>
      </c>
      <c r="H10" s="74" t="s">
        <v>168</v>
      </c>
      <c r="I10" s="74" t="s">
        <v>145</v>
      </c>
      <c r="J10" s="94" t="s">
        <v>146</v>
      </c>
      <c r="K10" s="95"/>
      <c r="L10" s="114">
        <v>40</v>
      </c>
      <c r="M10" s="93" t="str">
        <f>"47,0640"</f>
        <v>47,0640</v>
      </c>
      <c r="N10" s="121" t="s">
        <v>580</v>
      </c>
    </row>
    <row r="12" spans="1:14" ht="15">
      <c r="B12" s="209" t="s">
        <v>45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</row>
    <row r="13" spans="1:14">
      <c r="A13" s="1">
        <v>1</v>
      </c>
      <c r="B13" s="8" t="s">
        <v>402</v>
      </c>
      <c r="C13" s="8" t="s">
        <v>403</v>
      </c>
      <c r="D13" s="8" t="s">
        <v>404</v>
      </c>
      <c r="E13" s="8" t="str">
        <f>"1,1149"</f>
        <v>1,1149</v>
      </c>
      <c r="F13" s="8" t="s">
        <v>15</v>
      </c>
      <c r="G13" s="77" t="s">
        <v>566</v>
      </c>
      <c r="H13" s="9" t="s">
        <v>199</v>
      </c>
      <c r="I13" s="12" t="s">
        <v>200</v>
      </c>
      <c r="J13" s="12" t="s">
        <v>200</v>
      </c>
      <c r="K13" s="10"/>
      <c r="L13" s="11">
        <v>47.5</v>
      </c>
      <c r="M13" s="8" t="str">
        <f>"52,9577"</f>
        <v>52,9577</v>
      </c>
      <c r="N13" s="77" t="s">
        <v>581</v>
      </c>
    </row>
    <row r="15" spans="1:14" ht="15">
      <c r="B15" s="209" t="s">
        <v>23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</row>
    <row r="16" spans="1:14">
      <c r="A16" s="1">
        <v>1</v>
      </c>
      <c r="B16" s="8" t="s">
        <v>405</v>
      </c>
      <c r="C16" s="8" t="s">
        <v>406</v>
      </c>
      <c r="D16" s="8" t="s">
        <v>407</v>
      </c>
      <c r="E16" s="8" t="str">
        <f>"0,8101"</f>
        <v>0,8101</v>
      </c>
      <c r="F16" s="8" t="s">
        <v>408</v>
      </c>
      <c r="G16" s="77" t="s">
        <v>566</v>
      </c>
      <c r="H16" s="9" t="s">
        <v>170</v>
      </c>
      <c r="I16" s="9" t="s">
        <v>243</v>
      </c>
      <c r="J16" s="12" t="s">
        <v>171</v>
      </c>
      <c r="K16" s="10"/>
      <c r="L16" s="112">
        <v>65</v>
      </c>
      <c r="M16" s="8" t="str">
        <f>"52,6565"</f>
        <v>52,6565</v>
      </c>
      <c r="N16" s="8" t="s">
        <v>409</v>
      </c>
    </row>
    <row r="18" spans="1:14" ht="15">
      <c r="B18" s="209" t="s">
        <v>194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</row>
    <row r="19" spans="1:14">
      <c r="A19" s="1">
        <v>1</v>
      </c>
      <c r="B19" s="8" t="s">
        <v>410</v>
      </c>
      <c r="C19" s="8" t="s">
        <v>411</v>
      </c>
      <c r="D19" s="8" t="s">
        <v>412</v>
      </c>
      <c r="E19" s="8" t="str">
        <f>"0,7794"</f>
        <v>0,7794</v>
      </c>
      <c r="F19" s="8" t="s">
        <v>175</v>
      </c>
      <c r="G19" s="77" t="s">
        <v>566</v>
      </c>
      <c r="H19" s="9" t="s">
        <v>51</v>
      </c>
      <c r="I19" s="12" t="s">
        <v>221</v>
      </c>
      <c r="J19" s="12" t="s">
        <v>221</v>
      </c>
      <c r="K19" s="10"/>
      <c r="L19" s="112">
        <v>120</v>
      </c>
      <c r="M19" s="8" t="str">
        <f>"93,5280"</f>
        <v>93,5280</v>
      </c>
      <c r="N19" s="77" t="s">
        <v>582</v>
      </c>
    </row>
    <row r="21" spans="1:14" ht="15">
      <c r="B21" s="209" t="s">
        <v>31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</row>
    <row r="22" spans="1:14">
      <c r="A22" s="1">
        <v>1</v>
      </c>
      <c r="B22" s="13" t="s">
        <v>413</v>
      </c>
      <c r="C22" s="13" t="s">
        <v>414</v>
      </c>
      <c r="D22" s="13" t="s">
        <v>415</v>
      </c>
      <c r="E22" s="13" t="str">
        <f>"0,6806"</f>
        <v>0,6806</v>
      </c>
      <c r="F22" s="13" t="s">
        <v>175</v>
      </c>
      <c r="G22" s="102" t="s">
        <v>566</v>
      </c>
      <c r="H22" s="14" t="s">
        <v>221</v>
      </c>
      <c r="I22" s="14" t="s">
        <v>211</v>
      </c>
      <c r="J22" s="14" t="s">
        <v>176</v>
      </c>
      <c r="K22" s="15"/>
      <c r="L22" s="113">
        <v>145</v>
      </c>
      <c r="M22" s="13" t="str">
        <f>"98,6870"</f>
        <v>98,6870</v>
      </c>
      <c r="N22" s="77" t="s">
        <v>582</v>
      </c>
    </row>
    <row r="23" spans="1:14">
      <c r="A23" s="1">
        <v>2</v>
      </c>
      <c r="B23" s="92" t="s">
        <v>416</v>
      </c>
      <c r="C23" s="93" t="s">
        <v>417</v>
      </c>
      <c r="D23" s="93" t="s">
        <v>418</v>
      </c>
      <c r="E23" s="93" t="str">
        <f>"0,6905"</f>
        <v>0,6905</v>
      </c>
      <c r="F23" s="93" t="s">
        <v>175</v>
      </c>
      <c r="G23" s="102" t="s">
        <v>566</v>
      </c>
      <c r="H23" s="74" t="s">
        <v>221</v>
      </c>
      <c r="I23" s="94" t="s">
        <v>211</v>
      </c>
      <c r="J23" s="94" t="s">
        <v>211</v>
      </c>
      <c r="K23" s="95"/>
      <c r="L23" s="114">
        <v>125</v>
      </c>
      <c r="M23" s="93" t="str">
        <f>"86,3125"</f>
        <v>86,3125</v>
      </c>
      <c r="N23" s="77" t="s">
        <v>582</v>
      </c>
    </row>
    <row r="24" spans="1:14">
      <c r="B24" s="20" t="s">
        <v>419</v>
      </c>
      <c r="C24" s="20" t="s">
        <v>420</v>
      </c>
      <c r="D24" s="20" t="s">
        <v>421</v>
      </c>
      <c r="E24" s="20" t="str">
        <f>"0,6774"</f>
        <v>0,6774</v>
      </c>
      <c r="F24" s="20" t="s">
        <v>175</v>
      </c>
      <c r="G24" s="102" t="s">
        <v>566</v>
      </c>
      <c r="H24" s="31" t="s">
        <v>50</v>
      </c>
      <c r="I24" s="31" t="s">
        <v>51</v>
      </c>
      <c r="J24" s="31" t="s">
        <v>51</v>
      </c>
      <c r="K24" s="22"/>
      <c r="L24" s="115">
        <v>0</v>
      </c>
      <c r="M24" s="20" t="str">
        <f>"0,0000"</f>
        <v>0,0000</v>
      </c>
      <c r="N24" s="77" t="s">
        <v>582</v>
      </c>
    </row>
    <row r="25" spans="1:14">
      <c r="A25" s="1">
        <v>1</v>
      </c>
      <c r="B25" s="92" t="s">
        <v>206</v>
      </c>
      <c r="C25" s="93" t="s">
        <v>207</v>
      </c>
      <c r="D25" s="93" t="s">
        <v>208</v>
      </c>
      <c r="E25" s="93" t="str">
        <f>"0,6724"</f>
        <v>0,6724</v>
      </c>
      <c r="F25" s="93" t="s">
        <v>15</v>
      </c>
      <c r="G25" s="102" t="s">
        <v>566</v>
      </c>
      <c r="H25" s="74" t="s">
        <v>212</v>
      </c>
      <c r="I25" s="95"/>
      <c r="J25" s="95"/>
      <c r="K25" s="95"/>
      <c r="L25" s="114">
        <v>142.5</v>
      </c>
      <c r="M25" s="93" t="str">
        <f>"95,8170"</f>
        <v>95,8170</v>
      </c>
      <c r="N25" s="121" t="s">
        <v>553</v>
      </c>
    </row>
    <row r="26" spans="1:14">
      <c r="B26" s="17" t="s">
        <v>422</v>
      </c>
      <c r="C26" s="17" t="s">
        <v>423</v>
      </c>
      <c r="D26" s="17" t="s">
        <v>424</v>
      </c>
      <c r="E26" s="17" t="str">
        <f>"0,6785"</f>
        <v>0,6785</v>
      </c>
      <c r="F26" s="104" t="s">
        <v>15</v>
      </c>
      <c r="G26" s="106" t="s">
        <v>566</v>
      </c>
      <c r="H26" s="105" t="s">
        <v>50</v>
      </c>
      <c r="I26" s="23" t="s">
        <v>50</v>
      </c>
      <c r="J26" s="23" t="s">
        <v>152</v>
      </c>
      <c r="K26" s="19"/>
      <c r="L26" s="116">
        <v>0</v>
      </c>
      <c r="M26" s="17" t="str">
        <f>"0,0000"</f>
        <v>0,0000</v>
      </c>
      <c r="N26" s="122" t="s">
        <v>553</v>
      </c>
    </row>
    <row r="28" spans="1:14" ht="15">
      <c r="B28" s="209" t="s">
        <v>17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</row>
    <row r="29" spans="1:14">
      <c r="A29" s="1">
        <v>1</v>
      </c>
      <c r="B29" s="13" t="s">
        <v>18</v>
      </c>
      <c r="C29" s="13" t="s">
        <v>19</v>
      </c>
      <c r="D29" s="13" t="s">
        <v>288</v>
      </c>
      <c r="E29" s="13" t="str">
        <f>"0,6384"</f>
        <v>0,6384</v>
      </c>
      <c r="F29" s="13" t="s">
        <v>15</v>
      </c>
      <c r="G29" s="102" t="s">
        <v>566</v>
      </c>
      <c r="H29" s="14" t="s">
        <v>51</v>
      </c>
      <c r="I29" s="24" t="s">
        <v>285</v>
      </c>
      <c r="J29" s="24" t="s">
        <v>285</v>
      </c>
      <c r="K29" s="15"/>
      <c r="L29" s="113">
        <v>120</v>
      </c>
      <c r="M29" s="13" t="str">
        <f>"76,6080"</f>
        <v>76,6080</v>
      </c>
      <c r="N29" s="102" t="s">
        <v>553</v>
      </c>
    </row>
    <row r="30" spans="1:14">
      <c r="A30" s="1">
        <v>1</v>
      </c>
      <c r="B30" s="92" t="s">
        <v>425</v>
      </c>
      <c r="C30" s="93" t="s">
        <v>426</v>
      </c>
      <c r="D30" s="93" t="s">
        <v>427</v>
      </c>
      <c r="E30" s="93" t="str">
        <f>"0,6388"</f>
        <v>0,6388</v>
      </c>
      <c r="F30" s="93" t="s">
        <v>15</v>
      </c>
      <c r="G30" s="102" t="s">
        <v>566</v>
      </c>
      <c r="H30" s="74" t="s">
        <v>58</v>
      </c>
      <c r="I30" s="74" t="s">
        <v>151</v>
      </c>
      <c r="J30" s="94" t="s">
        <v>229</v>
      </c>
      <c r="K30" s="95"/>
      <c r="L30" s="114">
        <v>175</v>
      </c>
      <c r="M30" s="93" t="str">
        <f>"111,7900"</f>
        <v>111,7900</v>
      </c>
      <c r="N30" s="96" t="s">
        <v>428</v>
      </c>
    </row>
    <row r="31" spans="1:14">
      <c r="A31" s="1">
        <v>2</v>
      </c>
      <c r="B31" s="20" t="s">
        <v>429</v>
      </c>
      <c r="C31" s="20" t="s">
        <v>430</v>
      </c>
      <c r="D31" s="20" t="s">
        <v>431</v>
      </c>
      <c r="E31" s="20" t="str">
        <f>"0,6440"</f>
        <v>0,6440</v>
      </c>
      <c r="F31" s="20" t="s">
        <v>15</v>
      </c>
      <c r="G31" s="102" t="s">
        <v>566</v>
      </c>
      <c r="H31" s="21" t="s">
        <v>211</v>
      </c>
      <c r="I31" s="21" t="s">
        <v>181</v>
      </c>
      <c r="J31" s="31" t="s">
        <v>176</v>
      </c>
      <c r="K31" s="22"/>
      <c r="L31" s="115">
        <v>140</v>
      </c>
      <c r="M31" s="20" t="str">
        <f>"90,1600"</f>
        <v>90,1600</v>
      </c>
      <c r="N31" s="123" t="s">
        <v>553</v>
      </c>
    </row>
    <row r="32" spans="1:14">
      <c r="A32" s="1">
        <v>3</v>
      </c>
      <c r="B32" s="92" t="s">
        <v>432</v>
      </c>
      <c r="C32" s="93" t="s">
        <v>433</v>
      </c>
      <c r="D32" s="93" t="s">
        <v>434</v>
      </c>
      <c r="E32" s="93" t="str">
        <f>"0,6421"</f>
        <v>0,6421</v>
      </c>
      <c r="F32" s="93" t="s">
        <v>15</v>
      </c>
      <c r="G32" s="102" t="s">
        <v>566</v>
      </c>
      <c r="H32" s="74" t="s">
        <v>221</v>
      </c>
      <c r="I32" s="74" t="s">
        <v>159</v>
      </c>
      <c r="J32" s="74" t="s">
        <v>285</v>
      </c>
      <c r="K32" s="95"/>
      <c r="L32" s="114">
        <v>137.5</v>
      </c>
      <c r="M32" s="93" t="str">
        <f>"88,2887"</f>
        <v>88,2887</v>
      </c>
      <c r="N32" s="121" t="s">
        <v>558</v>
      </c>
    </row>
    <row r="33" spans="1:14">
      <c r="A33" s="1">
        <v>1</v>
      </c>
      <c r="B33" s="17" t="s">
        <v>435</v>
      </c>
      <c r="C33" s="17" t="s">
        <v>436</v>
      </c>
      <c r="D33" s="17" t="s">
        <v>437</v>
      </c>
      <c r="E33" s="17" t="str">
        <f>"0,6398"</f>
        <v>0,6398</v>
      </c>
      <c r="F33" s="104" t="s">
        <v>15</v>
      </c>
      <c r="G33" s="106" t="s">
        <v>566</v>
      </c>
      <c r="H33" s="107" t="s">
        <v>256</v>
      </c>
      <c r="I33" s="18" t="s">
        <v>159</v>
      </c>
      <c r="J33" s="23" t="s">
        <v>217</v>
      </c>
      <c r="K33" s="19"/>
      <c r="L33" s="116">
        <v>132.5</v>
      </c>
      <c r="M33" s="17" t="str">
        <f>"94,4377"</f>
        <v>94,4377</v>
      </c>
      <c r="N33" s="122" t="s">
        <v>583</v>
      </c>
    </row>
    <row r="35" spans="1:14" ht="15">
      <c r="B35" s="209" t="s">
        <v>60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</row>
    <row r="36" spans="1:14">
      <c r="A36" s="1">
        <v>1</v>
      </c>
      <c r="B36" s="13" t="s">
        <v>438</v>
      </c>
      <c r="C36" s="13" t="s">
        <v>439</v>
      </c>
      <c r="D36" s="13" t="s">
        <v>440</v>
      </c>
      <c r="E36" s="13" t="str">
        <f>"0,6152"</f>
        <v>0,6152</v>
      </c>
      <c r="F36" s="13" t="s">
        <v>15</v>
      </c>
      <c r="G36" s="102" t="s">
        <v>566</v>
      </c>
      <c r="H36" s="14" t="s">
        <v>77</v>
      </c>
      <c r="I36" s="24" t="s">
        <v>65</v>
      </c>
      <c r="J36" s="24" t="s">
        <v>65</v>
      </c>
      <c r="K36" s="15"/>
      <c r="L36" s="113">
        <v>190</v>
      </c>
      <c r="M36" s="13" t="str">
        <f>"116,8880"</f>
        <v>116,8880</v>
      </c>
      <c r="N36" s="102" t="s">
        <v>584</v>
      </c>
    </row>
    <row r="37" spans="1:14">
      <c r="A37" s="1">
        <v>2</v>
      </c>
      <c r="B37" s="92" t="s">
        <v>441</v>
      </c>
      <c r="C37" s="93" t="s">
        <v>442</v>
      </c>
      <c r="D37" s="93" t="s">
        <v>443</v>
      </c>
      <c r="E37" s="93" t="str">
        <f>"0,6155"</f>
        <v>0,6155</v>
      </c>
      <c r="F37" s="93" t="s">
        <v>15</v>
      </c>
      <c r="G37" s="93" t="s">
        <v>444</v>
      </c>
      <c r="H37" s="74" t="s">
        <v>57</v>
      </c>
      <c r="I37" s="94" t="s">
        <v>177</v>
      </c>
      <c r="J37" s="95"/>
      <c r="K37" s="95"/>
      <c r="L37" s="114">
        <v>160</v>
      </c>
      <c r="M37" s="93" t="str">
        <f>"98,4800"</f>
        <v>98,4800</v>
      </c>
      <c r="N37" s="121" t="s">
        <v>553</v>
      </c>
    </row>
    <row r="38" spans="1:14">
      <c r="A38" s="1">
        <v>3</v>
      </c>
      <c r="B38" s="20" t="s">
        <v>445</v>
      </c>
      <c r="C38" s="20" t="s">
        <v>446</v>
      </c>
      <c r="D38" s="20" t="s">
        <v>447</v>
      </c>
      <c r="E38" s="20" t="str">
        <f>"0,6116"</f>
        <v>0,6116</v>
      </c>
      <c r="F38" s="20" t="s">
        <v>401</v>
      </c>
      <c r="G38" s="102" t="s">
        <v>566</v>
      </c>
      <c r="H38" s="21" t="s">
        <v>56</v>
      </c>
      <c r="I38" s="21" t="s">
        <v>158</v>
      </c>
      <c r="J38" s="31" t="s">
        <v>57</v>
      </c>
      <c r="K38" s="22"/>
      <c r="L38" s="115">
        <v>155</v>
      </c>
      <c r="M38" s="20" t="str">
        <f>"94,7980"</f>
        <v>94,7980</v>
      </c>
      <c r="N38" s="123" t="s">
        <v>556</v>
      </c>
    </row>
    <row r="39" spans="1:14">
      <c r="B39" s="92" t="s">
        <v>448</v>
      </c>
      <c r="C39" s="93" t="s">
        <v>449</v>
      </c>
      <c r="D39" s="93" t="s">
        <v>450</v>
      </c>
      <c r="E39" s="93" t="str">
        <f>"0,6209"</f>
        <v>0,6209</v>
      </c>
      <c r="F39" s="93" t="s">
        <v>15</v>
      </c>
      <c r="G39" s="102" t="s">
        <v>566</v>
      </c>
      <c r="H39" s="94" t="s">
        <v>211</v>
      </c>
      <c r="I39" s="74" t="s">
        <v>211</v>
      </c>
      <c r="J39" s="74" t="s">
        <v>181</v>
      </c>
      <c r="K39" s="95"/>
      <c r="L39" s="114">
        <v>140</v>
      </c>
      <c r="M39" s="93" t="str">
        <f>"86,9260"</f>
        <v>86,9260</v>
      </c>
      <c r="N39" s="96" t="s">
        <v>451</v>
      </c>
    </row>
    <row r="40" spans="1:14">
      <c r="B40" s="97" t="s">
        <v>61</v>
      </c>
      <c r="C40" s="98" t="s">
        <v>62</v>
      </c>
      <c r="D40" s="98" t="s">
        <v>63</v>
      </c>
      <c r="E40" s="98" t="str">
        <f>"0,6113"</f>
        <v>0,6113</v>
      </c>
      <c r="F40" s="98" t="s">
        <v>15</v>
      </c>
      <c r="G40" s="102" t="s">
        <v>566</v>
      </c>
      <c r="H40" s="99" t="s">
        <v>57</v>
      </c>
      <c r="I40" s="99" t="s">
        <v>57</v>
      </c>
      <c r="J40" s="99" t="s">
        <v>57</v>
      </c>
      <c r="K40" s="100"/>
      <c r="L40" s="117">
        <v>0</v>
      </c>
      <c r="M40" s="98" t="str">
        <f>"0,0000"</f>
        <v>0,0000</v>
      </c>
      <c r="N40" s="124" t="s">
        <v>553</v>
      </c>
    </row>
    <row r="41" spans="1:14">
      <c r="A41" s="1">
        <v>1</v>
      </c>
      <c r="B41" s="92" t="s">
        <v>452</v>
      </c>
      <c r="C41" s="93" t="s">
        <v>453</v>
      </c>
      <c r="D41" s="93" t="s">
        <v>454</v>
      </c>
      <c r="E41" s="93" t="str">
        <f>"0,6088"</f>
        <v>0,6088</v>
      </c>
      <c r="F41" s="118" t="s">
        <v>15</v>
      </c>
      <c r="G41" s="106" t="s">
        <v>566</v>
      </c>
      <c r="H41" s="119" t="s">
        <v>56</v>
      </c>
      <c r="I41" s="74" t="s">
        <v>158</v>
      </c>
      <c r="J41" s="94" t="s">
        <v>21</v>
      </c>
      <c r="K41" s="95"/>
      <c r="L41" s="114">
        <v>155</v>
      </c>
      <c r="M41" s="93" t="str">
        <f>"108,5186"</f>
        <v>108,5186</v>
      </c>
      <c r="N41" s="121" t="s">
        <v>553</v>
      </c>
    </row>
    <row r="43" spans="1:14" ht="15">
      <c r="B43" s="209" t="s">
        <v>106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</row>
    <row r="44" spans="1:14">
      <c r="B44" s="13" t="s">
        <v>413</v>
      </c>
      <c r="C44" s="13" t="s">
        <v>414</v>
      </c>
      <c r="D44" s="13" t="s">
        <v>455</v>
      </c>
      <c r="E44" s="13" t="str">
        <f>"0,5885"</f>
        <v>0,5885</v>
      </c>
      <c r="F44" s="13" t="s">
        <v>175</v>
      </c>
      <c r="G44" s="102" t="s">
        <v>566</v>
      </c>
      <c r="H44" s="24" t="s">
        <v>221</v>
      </c>
      <c r="I44" s="15"/>
      <c r="J44" s="15"/>
      <c r="K44" s="15"/>
      <c r="L44" s="113">
        <v>0</v>
      </c>
      <c r="M44" s="13" t="str">
        <f>"0,0000"</f>
        <v>0,0000</v>
      </c>
      <c r="N44" s="77" t="s">
        <v>582</v>
      </c>
    </row>
    <row r="45" spans="1:14">
      <c r="A45" s="1">
        <v>1</v>
      </c>
      <c r="B45" s="92" t="s">
        <v>456</v>
      </c>
      <c r="C45" s="93" t="s">
        <v>457</v>
      </c>
      <c r="D45" s="93" t="s">
        <v>458</v>
      </c>
      <c r="E45" s="93" t="str">
        <f>"0,5916"</f>
        <v>0,5916</v>
      </c>
      <c r="F45" s="93" t="s">
        <v>15</v>
      </c>
      <c r="G45" s="103" t="s">
        <v>567</v>
      </c>
      <c r="H45" s="74" t="s">
        <v>210</v>
      </c>
      <c r="I45" s="74" t="s">
        <v>35</v>
      </c>
      <c r="J45" s="94" t="s">
        <v>459</v>
      </c>
      <c r="K45" s="95"/>
      <c r="L45" s="114">
        <v>210</v>
      </c>
      <c r="M45" s="93" t="str">
        <f>"124,2360"</f>
        <v>124,2360</v>
      </c>
      <c r="N45" s="121" t="s">
        <v>553</v>
      </c>
    </row>
    <row r="46" spans="1:14">
      <c r="A46" s="1">
        <v>2</v>
      </c>
      <c r="B46" s="17" t="s">
        <v>460</v>
      </c>
      <c r="C46" s="17" t="s">
        <v>461</v>
      </c>
      <c r="D46" s="17" t="s">
        <v>455</v>
      </c>
      <c r="E46" s="17" t="str">
        <f>"0,5885"</f>
        <v>0,5885</v>
      </c>
      <c r="F46" s="104" t="s">
        <v>401</v>
      </c>
      <c r="G46" s="106" t="s">
        <v>566</v>
      </c>
      <c r="H46" s="107" t="s">
        <v>57</v>
      </c>
      <c r="I46" s="18" t="s">
        <v>58</v>
      </c>
      <c r="J46" s="18" t="s">
        <v>151</v>
      </c>
      <c r="K46" s="19"/>
      <c r="L46" s="116">
        <v>175</v>
      </c>
      <c r="M46" s="17" t="str">
        <f>"102,9875"</f>
        <v>102,9875</v>
      </c>
      <c r="N46" s="122" t="s">
        <v>556</v>
      </c>
    </row>
    <row r="49" spans="1:6" ht="18">
      <c r="B49" s="26" t="s">
        <v>120</v>
      </c>
      <c r="C49" s="26"/>
    </row>
    <row r="51" spans="1:6" ht="15">
      <c r="B51" s="27" t="s">
        <v>121</v>
      </c>
      <c r="C51" s="27"/>
    </row>
    <row r="52" spans="1:6" ht="14.25">
      <c r="B52" s="189" t="s">
        <v>122</v>
      </c>
      <c r="C52" s="28"/>
    </row>
    <row r="53" spans="1:6" ht="15">
      <c r="B53" s="29" t="s">
        <v>123</v>
      </c>
      <c r="C53" s="29" t="s">
        <v>124</v>
      </c>
      <c r="D53" s="29" t="s">
        <v>125</v>
      </c>
      <c r="E53" s="29" t="s">
        <v>557</v>
      </c>
      <c r="F53" s="29" t="s">
        <v>127</v>
      </c>
    </row>
    <row r="54" spans="1:6">
      <c r="A54" s="1">
        <v>1</v>
      </c>
      <c r="B54" s="30" t="s">
        <v>456</v>
      </c>
      <c r="C54" s="101" t="s">
        <v>122</v>
      </c>
      <c r="D54" s="101" t="s">
        <v>134</v>
      </c>
      <c r="E54" s="101" t="s">
        <v>35</v>
      </c>
      <c r="F54" s="3" t="s">
        <v>462</v>
      </c>
    </row>
    <row r="55" spans="1:6">
      <c r="A55" s="1">
        <v>2</v>
      </c>
      <c r="B55" s="30" t="s">
        <v>438</v>
      </c>
      <c r="C55" s="101" t="s">
        <v>122</v>
      </c>
      <c r="D55" s="101" t="s">
        <v>130</v>
      </c>
      <c r="E55" s="101" t="s">
        <v>77</v>
      </c>
      <c r="F55" s="3" t="s">
        <v>463</v>
      </c>
    </row>
    <row r="56" spans="1:6">
      <c r="A56" s="1">
        <v>3</v>
      </c>
      <c r="B56" s="30" t="s">
        <v>425</v>
      </c>
      <c r="C56" s="101" t="s">
        <v>122</v>
      </c>
      <c r="D56" s="101" t="s">
        <v>128</v>
      </c>
      <c r="E56" s="101" t="s">
        <v>151</v>
      </c>
      <c r="F56" s="3" t="s">
        <v>464</v>
      </c>
    </row>
    <row r="57" spans="1:6">
      <c r="B57" s="30" t="s">
        <v>460</v>
      </c>
      <c r="C57" s="101" t="s">
        <v>122</v>
      </c>
      <c r="D57" s="101" t="s">
        <v>134</v>
      </c>
      <c r="E57" s="101" t="s">
        <v>151</v>
      </c>
      <c r="F57" s="3" t="s">
        <v>465</v>
      </c>
    </row>
    <row r="58" spans="1:6">
      <c r="B58" s="30" t="s">
        <v>441</v>
      </c>
      <c r="C58" s="101" t="s">
        <v>122</v>
      </c>
      <c r="D58" s="101" t="s">
        <v>130</v>
      </c>
      <c r="E58" s="101" t="s">
        <v>57</v>
      </c>
      <c r="F58" s="3" t="s">
        <v>466</v>
      </c>
    </row>
    <row r="59" spans="1:6">
      <c r="B59" s="30" t="s">
        <v>206</v>
      </c>
      <c r="C59" s="101" t="s">
        <v>122</v>
      </c>
      <c r="D59" s="101" t="s">
        <v>137</v>
      </c>
      <c r="E59" s="101" t="s">
        <v>212</v>
      </c>
      <c r="F59" s="3" t="s">
        <v>467</v>
      </c>
    </row>
    <row r="60" spans="1:6">
      <c r="B60" s="30" t="s">
        <v>445</v>
      </c>
      <c r="C60" s="101" t="s">
        <v>122</v>
      </c>
      <c r="D60" s="101" t="s">
        <v>130</v>
      </c>
      <c r="E60" s="101" t="s">
        <v>158</v>
      </c>
      <c r="F60" s="3" t="s">
        <v>468</v>
      </c>
    </row>
    <row r="61" spans="1:6">
      <c r="B61" s="30" t="s">
        <v>429</v>
      </c>
      <c r="C61" s="101" t="s">
        <v>122</v>
      </c>
      <c r="D61" s="101" t="s">
        <v>128</v>
      </c>
      <c r="E61" s="101" t="s">
        <v>181</v>
      </c>
      <c r="F61" s="3" t="s">
        <v>469</v>
      </c>
    </row>
    <row r="62" spans="1:6">
      <c r="B62" s="30" t="s">
        <v>432</v>
      </c>
      <c r="C62" s="101" t="s">
        <v>122</v>
      </c>
      <c r="D62" s="101" t="s">
        <v>128</v>
      </c>
      <c r="E62" s="101" t="s">
        <v>285</v>
      </c>
      <c r="F62" s="3" t="s">
        <v>470</v>
      </c>
    </row>
    <row r="63" spans="1:6">
      <c r="B63" s="30" t="s">
        <v>448</v>
      </c>
      <c r="C63" s="101" t="s">
        <v>122</v>
      </c>
      <c r="D63" s="101" t="s">
        <v>130</v>
      </c>
      <c r="E63" s="101" t="s">
        <v>181</v>
      </c>
      <c r="F63" s="3" t="s">
        <v>471</v>
      </c>
    </row>
  </sheetData>
  <sheetProtection selectLockedCells="1" selectUnlockedCells="1"/>
  <mergeCells count="20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B21:M21"/>
    <mergeCell ref="B28:M28"/>
    <mergeCell ref="B35:M35"/>
    <mergeCell ref="B43:M43"/>
    <mergeCell ref="N3:N4"/>
    <mergeCell ref="B5:M5"/>
    <mergeCell ref="B8:M8"/>
    <mergeCell ref="B12:M12"/>
    <mergeCell ref="B15:M15"/>
    <mergeCell ref="B18:M18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opLeftCell="A25" zoomScale="90" zoomScaleNormal="90" workbookViewId="0">
      <selection activeCell="B43" sqref="B43"/>
    </sheetView>
  </sheetViews>
  <sheetFormatPr defaultRowHeight="12.75"/>
  <cols>
    <col min="1" max="1" width="4.28515625" style="4" customWidth="1"/>
    <col min="2" max="2" width="34.5703125" style="35" customWidth="1"/>
    <col min="3" max="3" width="28.85546875" style="5" customWidth="1"/>
    <col min="4" max="4" width="13.42578125" style="5" customWidth="1"/>
    <col min="5" max="5" width="11.5703125" style="5" customWidth="1"/>
    <col min="6" max="6" width="22.7109375" style="36" customWidth="1"/>
    <col min="7" max="7" width="42.5703125" style="36" customWidth="1"/>
    <col min="8" max="10" width="5.5703125" style="5" customWidth="1"/>
    <col min="11" max="11" width="4.5703125" style="5" customWidth="1"/>
    <col min="12" max="12" width="7.85546875" style="4" customWidth="1"/>
    <col min="13" max="13" width="9.85546875" style="5" customWidth="1"/>
    <col min="14" max="14" width="25.85546875" style="36" customWidth="1"/>
    <col min="15" max="16384" width="9.140625" style="5"/>
  </cols>
  <sheetData>
    <row r="1" spans="1:14" ht="15" customHeight="1">
      <c r="B1" s="207" t="s">
        <v>555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81.75" customHeight="1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s="6" customFormat="1" ht="12.75" customHeight="1">
      <c r="B3" s="208" t="s">
        <v>1</v>
      </c>
      <c r="C3" s="203" t="s">
        <v>2</v>
      </c>
      <c r="D3" s="202" t="s">
        <v>3</v>
      </c>
      <c r="E3" s="202" t="s">
        <v>4</v>
      </c>
      <c r="F3" s="202" t="s">
        <v>5</v>
      </c>
      <c r="G3" s="202" t="s">
        <v>548</v>
      </c>
      <c r="H3" s="204" t="s">
        <v>143</v>
      </c>
      <c r="I3" s="204"/>
      <c r="J3" s="204"/>
      <c r="K3" s="204"/>
      <c r="L3" s="202" t="s">
        <v>7</v>
      </c>
      <c r="M3" s="202" t="s">
        <v>8</v>
      </c>
      <c r="N3" s="205" t="s">
        <v>9</v>
      </c>
    </row>
    <row r="4" spans="1:14" s="6" customFormat="1" ht="33.75" customHeight="1">
      <c r="B4" s="208"/>
      <c r="C4" s="203"/>
      <c r="D4" s="203"/>
      <c r="E4" s="203"/>
      <c r="F4" s="203"/>
      <c r="G4" s="203"/>
      <c r="H4" s="7">
        <v>1</v>
      </c>
      <c r="I4" s="7">
        <v>2</v>
      </c>
      <c r="J4" s="7">
        <v>3</v>
      </c>
      <c r="K4" s="7" t="s">
        <v>10</v>
      </c>
      <c r="L4" s="202"/>
      <c r="M4" s="202"/>
      <c r="N4" s="205"/>
    </row>
    <row r="5" spans="1:14" ht="15">
      <c r="B5" s="211" t="s">
        <v>194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4">
      <c r="A6" s="4" t="s">
        <v>472</v>
      </c>
      <c r="B6" s="37" t="s">
        <v>473</v>
      </c>
      <c r="C6" s="38" t="s">
        <v>474</v>
      </c>
      <c r="D6" s="38" t="s">
        <v>475</v>
      </c>
      <c r="E6" s="38" t="str">
        <f>"1,0261"</f>
        <v>1,0261</v>
      </c>
      <c r="F6" s="37" t="s">
        <v>15</v>
      </c>
      <c r="G6" s="79" t="s">
        <v>561</v>
      </c>
      <c r="H6" s="39" t="s">
        <v>144</v>
      </c>
      <c r="I6" s="39" t="s">
        <v>16</v>
      </c>
      <c r="J6" s="39" t="s">
        <v>38</v>
      </c>
      <c r="K6" s="40"/>
      <c r="L6" s="41" t="s">
        <v>569</v>
      </c>
      <c r="M6" s="38" t="str">
        <f>"107,7405"</f>
        <v>107,7405</v>
      </c>
      <c r="N6" s="79" t="s">
        <v>553</v>
      </c>
    </row>
    <row r="8" spans="1:14" ht="15">
      <c r="B8" s="210" t="s">
        <v>194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1:14">
      <c r="A9" s="4" t="s">
        <v>472</v>
      </c>
      <c r="B9" s="37" t="s">
        <v>476</v>
      </c>
      <c r="C9" s="38" t="s">
        <v>477</v>
      </c>
      <c r="D9" s="38" t="s">
        <v>478</v>
      </c>
      <c r="E9" s="38" t="str">
        <f>"0,7719"</f>
        <v>0,7719</v>
      </c>
      <c r="F9" s="79" t="s">
        <v>401</v>
      </c>
      <c r="G9" s="79" t="s">
        <v>559</v>
      </c>
      <c r="H9" s="39" t="s">
        <v>43</v>
      </c>
      <c r="I9" s="39" t="s">
        <v>479</v>
      </c>
      <c r="J9" s="40" t="s">
        <v>49</v>
      </c>
      <c r="K9" s="40"/>
      <c r="L9" s="41" t="s">
        <v>570</v>
      </c>
      <c r="M9" s="38" t="str">
        <f>"79,1197"</f>
        <v>79,1197</v>
      </c>
      <c r="N9" s="37" t="s">
        <v>480</v>
      </c>
    </row>
    <row r="11" spans="1:14" ht="15">
      <c r="B11" s="210" t="s">
        <v>68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</row>
    <row r="12" spans="1:14">
      <c r="A12" s="4" t="s">
        <v>472</v>
      </c>
      <c r="B12" s="80" t="s">
        <v>481</v>
      </c>
      <c r="C12" s="81" t="s">
        <v>482</v>
      </c>
      <c r="D12" s="81" t="s">
        <v>483</v>
      </c>
      <c r="E12" s="81" t="str">
        <f>"0,7307"</f>
        <v>0,7307</v>
      </c>
      <c r="F12" s="82" t="s">
        <v>484</v>
      </c>
      <c r="G12" s="89" t="s">
        <v>485</v>
      </c>
      <c r="H12" s="83" t="s">
        <v>38</v>
      </c>
      <c r="I12" s="84" t="s">
        <v>178</v>
      </c>
      <c r="J12" s="84" t="s">
        <v>178</v>
      </c>
      <c r="K12" s="85"/>
      <c r="L12" s="86" t="s">
        <v>569</v>
      </c>
      <c r="M12" s="81" t="str">
        <f>"76,7235"</f>
        <v>76,7235</v>
      </c>
      <c r="N12" s="87" t="s">
        <v>563</v>
      </c>
    </row>
    <row r="13" spans="1:14">
      <c r="B13" s="48" t="s">
        <v>486</v>
      </c>
      <c r="C13" s="49" t="s">
        <v>487</v>
      </c>
      <c r="D13" s="49" t="s">
        <v>488</v>
      </c>
      <c r="E13" s="49" t="str">
        <f>"0,7159"</f>
        <v>0,7159</v>
      </c>
      <c r="F13" s="48" t="s">
        <v>205</v>
      </c>
      <c r="G13" s="48" t="s">
        <v>489</v>
      </c>
      <c r="H13" s="50" t="s">
        <v>217</v>
      </c>
      <c r="I13" s="50" t="s">
        <v>217</v>
      </c>
      <c r="J13" s="50" t="s">
        <v>217</v>
      </c>
      <c r="K13" s="51"/>
      <c r="L13" s="52" t="s">
        <v>568</v>
      </c>
      <c r="M13" s="49" t="str">
        <f>"0,0000"</f>
        <v>0,0000</v>
      </c>
      <c r="N13" s="88" t="s">
        <v>553</v>
      </c>
    </row>
    <row r="15" spans="1:14" ht="15">
      <c r="B15" s="210" t="s">
        <v>17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</row>
    <row r="16" spans="1:14">
      <c r="B16" s="37" t="s">
        <v>432</v>
      </c>
      <c r="C16" s="38" t="s">
        <v>433</v>
      </c>
      <c r="D16" s="38" t="s">
        <v>434</v>
      </c>
      <c r="E16" s="38" t="str">
        <f>"0,6421"</f>
        <v>0,6421</v>
      </c>
      <c r="F16" s="37" t="s">
        <v>15</v>
      </c>
      <c r="G16" s="79" t="s">
        <v>559</v>
      </c>
      <c r="H16" s="53" t="s">
        <v>221</v>
      </c>
      <c r="I16" s="40"/>
      <c r="J16" s="40"/>
      <c r="K16" s="40"/>
      <c r="L16" s="41" t="s">
        <v>568</v>
      </c>
      <c r="M16" s="38" t="str">
        <f>"0,0000"</f>
        <v>0,0000</v>
      </c>
      <c r="N16" s="79" t="s">
        <v>558</v>
      </c>
    </row>
    <row r="18" spans="1:14" ht="15">
      <c r="B18" s="210" t="s">
        <v>60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</row>
    <row r="19" spans="1:14">
      <c r="A19" s="4" t="s">
        <v>472</v>
      </c>
      <c r="B19" s="42" t="s">
        <v>392</v>
      </c>
      <c r="C19" s="43" t="s">
        <v>393</v>
      </c>
      <c r="D19" s="43" t="s">
        <v>394</v>
      </c>
      <c r="E19" s="43" t="str">
        <f>"0,6315"</f>
        <v>0,6315</v>
      </c>
      <c r="F19" s="42" t="s">
        <v>15</v>
      </c>
      <c r="G19" s="42" t="s">
        <v>314</v>
      </c>
      <c r="H19" s="44" t="s">
        <v>65</v>
      </c>
      <c r="I19" s="45" t="s">
        <v>210</v>
      </c>
      <c r="J19" s="45" t="s">
        <v>210</v>
      </c>
      <c r="K19" s="46"/>
      <c r="L19" s="47" t="s">
        <v>571</v>
      </c>
      <c r="M19" s="43" t="str">
        <f>"126,3000"</f>
        <v>126,3000</v>
      </c>
      <c r="N19" s="91" t="s">
        <v>553</v>
      </c>
    </row>
    <row r="20" spans="1:14">
      <c r="A20" s="4" t="s">
        <v>490</v>
      </c>
      <c r="B20" s="80" t="s">
        <v>491</v>
      </c>
      <c r="C20" s="81" t="s">
        <v>406</v>
      </c>
      <c r="D20" s="81" t="s">
        <v>492</v>
      </c>
      <c r="E20" s="81" t="str">
        <f>"0,6129"</f>
        <v>0,6129</v>
      </c>
      <c r="F20" s="82" t="s">
        <v>15</v>
      </c>
      <c r="G20" s="89" t="s">
        <v>559</v>
      </c>
      <c r="H20" s="83" t="s">
        <v>176</v>
      </c>
      <c r="I20" s="83" t="s">
        <v>158</v>
      </c>
      <c r="J20" s="83" t="s">
        <v>57</v>
      </c>
      <c r="K20" s="85"/>
      <c r="L20" s="86" t="s">
        <v>572</v>
      </c>
      <c r="M20" s="81" t="str">
        <f>"98,0640"</f>
        <v>98,0640</v>
      </c>
      <c r="N20" s="87" t="s">
        <v>553</v>
      </c>
    </row>
    <row r="21" spans="1:14">
      <c r="A21" s="4" t="s">
        <v>493</v>
      </c>
      <c r="B21" s="54" t="s">
        <v>494</v>
      </c>
      <c r="C21" s="55" t="s">
        <v>495</v>
      </c>
      <c r="D21" s="55" t="s">
        <v>496</v>
      </c>
      <c r="E21" s="55" t="str">
        <f>"0,6244"</f>
        <v>0,6244</v>
      </c>
      <c r="F21" s="54" t="s">
        <v>15</v>
      </c>
      <c r="G21" s="90" t="s">
        <v>559</v>
      </c>
      <c r="H21" s="56" t="s">
        <v>217</v>
      </c>
      <c r="I21" s="56" t="s">
        <v>212</v>
      </c>
      <c r="J21" s="59" t="s">
        <v>56</v>
      </c>
      <c r="K21" s="57"/>
      <c r="L21" s="58" t="s">
        <v>573</v>
      </c>
      <c r="M21" s="55" t="str">
        <f>"88,9770"</f>
        <v>88,9770</v>
      </c>
      <c r="N21" s="54" t="s">
        <v>497</v>
      </c>
    </row>
    <row r="22" spans="1:14">
      <c r="B22" s="80" t="s">
        <v>438</v>
      </c>
      <c r="C22" s="81" t="s">
        <v>439</v>
      </c>
      <c r="D22" s="81" t="s">
        <v>440</v>
      </c>
      <c r="E22" s="81" t="str">
        <f>"0,6152"</f>
        <v>0,6152</v>
      </c>
      <c r="F22" s="82" t="s">
        <v>15</v>
      </c>
      <c r="G22" s="89" t="s">
        <v>560</v>
      </c>
      <c r="H22" s="84" t="s">
        <v>77</v>
      </c>
      <c r="I22" s="85"/>
      <c r="J22" s="85"/>
      <c r="K22" s="85"/>
      <c r="L22" s="86" t="s">
        <v>568</v>
      </c>
      <c r="M22" s="81" t="str">
        <f>"0,0000"</f>
        <v>0,0000</v>
      </c>
      <c r="N22" s="87" t="s">
        <v>564</v>
      </c>
    </row>
    <row r="24" spans="1:14" ht="15">
      <c r="B24" s="210" t="s">
        <v>106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4">
      <c r="A25" s="4" t="s">
        <v>472</v>
      </c>
      <c r="B25" s="42" t="s">
        <v>498</v>
      </c>
      <c r="C25" s="43" t="s">
        <v>499</v>
      </c>
      <c r="D25" s="43" t="s">
        <v>500</v>
      </c>
      <c r="E25" s="43" t="str">
        <f>"0,6048"</f>
        <v>0,6048</v>
      </c>
      <c r="F25" s="42" t="s">
        <v>15</v>
      </c>
      <c r="G25" s="42" t="s">
        <v>91</v>
      </c>
      <c r="H25" s="44" t="s">
        <v>283</v>
      </c>
      <c r="I25" s="44" t="s">
        <v>65</v>
      </c>
      <c r="J25" s="45" t="s">
        <v>210</v>
      </c>
      <c r="K25" s="46"/>
      <c r="L25" s="47" t="s">
        <v>571</v>
      </c>
      <c r="M25" s="43" t="str">
        <f>"120,9600"</f>
        <v>120,9600</v>
      </c>
      <c r="N25" s="91" t="s">
        <v>553</v>
      </c>
    </row>
    <row r="26" spans="1:14">
      <c r="A26" s="4" t="s">
        <v>490</v>
      </c>
      <c r="B26" s="80" t="s">
        <v>501</v>
      </c>
      <c r="C26" s="81" t="s">
        <v>502</v>
      </c>
      <c r="D26" s="81" t="s">
        <v>503</v>
      </c>
      <c r="E26" s="81" t="str">
        <f>"0,5928"</f>
        <v>0,5928</v>
      </c>
      <c r="F26" s="89" t="s">
        <v>401</v>
      </c>
      <c r="G26" s="89" t="s">
        <v>559</v>
      </c>
      <c r="H26" s="83" t="s">
        <v>177</v>
      </c>
      <c r="I26" s="83" t="s">
        <v>298</v>
      </c>
      <c r="J26" s="84" t="s">
        <v>22</v>
      </c>
      <c r="K26" s="85"/>
      <c r="L26" s="86" t="s">
        <v>574</v>
      </c>
      <c r="M26" s="81" t="str">
        <f>"102,2580"</f>
        <v>102,2580</v>
      </c>
      <c r="N26" s="87" t="s">
        <v>556</v>
      </c>
    </row>
    <row r="27" spans="1:14">
      <c r="B27" s="54" t="s">
        <v>107</v>
      </c>
      <c r="C27" s="55" t="s">
        <v>504</v>
      </c>
      <c r="D27" s="55" t="s">
        <v>109</v>
      </c>
      <c r="E27" s="55" t="str">
        <f>"0,5939"</f>
        <v>0,5939</v>
      </c>
      <c r="F27" s="54" t="s">
        <v>15</v>
      </c>
      <c r="G27" s="90" t="s">
        <v>559</v>
      </c>
      <c r="H27" s="59" t="s">
        <v>65</v>
      </c>
      <c r="I27" s="59" t="s">
        <v>65</v>
      </c>
      <c r="J27" s="59" t="s">
        <v>65</v>
      </c>
      <c r="K27" s="57"/>
      <c r="L27" s="58" t="s">
        <v>568</v>
      </c>
      <c r="M27" s="55" t="str">
        <f>"0,0000"</f>
        <v>0,0000</v>
      </c>
      <c r="N27" s="90" t="s">
        <v>553</v>
      </c>
    </row>
    <row r="28" spans="1:14">
      <c r="A28" s="4" t="s">
        <v>472</v>
      </c>
      <c r="B28" s="80" t="s">
        <v>498</v>
      </c>
      <c r="C28" s="81" t="s">
        <v>505</v>
      </c>
      <c r="D28" s="81" t="s">
        <v>500</v>
      </c>
      <c r="E28" s="81" t="str">
        <f>"0,6048"</f>
        <v>0,6048</v>
      </c>
      <c r="F28" s="82" t="s">
        <v>15</v>
      </c>
      <c r="G28" s="82" t="s">
        <v>91</v>
      </c>
      <c r="H28" s="83" t="s">
        <v>283</v>
      </c>
      <c r="I28" s="83" t="s">
        <v>65</v>
      </c>
      <c r="J28" s="84" t="s">
        <v>210</v>
      </c>
      <c r="K28" s="85"/>
      <c r="L28" s="86" t="s">
        <v>571</v>
      </c>
      <c r="M28" s="81" t="str">
        <f>"121,5648"</f>
        <v>121,5648</v>
      </c>
      <c r="N28" s="87" t="s">
        <v>553</v>
      </c>
    </row>
    <row r="30" spans="1:14" ht="15">
      <c r="B30" s="210" t="s">
        <v>184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</row>
    <row r="31" spans="1:14">
      <c r="A31" s="4" t="s">
        <v>472</v>
      </c>
      <c r="B31" s="37" t="s">
        <v>506</v>
      </c>
      <c r="C31" s="38" t="s">
        <v>507</v>
      </c>
      <c r="D31" s="38" t="s">
        <v>508</v>
      </c>
      <c r="E31" s="38" t="str">
        <f>"0,5745"</f>
        <v>0,5745</v>
      </c>
      <c r="F31" s="37" t="s">
        <v>15</v>
      </c>
      <c r="G31" s="79" t="s">
        <v>559</v>
      </c>
      <c r="H31" s="39" t="s">
        <v>77</v>
      </c>
      <c r="I31" s="53" t="s">
        <v>284</v>
      </c>
      <c r="J31" s="39" t="s">
        <v>284</v>
      </c>
      <c r="K31" s="40"/>
      <c r="L31" s="41" t="s">
        <v>575</v>
      </c>
      <c r="M31" s="38" t="str">
        <f>"116,3363"</f>
        <v>116,3363</v>
      </c>
      <c r="N31" s="37" t="s">
        <v>509</v>
      </c>
    </row>
    <row r="33" spans="1:14" ht="15">
      <c r="B33" s="210" t="s">
        <v>116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</row>
    <row r="34" spans="1:14">
      <c r="A34" s="4" t="s">
        <v>472</v>
      </c>
      <c r="B34" s="37" t="s">
        <v>117</v>
      </c>
      <c r="C34" s="38" t="s">
        <v>118</v>
      </c>
      <c r="D34" s="38" t="s">
        <v>119</v>
      </c>
      <c r="E34" s="38" t="str">
        <f>"0,5680"</f>
        <v>0,5680</v>
      </c>
      <c r="F34" s="37" t="s">
        <v>15</v>
      </c>
      <c r="G34" s="79" t="s">
        <v>562</v>
      </c>
      <c r="H34" s="39" t="s">
        <v>263</v>
      </c>
      <c r="I34" s="39" t="s">
        <v>283</v>
      </c>
      <c r="J34" s="39" t="s">
        <v>183</v>
      </c>
      <c r="K34" s="40"/>
      <c r="L34" s="41" t="s">
        <v>576</v>
      </c>
      <c r="M34" s="38" t="str">
        <f>"112,1800"</f>
        <v>112,1800</v>
      </c>
      <c r="N34" s="79" t="s">
        <v>553</v>
      </c>
    </row>
    <row r="36" spans="1:14" ht="15">
      <c r="B36" s="210" t="s">
        <v>189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</row>
    <row r="37" spans="1:14">
      <c r="A37" s="4" t="s">
        <v>472</v>
      </c>
      <c r="B37" s="37" t="s">
        <v>510</v>
      </c>
      <c r="C37" s="38" t="s">
        <v>511</v>
      </c>
      <c r="D37" s="38" t="s">
        <v>512</v>
      </c>
      <c r="E37" s="38" t="str">
        <f>"0,5560"</f>
        <v>0,5560</v>
      </c>
      <c r="F37" s="37" t="s">
        <v>15</v>
      </c>
      <c r="G37" s="79" t="s">
        <v>559</v>
      </c>
      <c r="H37" s="39" t="s">
        <v>77</v>
      </c>
      <c r="I37" s="39" t="s">
        <v>65</v>
      </c>
      <c r="J37" s="53" t="s">
        <v>210</v>
      </c>
      <c r="K37" s="40"/>
      <c r="L37" s="41" t="s">
        <v>571</v>
      </c>
      <c r="M37" s="38" t="str">
        <f>"123,8768"</f>
        <v>123,8768</v>
      </c>
      <c r="N37" s="79" t="s">
        <v>553</v>
      </c>
    </row>
    <row r="38" spans="1:14">
      <c r="H38" s="60"/>
      <c r="I38" s="60"/>
    </row>
    <row r="39" spans="1:14" ht="18">
      <c r="B39" s="61" t="s">
        <v>120</v>
      </c>
      <c r="C39" s="62"/>
    </row>
    <row r="41" spans="1:14" ht="15">
      <c r="B41" s="63" t="s">
        <v>121</v>
      </c>
      <c r="C41" s="64"/>
    </row>
    <row r="42" spans="1:14" ht="14.25">
      <c r="B42" s="188" t="s">
        <v>122</v>
      </c>
      <c r="C42" s="65"/>
    </row>
    <row r="43" spans="1:14" ht="15">
      <c r="B43" s="192" t="s">
        <v>123</v>
      </c>
      <c r="C43" s="66" t="s">
        <v>124</v>
      </c>
      <c r="D43" s="66" t="s">
        <v>125</v>
      </c>
      <c r="E43" s="66" t="s">
        <v>557</v>
      </c>
      <c r="F43" s="66" t="s">
        <v>127</v>
      </c>
    </row>
    <row r="44" spans="1:14">
      <c r="A44" s="4" t="s">
        <v>472</v>
      </c>
      <c r="B44" s="67" t="s">
        <v>392</v>
      </c>
      <c r="C44" s="5" t="s">
        <v>122</v>
      </c>
      <c r="D44" s="5" t="s">
        <v>130</v>
      </c>
      <c r="E44" s="5" t="s">
        <v>65</v>
      </c>
      <c r="F44" s="4" t="s">
        <v>513</v>
      </c>
    </row>
    <row r="45" spans="1:14">
      <c r="A45" s="4" t="s">
        <v>490</v>
      </c>
      <c r="B45" s="67" t="s">
        <v>498</v>
      </c>
      <c r="C45" s="5" t="s">
        <v>122</v>
      </c>
      <c r="D45" s="5" t="s">
        <v>134</v>
      </c>
      <c r="E45" s="5" t="s">
        <v>65</v>
      </c>
      <c r="F45" s="4" t="s">
        <v>514</v>
      </c>
    </row>
    <row r="46" spans="1:14">
      <c r="A46" s="4" t="s">
        <v>493</v>
      </c>
      <c r="B46" s="67" t="s">
        <v>506</v>
      </c>
      <c r="C46" s="5" t="s">
        <v>122</v>
      </c>
      <c r="D46" s="5" t="s">
        <v>356</v>
      </c>
      <c r="E46" s="5" t="s">
        <v>284</v>
      </c>
      <c r="F46" s="4" t="s">
        <v>515</v>
      </c>
    </row>
    <row r="47" spans="1:14">
      <c r="B47" s="67" t="s">
        <v>117</v>
      </c>
      <c r="C47" s="5" t="s">
        <v>122</v>
      </c>
      <c r="D47" s="5" t="s">
        <v>132</v>
      </c>
      <c r="E47" s="5" t="s">
        <v>183</v>
      </c>
      <c r="F47" s="4" t="s">
        <v>516</v>
      </c>
    </row>
    <row r="48" spans="1:14">
      <c r="B48" s="67" t="s">
        <v>501</v>
      </c>
      <c r="C48" s="5" t="s">
        <v>122</v>
      </c>
      <c r="D48" s="5" t="s">
        <v>134</v>
      </c>
      <c r="E48" s="5" t="s">
        <v>298</v>
      </c>
      <c r="F48" s="4" t="s">
        <v>517</v>
      </c>
    </row>
    <row r="49" spans="2:6">
      <c r="B49" s="67" t="s">
        <v>491</v>
      </c>
      <c r="C49" s="5" t="s">
        <v>122</v>
      </c>
      <c r="D49" s="5" t="s">
        <v>130</v>
      </c>
      <c r="E49" s="5" t="s">
        <v>57</v>
      </c>
      <c r="F49" s="4" t="s">
        <v>518</v>
      </c>
    </row>
    <row r="50" spans="2:6">
      <c r="B50" s="67" t="s">
        <v>494</v>
      </c>
      <c r="C50" s="5" t="s">
        <v>122</v>
      </c>
      <c r="D50" s="5" t="s">
        <v>130</v>
      </c>
      <c r="E50" s="5" t="s">
        <v>212</v>
      </c>
      <c r="F50" s="4" t="s">
        <v>519</v>
      </c>
    </row>
    <row r="51" spans="2:6">
      <c r="B51" s="67" t="s">
        <v>476</v>
      </c>
      <c r="C51" s="5" t="s">
        <v>122</v>
      </c>
      <c r="D51" s="5" t="s">
        <v>337</v>
      </c>
      <c r="E51" s="5" t="s">
        <v>479</v>
      </c>
      <c r="F51" s="4" t="s">
        <v>520</v>
      </c>
    </row>
  </sheetData>
  <sheetProtection selectLockedCells="1" selectUnlockedCells="1"/>
  <mergeCells count="20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B24:M24"/>
    <mergeCell ref="B30:M30"/>
    <mergeCell ref="B33:M33"/>
    <mergeCell ref="B36:M36"/>
    <mergeCell ref="N3:N4"/>
    <mergeCell ref="B5:M5"/>
    <mergeCell ref="B8:M8"/>
    <mergeCell ref="B11:M11"/>
    <mergeCell ref="B15:M15"/>
    <mergeCell ref="B18:M18"/>
  </mergeCells>
  <pageMargins left="0.19027777777777777" right="0.47013888888888888" top="0.45" bottom="0.49027777777777776" header="0.51180555555555551" footer="0.51180555555555551"/>
  <pageSetup firstPageNumber="0" fitToHeight="10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Y19"/>
  <sheetViews>
    <sheetView topLeftCell="G7" zoomScale="90" zoomScaleNormal="90" workbookViewId="0">
      <selection activeCell="L27" sqref="L27"/>
    </sheetView>
  </sheetViews>
  <sheetFormatPr defaultColWidth="11.5703125" defaultRowHeight="12.75"/>
  <cols>
    <col min="1" max="1" width="4.42578125" customWidth="1"/>
    <col min="2" max="2" width="34.42578125" customWidth="1"/>
    <col min="3" max="3" width="27.140625" customWidth="1"/>
    <col min="4" max="4" width="13.5703125" customWidth="1"/>
    <col min="5" max="5" width="16.5703125" customWidth="1"/>
    <col min="6" max="6" width="22.7109375" customWidth="1"/>
    <col min="7" max="7" width="38.85546875" customWidth="1"/>
    <col min="8" max="10" width="5.5703125" customWidth="1"/>
    <col min="11" max="11" width="4.5703125" customWidth="1"/>
    <col min="12" max="14" width="5.5703125" customWidth="1"/>
    <col min="15" max="15" width="4.5703125" customWidth="1"/>
    <col min="16" max="16" width="8" customWidth="1"/>
    <col min="17" max="17" width="10" customWidth="1"/>
    <col min="18" max="18" width="30.140625" customWidth="1"/>
  </cols>
  <sheetData>
    <row r="1" spans="1:77" ht="15.6" customHeight="1" thickBot="1">
      <c r="A1" s="4"/>
      <c r="B1" s="207" t="s">
        <v>547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77" ht="81.400000000000006" customHeight="1" thickBot="1">
      <c r="A2" s="4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</row>
    <row r="3" spans="1:77" ht="13.35" customHeight="1" thickBot="1">
      <c r="A3" s="6"/>
      <c r="B3" s="223" t="s">
        <v>1</v>
      </c>
      <c r="C3" s="225" t="s">
        <v>2</v>
      </c>
      <c r="D3" s="215" t="s">
        <v>3</v>
      </c>
      <c r="E3" s="215" t="s">
        <v>521</v>
      </c>
      <c r="F3" s="215" t="s">
        <v>5</v>
      </c>
      <c r="G3" s="215" t="s">
        <v>548</v>
      </c>
      <c r="H3" s="227" t="s">
        <v>143</v>
      </c>
      <c r="I3" s="227"/>
      <c r="J3" s="227"/>
      <c r="K3" s="227"/>
      <c r="L3" s="227" t="s">
        <v>522</v>
      </c>
      <c r="M3" s="227"/>
      <c r="N3" s="227"/>
      <c r="O3" s="227"/>
      <c r="P3" s="215" t="s">
        <v>7</v>
      </c>
      <c r="Q3" s="215" t="s">
        <v>8</v>
      </c>
      <c r="R3" s="217" t="s">
        <v>9</v>
      </c>
    </row>
    <row r="4" spans="1:77" ht="34.35" customHeight="1" thickBot="1">
      <c r="A4" s="6"/>
      <c r="B4" s="224"/>
      <c r="C4" s="226"/>
      <c r="D4" s="226"/>
      <c r="E4" s="226"/>
      <c r="F4" s="226"/>
      <c r="G4" s="226"/>
      <c r="H4" s="165">
        <v>1</v>
      </c>
      <c r="I4" s="165">
        <v>2</v>
      </c>
      <c r="J4" s="165">
        <v>3</v>
      </c>
      <c r="K4" s="165" t="s">
        <v>10</v>
      </c>
      <c r="L4" s="165">
        <v>1</v>
      </c>
      <c r="M4" s="165">
        <v>2</v>
      </c>
      <c r="N4" s="165">
        <v>3</v>
      </c>
      <c r="O4" s="165" t="s">
        <v>10</v>
      </c>
      <c r="P4" s="216"/>
      <c r="Q4" s="216"/>
      <c r="R4" s="218"/>
    </row>
    <row r="5" spans="1:77" ht="26.85" customHeight="1">
      <c r="A5" s="6"/>
      <c r="B5" s="219" t="s">
        <v>523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1"/>
    </row>
    <row r="6" spans="1:77" ht="15">
      <c r="A6" s="1"/>
      <c r="B6" s="209" t="s">
        <v>45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"/>
    </row>
    <row r="7" spans="1:77">
      <c r="A7" s="1"/>
      <c r="B7" s="8" t="s">
        <v>524</v>
      </c>
      <c r="C7" s="8" t="s">
        <v>525</v>
      </c>
      <c r="D7" s="120" t="s">
        <v>404</v>
      </c>
      <c r="E7" s="166" t="s">
        <v>526</v>
      </c>
      <c r="F7" s="170" t="s">
        <v>15</v>
      </c>
      <c r="G7" s="77" t="s">
        <v>549</v>
      </c>
      <c r="H7" s="68" t="s">
        <v>200</v>
      </c>
      <c r="I7" s="68" t="s">
        <v>200</v>
      </c>
      <c r="J7" s="68" t="s">
        <v>200</v>
      </c>
      <c r="K7" s="10"/>
      <c r="L7" s="9"/>
      <c r="M7" s="9"/>
      <c r="N7" s="9"/>
      <c r="O7" s="108"/>
      <c r="P7" s="109" t="s">
        <v>568</v>
      </c>
      <c r="Q7" s="110" t="str">
        <f>"0,0000"</f>
        <v>0,0000</v>
      </c>
      <c r="R7" s="106" t="s">
        <v>553</v>
      </c>
    </row>
    <row r="8" spans="1:77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2"/>
      <c r="R8" s="2"/>
    </row>
    <row r="9" spans="1:77" ht="15">
      <c r="A9" s="1"/>
      <c r="B9" s="209" t="s">
        <v>527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"/>
    </row>
    <row r="10" spans="1:77" s="70" customFormat="1">
      <c r="A10" s="71">
        <v>1</v>
      </c>
      <c r="B10" s="166" t="s">
        <v>528</v>
      </c>
      <c r="C10" s="166" t="s">
        <v>529</v>
      </c>
      <c r="D10" s="169" t="s">
        <v>530</v>
      </c>
      <c r="E10" s="166" t="s">
        <v>531</v>
      </c>
      <c r="F10" s="169" t="s">
        <v>532</v>
      </c>
      <c r="G10" s="106" t="s">
        <v>550</v>
      </c>
      <c r="H10" s="181" t="s">
        <v>200</v>
      </c>
      <c r="I10" s="182" t="s">
        <v>200</v>
      </c>
      <c r="J10" s="180" t="s">
        <v>200</v>
      </c>
      <c r="K10" s="177"/>
      <c r="L10" s="180" t="s">
        <v>168</v>
      </c>
      <c r="M10" s="179" t="s">
        <v>146</v>
      </c>
      <c r="N10" s="178" t="s">
        <v>200</v>
      </c>
      <c r="O10" s="177"/>
      <c r="P10" s="176" t="s">
        <v>261</v>
      </c>
      <c r="Q10" s="173">
        <v>74.226100000000002</v>
      </c>
      <c r="R10" s="106" t="s">
        <v>553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</row>
    <row r="11" spans="1:7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2"/>
      <c r="R11" s="2"/>
    </row>
    <row r="12" spans="1:77" ht="15">
      <c r="A12" s="1"/>
      <c r="B12" s="209" t="s">
        <v>68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"/>
    </row>
    <row r="13" spans="1:77" s="70" customFormat="1">
      <c r="A13" s="71">
        <v>1</v>
      </c>
      <c r="B13" s="166" t="s">
        <v>533</v>
      </c>
      <c r="C13" s="166" t="s">
        <v>534</v>
      </c>
      <c r="D13" s="169" t="s">
        <v>535</v>
      </c>
      <c r="E13" s="166" t="s">
        <v>536</v>
      </c>
      <c r="F13" s="169" t="s">
        <v>15</v>
      </c>
      <c r="G13" s="106" t="s">
        <v>551</v>
      </c>
      <c r="H13" s="180" t="s">
        <v>237</v>
      </c>
      <c r="I13" s="179" t="s">
        <v>170</v>
      </c>
      <c r="J13" s="180" t="s">
        <v>243</v>
      </c>
      <c r="K13" s="177"/>
      <c r="L13" s="180" t="s">
        <v>237</v>
      </c>
      <c r="M13" s="182" t="s">
        <v>170</v>
      </c>
      <c r="N13" s="183" t="s">
        <v>243</v>
      </c>
      <c r="O13" s="177"/>
      <c r="P13" s="176" t="s">
        <v>211</v>
      </c>
      <c r="Q13" s="174" t="s">
        <v>577</v>
      </c>
      <c r="R13" s="106" t="s">
        <v>553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</row>
    <row r="14" spans="1:77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2"/>
      <c r="R14" s="2"/>
    </row>
    <row r="15" spans="1:77" ht="15">
      <c r="A15" s="1"/>
      <c r="B15" s="209" t="s">
        <v>537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"/>
    </row>
    <row r="16" spans="1:77">
      <c r="A16" s="1">
        <v>1</v>
      </c>
      <c r="B16" s="13" t="s">
        <v>538</v>
      </c>
      <c r="C16" s="13" t="s">
        <v>539</v>
      </c>
      <c r="D16" s="13" t="s">
        <v>540</v>
      </c>
      <c r="E16" s="13" t="s">
        <v>541</v>
      </c>
      <c r="F16" s="13" t="s">
        <v>15</v>
      </c>
      <c r="G16" s="102" t="s">
        <v>551</v>
      </c>
      <c r="H16" s="14" t="s">
        <v>237</v>
      </c>
      <c r="I16" s="163" t="s">
        <v>170</v>
      </c>
      <c r="J16" s="14" t="s">
        <v>243</v>
      </c>
      <c r="K16" s="15"/>
      <c r="L16" s="14" t="s">
        <v>200</v>
      </c>
      <c r="M16" s="14" t="s">
        <v>237</v>
      </c>
      <c r="N16" s="164" t="s">
        <v>170</v>
      </c>
      <c r="O16" s="15"/>
      <c r="P16" s="16" t="s">
        <v>51</v>
      </c>
      <c r="Q16" s="175" t="s">
        <v>578</v>
      </c>
      <c r="R16" s="106" t="s">
        <v>553</v>
      </c>
    </row>
    <row r="17" spans="1:18" ht="26.85" customHeight="1">
      <c r="B17" s="212" t="s">
        <v>542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4"/>
    </row>
    <row r="18" spans="1:18" ht="15">
      <c r="A18" s="1"/>
      <c r="B18" s="209" t="s">
        <v>17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"/>
    </row>
    <row r="19" spans="1:18">
      <c r="A19" s="1">
        <v>1</v>
      </c>
      <c r="B19" s="168" t="s">
        <v>543</v>
      </c>
      <c r="C19" s="167" t="s">
        <v>544</v>
      </c>
      <c r="D19" s="73">
        <v>89.8</v>
      </c>
      <c r="E19" s="73" t="s">
        <v>545</v>
      </c>
      <c r="F19" s="171" t="s">
        <v>546</v>
      </c>
      <c r="G19" s="172" t="s">
        <v>552</v>
      </c>
      <c r="H19" s="119" t="s">
        <v>28</v>
      </c>
      <c r="I19" s="75" t="s">
        <v>29</v>
      </c>
      <c r="J19" s="74" t="s">
        <v>144</v>
      </c>
      <c r="K19" s="72"/>
      <c r="L19" s="75" t="s">
        <v>237</v>
      </c>
      <c r="M19" s="75" t="s">
        <v>170</v>
      </c>
      <c r="N19" s="75" t="s">
        <v>243</v>
      </c>
      <c r="O19" s="72"/>
      <c r="P19" s="76" t="s">
        <v>158</v>
      </c>
      <c r="Q19" s="111" t="s">
        <v>579</v>
      </c>
      <c r="R19" s="78" t="s">
        <v>554</v>
      </c>
    </row>
  </sheetData>
  <sheetProtection selectLockedCells="1" selectUnlockedCells="1"/>
  <mergeCells count="19"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B15:Q15"/>
    <mergeCell ref="B17:R17"/>
    <mergeCell ref="B18:Q18"/>
    <mergeCell ref="Q3:Q4"/>
    <mergeCell ref="R3:R4"/>
    <mergeCell ref="B5:R5"/>
    <mergeCell ref="B6:Q6"/>
    <mergeCell ref="B9:Q9"/>
    <mergeCell ref="B12:Q1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37"/>
  <sheetViews>
    <sheetView topLeftCell="A13" workbookViewId="0">
      <selection activeCell="B23" sqref="B23:B26"/>
    </sheetView>
  </sheetViews>
  <sheetFormatPr defaultRowHeight="12.75"/>
  <cols>
    <col min="1" max="1" width="5.7109375" customWidth="1"/>
    <col min="2" max="2" width="21" customWidth="1"/>
    <col min="3" max="3" width="27.7109375" customWidth="1"/>
    <col min="4" max="4" width="13.85546875" customWidth="1"/>
    <col min="5" max="5" width="10.7109375" customWidth="1"/>
    <col min="6" max="6" width="15.140625" customWidth="1"/>
    <col min="7" max="7" width="36.5703125" customWidth="1"/>
    <col min="9" max="9" width="12.42578125" customWidth="1"/>
    <col min="12" max="12" width="23" customWidth="1"/>
  </cols>
  <sheetData>
    <row r="1" spans="1:12" ht="13.5" thickBot="1">
      <c r="A1" s="4"/>
      <c r="B1" s="207" t="s">
        <v>665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78" customHeight="1" thickBot="1">
      <c r="A2" s="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5.75" thickBot="1">
      <c r="A3" s="6"/>
      <c r="B3" s="208" t="s">
        <v>1</v>
      </c>
      <c r="C3" s="203" t="s">
        <v>2</v>
      </c>
      <c r="D3" s="202" t="s">
        <v>3</v>
      </c>
      <c r="E3" s="202" t="s">
        <v>607</v>
      </c>
      <c r="F3" s="202" t="s">
        <v>5</v>
      </c>
      <c r="G3" s="202" t="s">
        <v>548</v>
      </c>
      <c r="H3" s="204" t="s">
        <v>608</v>
      </c>
      <c r="I3" s="204"/>
      <c r="J3" s="202" t="s">
        <v>609</v>
      </c>
      <c r="K3" s="202" t="s">
        <v>8</v>
      </c>
      <c r="L3" s="205" t="s">
        <v>9</v>
      </c>
    </row>
    <row r="4" spans="1:12" ht="15">
      <c r="A4" s="6"/>
      <c r="B4" s="232"/>
      <c r="C4" s="233"/>
      <c r="D4" s="233"/>
      <c r="E4" s="233"/>
      <c r="F4" s="233"/>
      <c r="G4" s="233"/>
      <c r="H4" s="156" t="s">
        <v>610</v>
      </c>
      <c r="I4" s="156" t="s">
        <v>666</v>
      </c>
      <c r="J4" s="234"/>
      <c r="K4" s="234"/>
      <c r="L4" s="228"/>
    </row>
    <row r="5" spans="1:12" ht="23.25">
      <c r="A5" s="139"/>
      <c r="B5" s="229" t="s">
        <v>611</v>
      </c>
      <c r="C5" s="230"/>
      <c r="D5" s="230"/>
      <c r="E5" s="230"/>
      <c r="F5" s="230"/>
      <c r="G5" s="230"/>
      <c r="H5" s="230"/>
      <c r="I5" s="230"/>
      <c r="J5" s="230"/>
      <c r="K5" s="230"/>
      <c r="L5" s="157"/>
    </row>
    <row r="6" spans="1:12" ht="15">
      <c r="A6" s="1"/>
      <c r="B6" s="209" t="s">
        <v>45</v>
      </c>
      <c r="C6" s="209"/>
      <c r="D6" s="209"/>
      <c r="E6" s="209"/>
      <c r="F6" s="209"/>
      <c r="G6" s="209"/>
      <c r="H6" s="209"/>
      <c r="I6" s="209"/>
      <c r="J6" s="209"/>
      <c r="K6" s="209"/>
      <c r="L6" s="2"/>
    </row>
    <row r="7" spans="1:12">
      <c r="A7" s="1">
        <v>1</v>
      </c>
      <c r="B7" s="92" t="s">
        <v>46</v>
      </c>
      <c r="C7" s="184" t="s">
        <v>47</v>
      </c>
      <c r="D7" s="93" t="s">
        <v>48</v>
      </c>
      <c r="E7" s="93" t="str">
        <f>"1,0093"</f>
        <v>1,0093</v>
      </c>
      <c r="F7" s="93" t="s">
        <v>15</v>
      </c>
      <c r="G7" s="89" t="s">
        <v>559</v>
      </c>
      <c r="H7" s="161">
        <v>30</v>
      </c>
      <c r="I7" s="162">
        <v>43</v>
      </c>
      <c r="J7" s="93" t="s">
        <v>612</v>
      </c>
      <c r="K7" s="93" t="s">
        <v>613</v>
      </c>
      <c r="L7" s="96" t="s">
        <v>52</v>
      </c>
    </row>
    <row r="8" spans="1:12">
      <c r="A8" s="1">
        <v>1</v>
      </c>
      <c r="B8" s="92" t="s">
        <v>614</v>
      </c>
      <c r="C8" s="184" t="s">
        <v>615</v>
      </c>
      <c r="D8" s="93" t="s">
        <v>616</v>
      </c>
      <c r="E8" s="93" t="str">
        <f>"0,9956"</f>
        <v>0,9956</v>
      </c>
      <c r="F8" s="93" t="s">
        <v>15</v>
      </c>
      <c r="G8" s="89" t="s">
        <v>559</v>
      </c>
      <c r="H8" s="161">
        <v>30</v>
      </c>
      <c r="I8" s="162">
        <v>26</v>
      </c>
      <c r="J8" s="93" t="s">
        <v>617</v>
      </c>
      <c r="K8" s="93" t="s">
        <v>618</v>
      </c>
      <c r="L8" s="96" t="s">
        <v>409</v>
      </c>
    </row>
    <row r="9" spans="1:12" ht="23.25">
      <c r="A9" s="139"/>
      <c r="B9" s="231" t="s">
        <v>619</v>
      </c>
      <c r="C9" s="231"/>
      <c r="D9" s="231"/>
      <c r="E9" s="231"/>
      <c r="F9" s="231"/>
      <c r="G9" s="231"/>
      <c r="H9" s="231"/>
      <c r="I9" s="231"/>
      <c r="J9" s="231"/>
      <c r="K9" s="231"/>
      <c r="L9" s="140"/>
    </row>
    <row r="10" spans="1:12">
      <c r="A10" s="4" t="s">
        <v>472</v>
      </c>
      <c r="B10" s="37" t="s">
        <v>524</v>
      </c>
      <c r="C10" s="38" t="s">
        <v>525</v>
      </c>
      <c r="D10" s="38" t="s">
        <v>404</v>
      </c>
      <c r="E10" s="38" t="str">
        <f>"0,8328"</f>
        <v>0,8328</v>
      </c>
      <c r="F10" s="37" t="s">
        <v>15</v>
      </c>
      <c r="G10" s="37" t="s">
        <v>620</v>
      </c>
      <c r="H10" s="145" t="s">
        <v>621</v>
      </c>
      <c r="I10" s="146" t="s">
        <v>622</v>
      </c>
      <c r="J10" s="37" t="s">
        <v>623</v>
      </c>
      <c r="K10" s="37" t="s">
        <v>624</v>
      </c>
      <c r="L10" s="79" t="s">
        <v>553</v>
      </c>
    </row>
    <row r="11" spans="1:12" ht="15">
      <c r="A11" s="4"/>
      <c r="B11" s="210" t="s">
        <v>194</v>
      </c>
      <c r="C11" s="210"/>
      <c r="D11" s="210"/>
      <c r="E11" s="210"/>
      <c r="F11" s="210"/>
      <c r="G11" s="210"/>
      <c r="H11" s="210"/>
      <c r="I11" s="210"/>
      <c r="J11" s="210"/>
      <c r="K11" s="210"/>
      <c r="L11" s="36"/>
    </row>
    <row r="12" spans="1:12">
      <c r="A12" s="4" t="s">
        <v>472</v>
      </c>
      <c r="B12" s="37" t="s">
        <v>625</v>
      </c>
      <c r="C12" s="38" t="s">
        <v>529</v>
      </c>
      <c r="D12" s="38" t="s">
        <v>626</v>
      </c>
      <c r="E12" s="38" t="str">
        <f>"0,8025"</f>
        <v>0,8025</v>
      </c>
      <c r="F12" s="37" t="s">
        <v>627</v>
      </c>
      <c r="G12" s="89" t="s">
        <v>559</v>
      </c>
      <c r="H12" s="145" t="s">
        <v>628</v>
      </c>
      <c r="I12" s="146" t="s">
        <v>629</v>
      </c>
      <c r="J12" s="37" t="s">
        <v>630</v>
      </c>
      <c r="K12" s="37" t="s">
        <v>631</v>
      </c>
      <c r="L12" s="79" t="s">
        <v>553</v>
      </c>
    </row>
    <row r="13" spans="1:12" ht="15">
      <c r="A13" s="4"/>
      <c r="B13" s="210" t="s">
        <v>68</v>
      </c>
      <c r="C13" s="210"/>
      <c r="D13" s="210"/>
      <c r="E13" s="210"/>
      <c r="F13" s="210"/>
      <c r="G13" s="210"/>
      <c r="H13" s="210"/>
      <c r="I13" s="210"/>
      <c r="J13" s="210"/>
      <c r="K13" s="210"/>
      <c r="L13" s="36"/>
    </row>
    <row r="14" spans="1:12">
      <c r="A14" s="4" t="s">
        <v>472</v>
      </c>
      <c r="B14" s="80" t="s">
        <v>632</v>
      </c>
      <c r="C14" s="81" t="s">
        <v>633</v>
      </c>
      <c r="D14" s="81" t="s">
        <v>634</v>
      </c>
      <c r="E14" s="81" t="str">
        <f>"0,7411"</f>
        <v>0,7411</v>
      </c>
      <c r="F14" s="82" t="s">
        <v>15</v>
      </c>
      <c r="G14" s="89" t="s">
        <v>559</v>
      </c>
      <c r="H14" s="158" t="s">
        <v>635</v>
      </c>
      <c r="I14" s="159" t="s">
        <v>636</v>
      </c>
      <c r="J14" s="82" t="s">
        <v>637</v>
      </c>
      <c r="K14" s="82" t="s">
        <v>638</v>
      </c>
      <c r="L14" s="160" t="s">
        <v>639</v>
      </c>
    </row>
    <row r="15" spans="1:12">
      <c r="A15" s="4" t="s">
        <v>472</v>
      </c>
      <c r="B15" s="48" t="s">
        <v>640</v>
      </c>
      <c r="C15" s="49" t="s">
        <v>641</v>
      </c>
      <c r="D15" s="49" t="s">
        <v>642</v>
      </c>
      <c r="E15" s="49" t="str">
        <f>"0,6913"</f>
        <v>0,6913</v>
      </c>
      <c r="F15" s="48" t="s">
        <v>15</v>
      </c>
      <c r="G15" s="89" t="s">
        <v>559</v>
      </c>
      <c r="H15" s="151" t="s">
        <v>643</v>
      </c>
      <c r="I15" s="152" t="s">
        <v>644</v>
      </c>
      <c r="J15" s="48" t="s">
        <v>645</v>
      </c>
      <c r="K15" s="88" t="s">
        <v>667</v>
      </c>
      <c r="L15" s="48" t="s">
        <v>409</v>
      </c>
    </row>
    <row r="16" spans="1:12" ht="15">
      <c r="A16" s="4"/>
      <c r="B16" s="210" t="s">
        <v>17</v>
      </c>
      <c r="C16" s="210"/>
      <c r="D16" s="210"/>
      <c r="E16" s="210"/>
      <c r="F16" s="210"/>
      <c r="G16" s="210"/>
      <c r="H16" s="210"/>
      <c r="I16" s="210"/>
      <c r="J16" s="210"/>
      <c r="K16" s="210"/>
      <c r="L16" s="36"/>
    </row>
    <row r="17" spans="1:12">
      <c r="A17" s="4" t="s">
        <v>472</v>
      </c>
      <c r="B17" s="37" t="s">
        <v>647</v>
      </c>
      <c r="C17" s="38" t="s">
        <v>648</v>
      </c>
      <c r="D17" s="38" t="s">
        <v>20</v>
      </c>
      <c r="E17" s="38" t="str">
        <f>"0,6153"</f>
        <v>0,6153</v>
      </c>
      <c r="F17" s="37" t="s">
        <v>15</v>
      </c>
      <c r="G17" s="89" t="s">
        <v>559</v>
      </c>
      <c r="H17" s="145" t="s">
        <v>649</v>
      </c>
      <c r="I17" s="146" t="s">
        <v>650</v>
      </c>
      <c r="J17" s="37" t="s">
        <v>651</v>
      </c>
      <c r="K17" s="37" t="s">
        <v>652</v>
      </c>
      <c r="L17" s="79" t="s">
        <v>553</v>
      </c>
    </row>
    <row r="18" spans="1:12" ht="15">
      <c r="A18" s="4"/>
      <c r="B18" s="210" t="s">
        <v>60</v>
      </c>
      <c r="C18" s="210"/>
      <c r="D18" s="210"/>
      <c r="E18" s="210"/>
      <c r="F18" s="210"/>
      <c r="G18" s="210"/>
      <c r="H18" s="210"/>
      <c r="I18" s="210"/>
      <c r="J18" s="210"/>
      <c r="K18" s="210"/>
      <c r="L18" s="36"/>
    </row>
    <row r="19" spans="1:12">
      <c r="A19" s="4" t="s">
        <v>490</v>
      </c>
      <c r="B19" s="42" t="s">
        <v>653</v>
      </c>
      <c r="C19" s="43" t="s">
        <v>654</v>
      </c>
      <c r="D19" s="43" t="s">
        <v>655</v>
      </c>
      <c r="E19" s="43" t="str">
        <f>"0,6082"</f>
        <v>0,6082</v>
      </c>
      <c r="F19" s="42" t="s">
        <v>15</v>
      </c>
      <c r="G19" s="89" t="s">
        <v>559</v>
      </c>
      <c r="H19" s="149" t="s">
        <v>261</v>
      </c>
      <c r="I19" s="150" t="s">
        <v>629</v>
      </c>
      <c r="J19" s="42" t="s">
        <v>656</v>
      </c>
      <c r="K19" s="91" t="s">
        <v>668</v>
      </c>
      <c r="L19" s="91" t="s">
        <v>553</v>
      </c>
    </row>
    <row r="20" spans="1:12">
      <c r="A20" s="4" t="s">
        <v>472</v>
      </c>
      <c r="B20" s="80" t="s">
        <v>226</v>
      </c>
      <c r="C20" s="81" t="s">
        <v>227</v>
      </c>
      <c r="D20" s="81" t="s">
        <v>228</v>
      </c>
      <c r="E20" s="81" t="str">
        <f>"0,5846"</f>
        <v>0,5846</v>
      </c>
      <c r="F20" s="82" t="s">
        <v>102</v>
      </c>
      <c r="G20" s="89" t="s">
        <v>559</v>
      </c>
      <c r="H20" s="158" t="s">
        <v>658</v>
      </c>
      <c r="I20" s="159" t="s">
        <v>659</v>
      </c>
      <c r="J20" s="82" t="s">
        <v>660</v>
      </c>
      <c r="K20" s="89" t="s">
        <v>669</v>
      </c>
      <c r="L20" s="87" t="s">
        <v>553</v>
      </c>
    </row>
    <row r="21" spans="1:12">
      <c r="A21" s="4" t="s">
        <v>493</v>
      </c>
      <c r="B21" s="48" t="s">
        <v>445</v>
      </c>
      <c r="C21" s="49" t="s">
        <v>446</v>
      </c>
      <c r="D21" s="49" t="s">
        <v>447</v>
      </c>
      <c r="E21" s="49" t="str">
        <f>"0,5843"</f>
        <v>0,5843</v>
      </c>
      <c r="F21" s="48" t="s">
        <v>401</v>
      </c>
      <c r="G21" s="89" t="s">
        <v>559</v>
      </c>
      <c r="H21" s="151" t="s">
        <v>658</v>
      </c>
      <c r="I21" s="152" t="s">
        <v>662</v>
      </c>
      <c r="J21" s="48" t="s">
        <v>663</v>
      </c>
      <c r="K21" s="88" t="s">
        <v>670</v>
      </c>
      <c r="L21" s="88" t="s">
        <v>556</v>
      </c>
    </row>
    <row r="22" spans="1:12">
      <c r="A22" s="4"/>
      <c r="B22" s="147"/>
      <c r="C22" s="5"/>
      <c r="D22" s="5"/>
      <c r="E22" s="5"/>
      <c r="F22" s="36"/>
      <c r="G22" s="36"/>
      <c r="H22" s="148"/>
      <c r="I22" s="148"/>
      <c r="J22" s="147"/>
      <c r="K22" s="5"/>
      <c r="L22" s="36"/>
    </row>
    <row r="23" spans="1:12" ht="18">
      <c r="A23" s="4"/>
      <c r="B23" s="191" t="s">
        <v>120</v>
      </c>
      <c r="C23" s="5"/>
      <c r="D23" s="5"/>
      <c r="E23" s="5"/>
      <c r="F23" s="36"/>
      <c r="G23" s="36"/>
      <c r="H23" s="148"/>
      <c r="I23" s="148"/>
      <c r="J23" s="147"/>
      <c r="K23" s="5"/>
      <c r="L23" s="36"/>
    </row>
    <row r="24" spans="1:12" ht="18">
      <c r="A24" s="4"/>
      <c r="B24" s="191"/>
      <c r="C24" s="5"/>
      <c r="D24" s="5"/>
      <c r="E24" s="5"/>
      <c r="F24" s="36"/>
      <c r="G24" s="36"/>
      <c r="H24" s="148"/>
      <c r="I24" s="148"/>
      <c r="J24" s="147"/>
      <c r="K24" s="5"/>
      <c r="L24" s="36"/>
    </row>
    <row r="25" spans="1:12" ht="18">
      <c r="A25" s="4"/>
      <c r="B25" s="63" t="s">
        <v>121</v>
      </c>
      <c r="C25" s="62"/>
      <c r="D25" s="5"/>
      <c r="E25" s="5"/>
      <c r="F25" s="36"/>
      <c r="G25" s="36"/>
      <c r="H25" s="148"/>
      <c r="I25" s="148"/>
      <c r="J25" s="147"/>
      <c r="K25" s="5"/>
      <c r="L25" s="36"/>
    </row>
    <row r="26" spans="1:12" ht="14.25">
      <c r="A26" s="4"/>
      <c r="B26" s="188" t="s">
        <v>122</v>
      </c>
      <c r="C26" s="5"/>
      <c r="D26" s="5"/>
      <c r="E26" s="5"/>
      <c r="F26" s="36"/>
      <c r="G26" s="36"/>
      <c r="H26" s="148"/>
      <c r="I26" s="148"/>
      <c r="J26" s="147"/>
      <c r="K26" s="5"/>
      <c r="L26" s="36"/>
    </row>
    <row r="27" spans="1:12" ht="15">
      <c r="A27" s="4"/>
      <c r="B27" s="187" t="s">
        <v>123</v>
      </c>
      <c r="C27" s="153" t="s">
        <v>124</v>
      </c>
      <c r="D27" s="153" t="s">
        <v>125</v>
      </c>
      <c r="E27" s="153" t="s">
        <v>609</v>
      </c>
      <c r="F27" s="153" t="s">
        <v>521</v>
      </c>
      <c r="G27" s="36"/>
      <c r="H27" s="5"/>
      <c r="I27" s="5"/>
      <c r="J27" s="5"/>
      <c r="K27" s="5"/>
      <c r="L27" s="4"/>
    </row>
    <row r="28" spans="1:12">
      <c r="A28" s="4" t="s">
        <v>472</v>
      </c>
      <c r="B28" s="185" t="s">
        <v>226</v>
      </c>
      <c r="C28" s="155" t="s">
        <v>227</v>
      </c>
      <c r="D28" s="155" t="s">
        <v>228</v>
      </c>
      <c r="E28" s="155" t="s">
        <v>660</v>
      </c>
      <c r="F28" s="186" t="s">
        <v>661</v>
      </c>
      <c r="H28" s="36"/>
      <c r="I28" s="36"/>
      <c r="L28" s="36"/>
    </row>
    <row r="29" spans="1:12">
      <c r="A29" s="4" t="s">
        <v>490</v>
      </c>
      <c r="B29" s="154" t="s">
        <v>647</v>
      </c>
      <c r="C29" s="155" t="s">
        <v>648</v>
      </c>
      <c r="D29" s="155" t="s">
        <v>20</v>
      </c>
      <c r="E29" s="155" t="s">
        <v>651</v>
      </c>
      <c r="F29" s="186" t="s">
        <v>652</v>
      </c>
      <c r="H29" s="36"/>
      <c r="I29" s="36"/>
      <c r="L29" s="36"/>
    </row>
    <row r="30" spans="1:12">
      <c r="A30" s="4" t="s">
        <v>493</v>
      </c>
      <c r="B30" s="154" t="s">
        <v>653</v>
      </c>
      <c r="C30" s="155" t="s">
        <v>654</v>
      </c>
      <c r="D30" s="155" t="s">
        <v>655</v>
      </c>
      <c r="E30" s="155" t="s">
        <v>656</v>
      </c>
      <c r="F30" s="186" t="s">
        <v>657</v>
      </c>
      <c r="H30" s="36"/>
      <c r="I30" s="36"/>
      <c r="L30" s="36"/>
    </row>
    <row r="31" spans="1:12">
      <c r="A31" s="4"/>
      <c r="B31" s="154" t="s">
        <v>445</v>
      </c>
      <c r="C31" s="155" t="s">
        <v>446</v>
      </c>
      <c r="D31" s="155" t="s">
        <v>447</v>
      </c>
      <c r="E31" s="155" t="s">
        <v>663</v>
      </c>
      <c r="F31" s="186" t="s">
        <v>664</v>
      </c>
      <c r="H31" s="36"/>
      <c r="I31" s="36"/>
      <c r="L31" s="36"/>
    </row>
    <row r="32" spans="1:12">
      <c r="A32" s="4"/>
      <c r="B32" s="154" t="s">
        <v>625</v>
      </c>
      <c r="C32" s="155" t="s">
        <v>529</v>
      </c>
      <c r="D32" s="155" t="s">
        <v>626</v>
      </c>
      <c r="E32" s="155" t="s">
        <v>630</v>
      </c>
      <c r="F32" s="186" t="s">
        <v>631</v>
      </c>
      <c r="H32" s="36"/>
      <c r="I32" s="36"/>
      <c r="L32" s="36"/>
    </row>
    <row r="33" spans="1:12">
      <c r="A33" s="4"/>
      <c r="B33" s="154" t="s">
        <v>640</v>
      </c>
      <c r="C33" s="155" t="s">
        <v>641</v>
      </c>
      <c r="D33" s="155" t="s">
        <v>642</v>
      </c>
      <c r="E33" s="155" t="s">
        <v>645</v>
      </c>
      <c r="F33" s="186" t="s">
        <v>646</v>
      </c>
      <c r="H33" s="36"/>
      <c r="I33" s="36"/>
      <c r="L33" s="36"/>
    </row>
    <row r="34" spans="1:12">
      <c r="A34" s="4"/>
      <c r="B34" s="154" t="s">
        <v>524</v>
      </c>
      <c r="C34" s="155" t="s">
        <v>525</v>
      </c>
      <c r="D34" s="155" t="s">
        <v>404</v>
      </c>
      <c r="E34" s="155" t="s">
        <v>623</v>
      </c>
      <c r="F34" s="186" t="s">
        <v>624</v>
      </c>
      <c r="H34" s="36"/>
      <c r="I34" s="36"/>
      <c r="L34" s="36"/>
    </row>
    <row r="35" spans="1:12">
      <c r="A35" s="4"/>
      <c r="B35" s="147"/>
      <c r="C35" s="5"/>
      <c r="D35" s="5"/>
      <c r="E35" s="5"/>
      <c r="F35" s="36"/>
      <c r="G35" s="36"/>
      <c r="H35" s="148"/>
      <c r="I35" s="148"/>
      <c r="J35" s="147"/>
      <c r="K35" s="5"/>
      <c r="L35" s="36"/>
    </row>
    <row r="36" spans="1:12">
      <c r="A36" s="4"/>
      <c r="B36" s="147"/>
      <c r="C36" s="5"/>
      <c r="D36" s="5"/>
      <c r="E36" s="5"/>
      <c r="F36" s="36"/>
      <c r="G36" s="36"/>
      <c r="H36" s="148"/>
      <c r="I36" s="148"/>
      <c r="J36" s="147"/>
      <c r="K36" s="5"/>
      <c r="L36" s="36"/>
    </row>
    <row r="37" spans="1:12">
      <c r="A37" s="4"/>
      <c r="B37" s="147"/>
      <c r="C37" s="5"/>
      <c r="D37" s="5"/>
      <c r="E37" s="5"/>
      <c r="F37" s="36"/>
      <c r="G37" s="36"/>
      <c r="H37" s="148"/>
      <c r="I37" s="148"/>
      <c r="J37" s="147"/>
      <c r="K37" s="5"/>
      <c r="L37" s="36"/>
    </row>
  </sheetData>
  <mergeCells count="18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16:K16"/>
    <mergeCell ref="B18:K18"/>
    <mergeCell ref="L3:L4"/>
    <mergeCell ref="B5:K5"/>
    <mergeCell ref="B6:K6"/>
    <mergeCell ref="B9:K9"/>
    <mergeCell ref="B11:K11"/>
    <mergeCell ref="B13:K1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A4" workbookViewId="0">
      <selection activeCell="G45" sqref="G45"/>
    </sheetView>
  </sheetViews>
  <sheetFormatPr defaultRowHeight="12.75"/>
  <cols>
    <col min="1" max="1" width="3.5703125" customWidth="1"/>
    <col min="2" max="2" width="22" customWidth="1"/>
    <col min="3" max="3" width="27" customWidth="1"/>
    <col min="4" max="4" width="15" customWidth="1"/>
    <col min="6" max="6" width="20.85546875" customWidth="1"/>
    <col min="7" max="7" width="37.140625" customWidth="1"/>
    <col min="9" max="9" width="14.140625" customWidth="1"/>
    <col min="12" max="12" width="16.42578125" customWidth="1"/>
  </cols>
  <sheetData>
    <row r="1" spans="1:12" ht="13.5" thickBot="1">
      <c r="A1" s="4"/>
      <c r="B1" s="207" t="s">
        <v>701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89.25" customHeight="1" thickBot="1">
      <c r="A2" s="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5.75" thickBot="1">
      <c r="A3" s="6"/>
      <c r="B3" s="208" t="s">
        <v>1</v>
      </c>
      <c r="C3" s="203" t="s">
        <v>2</v>
      </c>
      <c r="D3" s="202" t="s">
        <v>3</v>
      </c>
      <c r="E3" s="202" t="s">
        <v>607</v>
      </c>
      <c r="F3" s="202" t="s">
        <v>5</v>
      </c>
      <c r="G3" s="202" t="s">
        <v>548</v>
      </c>
      <c r="H3" s="204" t="s">
        <v>143</v>
      </c>
      <c r="I3" s="204"/>
      <c r="J3" s="202" t="s">
        <v>609</v>
      </c>
      <c r="K3" s="202" t="s">
        <v>8</v>
      </c>
      <c r="L3" s="205" t="s">
        <v>9</v>
      </c>
    </row>
    <row r="4" spans="1:12" ht="15.75" thickBot="1">
      <c r="A4" s="6"/>
      <c r="B4" s="208"/>
      <c r="C4" s="203"/>
      <c r="D4" s="203"/>
      <c r="E4" s="203"/>
      <c r="F4" s="203"/>
      <c r="G4" s="233"/>
      <c r="H4" s="7" t="s">
        <v>610</v>
      </c>
      <c r="I4" s="7" t="s">
        <v>666</v>
      </c>
      <c r="J4" s="202"/>
      <c r="K4" s="202"/>
      <c r="L4" s="205"/>
    </row>
    <row r="5" spans="1:12" ht="15">
      <c r="A5" s="1"/>
      <c r="B5" s="206" t="s">
        <v>194</v>
      </c>
      <c r="C5" s="206"/>
      <c r="D5" s="206"/>
      <c r="E5" s="206"/>
      <c r="F5" s="206"/>
      <c r="G5" s="206"/>
      <c r="H5" s="206"/>
      <c r="I5" s="206"/>
      <c r="J5" s="206"/>
      <c r="K5" s="206"/>
      <c r="L5" s="2"/>
    </row>
    <row r="6" spans="1:12">
      <c r="A6" s="1">
        <v>1</v>
      </c>
      <c r="B6" s="77" t="s">
        <v>473</v>
      </c>
      <c r="C6" s="8" t="s">
        <v>474</v>
      </c>
      <c r="D6" s="8" t="s">
        <v>475</v>
      </c>
      <c r="E6" s="8" t="str">
        <f>"0,9049"</f>
        <v>0,9049</v>
      </c>
      <c r="F6" s="8" t="s">
        <v>15</v>
      </c>
      <c r="G6" s="77" t="s">
        <v>561</v>
      </c>
      <c r="H6" s="197">
        <v>67.5</v>
      </c>
      <c r="I6" s="196">
        <v>20</v>
      </c>
      <c r="J6" s="8" t="s">
        <v>671</v>
      </c>
      <c r="K6" s="8" t="s">
        <v>672</v>
      </c>
      <c r="L6" s="77" t="s">
        <v>553</v>
      </c>
    </row>
    <row r="7" spans="1:1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/>
      <c r="B8" s="209" t="s">
        <v>194</v>
      </c>
      <c r="C8" s="209"/>
      <c r="D8" s="209"/>
      <c r="E8" s="209"/>
      <c r="F8" s="209"/>
      <c r="G8" s="209"/>
      <c r="H8" s="209"/>
      <c r="I8" s="209"/>
      <c r="J8" s="209"/>
      <c r="K8" s="209"/>
      <c r="L8" s="2"/>
    </row>
    <row r="9" spans="1:12">
      <c r="A9" s="1">
        <v>1</v>
      </c>
      <c r="B9" s="8" t="s">
        <v>476</v>
      </c>
      <c r="C9" s="8" t="s">
        <v>477</v>
      </c>
      <c r="D9" s="8" t="s">
        <v>478</v>
      </c>
      <c r="E9" s="8" t="str">
        <f>"0,7494"</f>
        <v>0,7494</v>
      </c>
      <c r="F9" s="120" t="s">
        <v>401</v>
      </c>
      <c r="G9" s="106" t="s">
        <v>559</v>
      </c>
      <c r="H9" s="198">
        <v>67.5</v>
      </c>
      <c r="I9" s="196">
        <v>17</v>
      </c>
      <c r="J9" s="8" t="s">
        <v>673</v>
      </c>
      <c r="K9" s="77" t="s">
        <v>702</v>
      </c>
      <c r="L9" s="77" t="s">
        <v>556</v>
      </c>
    </row>
    <row r="10" spans="1:1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"/>
      <c r="B11" s="209" t="s">
        <v>68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"/>
    </row>
    <row r="12" spans="1:12">
      <c r="A12" s="1">
        <v>1</v>
      </c>
      <c r="B12" s="13" t="s">
        <v>486</v>
      </c>
      <c r="C12" s="13" t="s">
        <v>675</v>
      </c>
      <c r="D12" s="13" t="s">
        <v>488</v>
      </c>
      <c r="E12" s="13" t="str">
        <f>"0,6920"</f>
        <v>0,6920</v>
      </c>
      <c r="F12" s="13" t="s">
        <v>205</v>
      </c>
      <c r="G12" s="13" t="s">
        <v>489</v>
      </c>
      <c r="H12" s="141">
        <v>75</v>
      </c>
      <c r="I12" s="142">
        <v>26</v>
      </c>
      <c r="J12" s="13" t="s">
        <v>676</v>
      </c>
      <c r="K12" s="102" t="s">
        <v>703</v>
      </c>
      <c r="L12" s="102" t="s">
        <v>553</v>
      </c>
    </row>
    <row r="13" spans="1:12">
      <c r="A13" s="1">
        <v>1</v>
      </c>
      <c r="B13" s="92" t="s">
        <v>581</v>
      </c>
      <c r="C13" s="93" t="s">
        <v>677</v>
      </c>
      <c r="D13" s="93" t="s">
        <v>678</v>
      </c>
      <c r="E13" s="93" t="str">
        <f>"0,6940"</f>
        <v>0,6940</v>
      </c>
      <c r="F13" s="93" t="s">
        <v>15</v>
      </c>
      <c r="G13" s="102" t="s">
        <v>559</v>
      </c>
      <c r="H13" s="161">
        <v>75</v>
      </c>
      <c r="I13" s="162">
        <v>53</v>
      </c>
      <c r="J13" s="93" t="s">
        <v>679</v>
      </c>
      <c r="K13" s="103" t="s">
        <v>704</v>
      </c>
      <c r="L13" s="121" t="s">
        <v>553</v>
      </c>
    </row>
    <row r="14" spans="1:12">
      <c r="A14" s="1">
        <v>1</v>
      </c>
      <c r="B14" s="17" t="s">
        <v>681</v>
      </c>
      <c r="C14" s="17" t="s">
        <v>682</v>
      </c>
      <c r="D14" s="17" t="s">
        <v>683</v>
      </c>
      <c r="E14" s="17" t="str">
        <f>"0,7079"</f>
        <v>0,7079</v>
      </c>
      <c r="F14" s="104" t="s">
        <v>102</v>
      </c>
      <c r="G14" s="106" t="s">
        <v>559</v>
      </c>
      <c r="H14" s="199">
        <v>72.5</v>
      </c>
      <c r="I14" s="143">
        <v>31</v>
      </c>
      <c r="J14" s="17" t="s">
        <v>684</v>
      </c>
      <c r="K14" s="122" t="s">
        <v>705</v>
      </c>
      <c r="L14" s="122" t="s">
        <v>553</v>
      </c>
    </row>
    <row r="15" spans="1:12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1"/>
      <c r="B16" s="209" t="s">
        <v>31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"/>
    </row>
    <row r="17" spans="1:12">
      <c r="A17" s="1">
        <v>1</v>
      </c>
      <c r="B17" s="8" t="s">
        <v>685</v>
      </c>
      <c r="C17" s="8" t="s">
        <v>686</v>
      </c>
      <c r="D17" s="8" t="s">
        <v>687</v>
      </c>
      <c r="E17" s="8" t="str">
        <f>"0,6578"</f>
        <v>0,6578</v>
      </c>
      <c r="F17" s="120" t="s">
        <v>205</v>
      </c>
      <c r="G17" s="106" t="s">
        <v>559</v>
      </c>
      <c r="H17" s="198">
        <v>80</v>
      </c>
      <c r="I17" s="196">
        <v>6</v>
      </c>
      <c r="J17" s="8" t="s">
        <v>688</v>
      </c>
      <c r="K17" s="8" t="s">
        <v>689</v>
      </c>
      <c r="L17" s="8" t="s">
        <v>59</v>
      </c>
    </row>
    <row r="18" spans="1:1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1"/>
      <c r="B19" s="209" t="s">
        <v>17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"/>
    </row>
    <row r="20" spans="1:12">
      <c r="A20" s="1">
        <v>1</v>
      </c>
      <c r="B20" s="13" t="s">
        <v>690</v>
      </c>
      <c r="C20" s="13" t="s">
        <v>691</v>
      </c>
      <c r="D20" s="13" t="s">
        <v>20</v>
      </c>
      <c r="E20" s="13" t="str">
        <f>"0,6153"</f>
        <v>0,6153</v>
      </c>
      <c r="F20" s="13" t="s">
        <v>15</v>
      </c>
      <c r="G20" s="102" t="s">
        <v>559</v>
      </c>
      <c r="H20" s="141">
        <v>90</v>
      </c>
      <c r="I20" s="142">
        <v>24</v>
      </c>
      <c r="J20" s="13" t="s">
        <v>651</v>
      </c>
      <c r="K20" s="13" t="s">
        <v>652</v>
      </c>
      <c r="L20" s="102" t="s">
        <v>553</v>
      </c>
    </row>
    <row r="21" spans="1:12">
      <c r="A21" s="1">
        <v>1</v>
      </c>
      <c r="B21" s="92" t="s">
        <v>88</v>
      </c>
      <c r="C21" s="93" t="s">
        <v>89</v>
      </c>
      <c r="D21" s="93" t="s">
        <v>90</v>
      </c>
      <c r="E21" s="93" t="str">
        <f>"0,6145"</f>
        <v>0,6145</v>
      </c>
      <c r="F21" s="93" t="s">
        <v>15</v>
      </c>
      <c r="G21" s="103" t="s">
        <v>91</v>
      </c>
      <c r="H21" s="161">
        <v>90</v>
      </c>
      <c r="I21" s="162">
        <v>23</v>
      </c>
      <c r="J21" s="93" t="s">
        <v>692</v>
      </c>
      <c r="K21" s="93" t="s">
        <v>693</v>
      </c>
      <c r="L21" s="121" t="s">
        <v>553</v>
      </c>
    </row>
    <row r="22" spans="1:12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1"/>
      <c r="B23" s="209" t="s">
        <v>106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"/>
    </row>
    <row r="24" spans="1:12">
      <c r="A24" s="1">
        <v>2</v>
      </c>
      <c r="B24" s="13" t="s">
        <v>111</v>
      </c>
      <c r="C24" s="13" t="s">
        <v>112</v>
      </c>
      <c r="D24" s="13" t="s">
        <v>113</v>
      </c>
      <c r="E24" s="13" t="str">
        <f>"0,5684"</f>
        <v>0,5684</v>
      </c>
      <c r="F24" s="102" t="s">
        <v>595</v>
      </c>
      <c r="G24" s="102" t="s">
        <v>596</v>
      </c>
      <c r="H24" s="141">
        <v>107.5</v>
      </c>
      <c r="I24" s="142">
        <v>18</v>
      </c>
      <c r="J24" s="13" t="s">
        <v>694</v>
      </c>
      <c r="K24" s="13" t="s">
        <v>695</v>
      </c>
      <c r="L24" s="13" t="s">
        <v>115</v>
      </c>
    </row>
    <row r="25" spans="1:12">
      <c r="A25" s="1">
        <v>1</v>
      </c>
      <c r="B25" s="92" t="s">
        <v>107</v>
      </c>
      <c r="C25" s="93" t="s">
        <v>504</v>
      </c>
      <c r="D25" s="93" t="s">
        <v>696</v>
      </c>
      <c r="E25" s="93" t="str">
        <f>"0,5674"</f>
        <v>0,5674</v>
      </c>
      <c r="F25" s="93" t="s">
        <v>15</v>
      </c>
      <c r="G25" s="102" t="s">
        <v>559</v>
      </c>
      <c r="H25" s="161">
        <v>107.5</v>
      </c>
      <c r="I25" s="162">
        <v>25</v>
      </c>
      <c r="J25" s="93" t="s">
        <v>697</v>
      </c>
      <c r="K25" s="103" t="s">
        <v>706</v>
      </c>
      <c r="L25" s="121" t="s">
        <v>553</v>
      </c>
    </row>
    <row r="26" spans="1:12">
      <c r="A26" s="1">
        <v>3</v>
      </c>
      <c r="B26" s="17" t="s">
        <v>501</v>
      </c>
      <c r="C26" s="17" t="s">
        <v>502</v>
      </c>
      <c r="D26" s="17" t="s">
        <v>503</v>
      </c>
      <c r="E26" s="17" t="str">
        <f>"0,5663"</f>
        <v>0,5663</v>
      </c>
      <c r="F26" s="104" t="s">
        <v>401</v>
      </c>
      <c r="G26" s="106" t="s">
        <v>559</v>
      </c>
      <c r="H26" s="199">
        <v>107.5</v>
      </c>
      <c r="I26" s="143">
        <v>18</v>
      </c>
      <c r="J26" s="17" t="s">
        <v>694</v>
      </c>
      <c r="K26" s="122" t="s">
        <v>707</v>
      </c>
      <c r="L26" s="122" t="s">
        <v>556</v>
      </c>
    </row>
    <row r="27" spans="1:1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1"/>
      <c r="B28" s="209" t="s">
        <v>184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"/>
    </row>
    <row r="29" spans="1:12">
      <c r="A29" s="1">
        <v>1</v>
      </c>
      <c r="B29" s="8" t="s">
        <v>185</v>
      </c>
      <c r="C29" s="8" t="s">
        <v>186</v>
      </c>
      <c r="D29" s="8" t="s">
        <v>187</v>
      </c>
      <c r="E29" s="8" t="str">
        <f>"0,5527"</f>
        <v>0,5527</v>
      </c>
      <c r="F29" s="8" t="s">
        <v>15</v>
      </c>
      <c r="G29" s="77" t="s">
        <v>561</v>
      </c>
      <c r="H29" s="197">
        <v>120</v>
      </c>
      <c r="I29" s="196">
        <v>18</v>
      </c>
      <c r="J29" s="8" t="s">
        <v>651</v>
      </c>
      <c r="K29" s="8" t="s">
        <v>700</v>
      </c>
      <c r="L29" s="8" t="s">
        <v>115</v>
      </c>
    </row>
    <row r="30" spans="1:12">
      <c r="A30" s="1"/>
      <c r="B30" s="200"/>
      <c r="C30" s="200"/>
      <c r="D30" s="200"/>
      <c r="E30" s="200"/>
      <c r="F30" s="200"/>
      <c r="G30" s="144"/>
      <c r="H30" s="201"/>
      <c r="I30" s="201"/>
      <c r="J30" s="200"/>
      <c r="K30" s="200"/>
      <c r="L30" s="200"/>
    </row>
    <row r="31" spans="1:12" ht="18">
      <c r="A31" s="1"/>
      <c r="B31" s="191" t="s">
        <v>120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 customHeight="1">
      <c r="A32" s="1"/>
      <c r="B32" s="191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8">
      <c r="A33" s="1"/>
      <c r="B33" s="63" t="s">
        <v>121</v>
      </c>
      <c r="C33" s="26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1"/>
      <c r="B34" s="188" t="s">
        <v>122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2" ht="15">
      <c r="A35" s="4"/>
      <c r="B35" s="192" t="s">
        <v>123</v>
      </c>
      <c r="C35" s="66" t="s">
        <v>124</v>
      </c>
      <c r="D35" s="66" t="s">
        <v>125</v>
      </c>
      <c r="E35" s="66" t="s">
        <v>609</v>
      </c>
      <c r="F35" s="66" t="s">
        <v>521</v>
      </c>
      <c r="G35" s="36"/>
      <c r="H35" s="5"/>
      <c r="I35" s="5"/>
      <c r="J35" s="5"/>
      <c r="K35" s="5"/>
      <c r="L35" s="4"/>
    </row>
    <row r="36" spans="1:12">
      <c r="A36" s="1">
        <v>1</v>
      </c>
      <c r="B36" s="194" t="s">
        <v>581</v>
      </c>
      <c r="C36" s="194" t="s">
        <v>677</v>
      </c>
      <c r="D36" s="194" t="s">
        <v>678</v>
      </c>
      <c r="E36" s="194" t="s">
        <v>679</v>
      </c>
      <c r="F36" s="195" t="s">
        <v>680</v>
      </c>
      <c r="G36" s="144"/>
      <c r="H36" s="69"/>
      <c r="I36" s="69"/>
      <c r="J36" s="144"/>
      <c r="K36" s="144"/>
      <c r="L36" s="144"/>
    </row>
    <row r="37" spans="1:12">
      <c r="A37" s="1">
        <v>2</v>
      </c>
      <c r="B37" s="194" t="s">
        <v>107</v>
      </c>
      <c r="C37" s="194" t="s">
        <v>504</v>
      </c>
      <c r="D37" s="194" t="s">
        <v>696</v>
      </c>
      <c r="E37" s="194" t="s">
        <v>697</v>
      </c>
      <c r="F37" s="195" t="s">
        <v>698</v>
      </c>
      <c r="G37" s="144"/>
      <c r="H37" s="69"/>
      <c r="I37" s="69"/>
      <c r="J37" s="144"/>
      <c r="K37" s="144"/>
      <c r="L37" s="144"/>
    </row>
    <row r="38" spans="1:12">
      <c r="A38" s="1">
        <v>3</v>
      </c>
      <c r="B38" s="194" t="s">
        <v>88</v>
      </c>
      <c r="C38" s="194" t="s">
        <v>89</v>
      </c>
      <c r="D38" s="194" t="s">
        <v>90</v>
      </c>
      <c r="E38" s="194" t="s">
        <v>692</v>
      </c>
      <c r="F38" s="195" t="s">
        <v>693</v>
      </c>
      <c r="G38" s="144"/>
      <c r="H38" s="69"/>
      <c r="I38" s="69"/>
      <c r="J38" s="144"/>
      <c r="K38" s="144"/>
      <c r="L38" s="144"/>
    </row>
    <row r="39" spans="1:12">
      <c r="A39" s="1"/>
      <c r="B39" s="194" t="s">
        <v>185</v>
      </c>
      <c r="C39" s="194" t="s">
        <v>186</v>
      </c>
      <c r="D39" s="194" t="s">
        <v>187</v>
      </c>
      <c r="E39" s="194" t="s">
        <v>651</v>
      </c>
      <c r="F39" s="195" t="s">
        <v>700</v>
      </c>
      <c r="G39" s="144"/>
      <c r="H39" s="69"/>
      <c r="I39" s="69"/>
      <c r="J39" s="144"/>
      <c r="K39" s="144"/>
      <c r="L39" s="144"/>
    </row>
    <row r="40" spans="1:12">
      <c r="A40" s="1"/>
      <c r="B40" s="194" t="s">
        <v>111</v>
      </c>
      <c r="C40" s="194" t="s">
        <v>112</v>
      </c>
      <c r="D40" s="194" t="s">
        <v>113</v>
      </c>
      <c r="E40" s="194" t="s">
        <v>694</v>
      </c>
      <c r="F40" s="195" t="s">
        <v>695</v>
      </c>
      <c r="G40" s="144"/>
      <c r="H40" s="69"/>
      <c r="I40" s="69"/>
      <c r="J40" s="144"/>
      <c r="K40" s="144"/>
      <c r="L40" s="144"/>
    </row>
    <row r="41" spans="1:12">
      <c r="A41" s="1"/>
      <c r="B41" s="194" t="s">
        <v>501</v>
      </c>
      <c r="C41" s="194" t="s">
        <v>502</v>
      </c>
      <c r="D41" s="194" t="s">
        <v>503</v>
      </c>
      <c r="E41" s="194" t="s">
        <v>694</v>
      </c>
      <c r="F41" s="195" t="s">
        <v>699</v>
      </c>
      <c r="G41" s="144"/>
      <c r="H41" s="69"/>
      <c r="I41" s="69"/>
      <c r="J41" s="144"/>
      <c r="K41" s="144"/>
      <c r="L41" s="144"/>
    </row>
    <row r="42" spans="1:12">
      <c r="A42" s="1"/>
      <c r="B42" s="194" t="s">
        <v>476</v>
      </c>
      <c r="C42" s="194" t="s">
        <v>477</v>
      </c>
      <c r="D42" s="194" t="s">
        <v>478</v>
      </c>
      <c r="E42" s="194" t="s">
        <v>673</v>
      </c>
      <c r="F42" s="195" t="s">
        <v>674</v>
      </c>
      <c r="G42" s="144"/>
      <c r="H42" s="69"/>
      <c r="I42" s="69"/>
      <c r="J42" s="144"/>
      <c r="K42" s="144"/>
      <c r="L42" s="144"/>
    </row>
    <row r="43" spans="1:12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18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23:K23"/>
    <mergeCell ref="B28:K28"/>
    <mergeCell ref="L3:L4"/>
    <mergeCell ref="B5:K5"/>
    <mergeCell ref="B8:K8"/>
    <mergeCell ref="B11:K11"/>
    <mergeCell ref="B16:K16"/>
    <mergeCell ref="B19:K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>
      <selection activeCell="G6" sqref="G6"/>
    </sheetView>
  </sheetViews>
  <sheetFormatPr defaultRowHeight="12.75"/>
  <cols>
    <col min="1" max="1" width="4.7109375" style="1" customWidth="1"/>
    <col min="2" max="2" width="31.85546875" style="2" customWidth="1"/>
    <col min="3" max="3" width="28.85546875" style="2" customWidth="1"/>
    <col min="4" max="4" width="13.42578125" style="2" customWidth="1"/>
    <col min="5" max="5" width="8.42578125" style="2" customWidth="1"/>
    <col min="6" max="6" width="22.7109375" style="2" customWidth="1"/>
    <col min="7" max="7" width="41" style="2" customWidth="1"/>
    <col min="8" max="10" width="5.5703125" style="2" customWidth="1"/>
    <col min="11" max="11" width="4.5703125" style="2" customWidth="1"/>
    <col min="12" max="12" width="7.85546875" style="3" customWidth="1"/>
    <col min="13" max="13" width="10" style="2" customWidth="1"/>
    <col min="14" max="14" width="28.7109375" style="2" customWidth="1"/>
  </cols>
  <sheetData>
    <row r="1" spans="1:14" s="5" customFormat="1" ht="15" customHeight="1">
      <c r="A1" s="4"/>
      <c r="B1" s="207" t="s">
        <v>602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5" customFormat="1" ht="81.75" customHeight="1">
      <c r="A2" s="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s="6" customFormat="1" ht="12.75" customHeight="1">
      <c r="B3" s="208" t="s">
        <v>1</v>
      </c>
      <c r="C3" s="203" t="s">
        <v>2</v>
      </c>
      <c r="D3" s="202" t="s">
        <v>3</v>
      </c>
      <c r="E3" s="202" t="s">
        <v>4</v>
      </c>
      <c r="F3" s="202" t="s">
        <v>5</v>
      </c>
      <c r="G3" s="202" t="s">
        <v>548</v>
      </c>
      <c r="H3" s="204" t="s">
        <v>30</v>
      </c>
      <c r="I3" s="204"/>
      <c r="J3" s="204"/>
      <c r="K3" s="204"/>
      <c r="L3" s="202" t="s">
        <v>7</v>
      </c>
      <c r="M3" s="202" t="s">
        <v>8</v>
      </c>
      <c r="N3" s="205" t="s">
        <v>9</v>
      </c>
    </row>
    <row r="4" spans="1:14" s="6" customFormat="1" ht="33.75" customHeight="1">
      <c r="B4" s="208"/>
      <c r="C4" s="203"/>
      <c r="D4" s="203"/>
      <c r="E4" s="203"/>
      <c r="F4" s="203"/>
      <c r="G4" s="203"/>
      <c r="H4" s="7">
        <v>1</v>
      </c>
      <c r="I4" s="7">
        <v>2</v>
      </c>
      <c r="J4" s="7">
        <v>3</v>
      </c>
      <c r="K4" s="7" t="s">
        <v>10</v>
      </c>
      <c r="L4" s="202"/>
      <c r="M4" s="202"/>
      <c r="N4" s="205"/>
    </row>
    <row r="5" spans="1:14" ht="15">
      <c r="B5" s="206" t="s">
        <v>11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4">
      <c r="A6" s="1">
        <v>1</v>
      </c>
      <c r="B6" s="8" t="s">
        <v>12</v>
      </c>
      <c r="C6" s="8" t="s">
        <v>13</v>
      </c>
      <c r="D6" s="8" t="s">
        <v>14</v>
      </c>
      <c r="E6" s="8" t="str">
        <f>"1,2485"</f>
        <v>1,2485</v>
      </c>
      <c r="F6" s="8" t="s">
        <v>15</v>
      </c>
      <c r="G6" s="77" t="s">
        <v>559</v>
      </c>
      <c r="H6" s="9" t="s">
        <v>38</v>
      </c>
      <c r="I6" s="10"/>
      <c r="J6" s="10"/>
      <c r="K6" s="10"/>
      <c r="L6" s="112">
        <v>105</v>
      </c>
      <c r="M6" s="8" t="str">
        <f>"131,0925"</f>
        <v>131,0925</v>
      </c>
      <c r="N6" s="77" t="s">
        <v>553</v>
      </c>
    </row>
    <row r="8" spans="1:14" ht="15">
      <c r="B8" s="209" t="s">
        <v>39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1:14">
      <c r="A9" s="1">
        <v>1</v>
      </c>
      <c r="B9" s="92" t="s">
        <v>40</v>
      </c>
      <c r="C9" s="93" t="s">
        <v>41</v>
      </c>
      <c r="D9" s="93" t="s">
        <v>42</v>
      </c>
      <c r="E9" s="93" t="str">
        <f>"1,1967"</f>
        <v>1,1967</v>
      </c>
      <c r="F9" s="93" t="s">
        <v>15</v>
      </c>
      <c r="G9" s="77" t="s">
        <v>559</v>
      </c>
      <c r="H9" s="74" t="s">
        <v>43</v>
      </c>
      <c r="I9" s="74" t="s">
        <v>16</v>
      </c>
      <c r="J9" s="74" t="s">
        <v>38</v>
      </c>
      <c r="K9" s="95"/>
      <c r="L9" s="114">
        <v>105</v>
      </c>
      <c r="M9" s="93" t="str">
        <f>"125,6535"</f>
        <v>125,6535</v>
      </c>
      <c r="N9" s="121" t="s">
        <v>601</v>
      </c>
    </row>
    <row r="10" spans="1:14">
      <c r="A10" s="1">
        <v>1</v>
      </c>
      <c r="B10" s="17" t="s">
        <v>40</v>
      </c>
      <c r="C10" s="17" t="s">
        <v>44</v>
      </c>
      <c r="D10" s="17" t="s">
        <v>42</v>
      </c>
      <c r="E10" s="17" t="str">
        <f>"1,1967"</f>
        <v>1,1967</v>
      </c>
      <c r="F10" s="17" t="s">
        <v>15</v>
      </c>
      <c r="G10" s="77" t="s">
        <v>559</v>
      </c>
      <c r="H10" s="18" t="s">
        <v>43</v>
      </c>
      <c r="I10" s="18" t="s">
        <v>16</v>
      </c>
      <c r="J10" s="18" t="s">
        <v>38</v>
      </c>
      <c r="K10" s="19"/>
      <c r="L10" s="116">
        <v>105</v>
      </c>
      <c r="M10" s="17" t="str">
        <f>"125,6535"</f>
        <v>125,6535</v>
      </c>
      <c r="N10" s="122" t="s">
        <v>601</v>
      </c>
    </row>
    <row r="12" spans="1:14" ht="15">
      <c r="B12" s="209" t="s">
        <v>45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</row>
    <row r="13" spans="1:14">
      <c r="A13" s="1">
        <v>1</v>
      </c>
      <c r="B13" s="8" t="s">
        <v>46</v>
      </c>
      <c r="C13" s="8" t="s">
        <v>47</v>
      </c>
      <c r="D13" s="8" t="s">
        <v>48</v>
      </c>
      <c r="E13" s="8" t="str">
        <f>"1,1386"</f>
        <v>1,1386</v>
      </c>
      <c r="F13" s="8" t="s">
        <v>15</v>
      </c>
      <c r="G13" s="77" t="s">
        <v>559</v>
      </c>
      <c r="H13" s="9" t="s">
        <v>49</v>
      </c>
      <c r="I13" s="9" t="s">
        <v>50</v>
      </c>
      <c r="J13" s="12" t="s">
        <v>51</v>
      </c>
      <c r="K13" s="10"/>
      <c r="L13" s="112">
        <v>115</v>
      </c>
      <c r="M13" s="8" t="str">
        <f>"130,9390"</f>
        <v>130,9390</v>
      </c>
      <c r="N13" s="8" t="s">
        <v>52</v>
      </c>
    </row>
    <row r="15" spans="1:14" ht="15">
      <c r="B15" s="209" t="s">
        <v>31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</row>
    <row r="16" spans="1:14">
      <c r="A16" s="1">
        <v>1</v>
      </c>
      <c r="B16" s="8" t="s">
        <v>53</v>
      </c>
      <c r="C16" s="8" t="s">
        <v>54</v>
      </c>
      <c r="D16" s="8" t="s">
        <v>55</v>
      </c>
      <c r="E16" s="8" t="str">
        <f>"0,6754"</f>
        <v>0,6754</v>
      </c>
      <c r="F16" s="8" t="s">
        <v>15</v>
      </c>
      <c r="G16" s="77" t="s">
        <v>559</v>
      </c>
      <c r="H16" s="9" t="s">
        <v>56</v>
      </c>
      <c r="I16" s="9" t="s">
        <v>57</v>
      </c>
      <c r="J16" s="9" t="s">
        <v>58</v>
      </c>
      <c r="K16" s="10"/>
      <c r="L16" s="112">
        <v>170</v>
      </c>
      <c r="M16" s="8" t="str">
        <f>"114,8180"</f>
        <v>114,8180</v>
      </c>
      <c r="N16" s="8" t="s">
        <v>59</v>
      </c>
    </row>
    <row r="18" spans="1:14" ht="15">
      <c r="B18" s="209" t="s">
        <v>60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</row>
    <row r="19" spans="1:14">
      <c r="A19" s="1">
        <v>1</v>
      </c>
      <c r="B19" s="8" t="s">
        <v>61</v>
      </c>
      <c r="C19" s="8" t="s">
        <v>62</v>
      </c>
      <c r="D19" s="8" t="s">
        <v>63</v>
      </c>
      <c r="E19" s="8" t="str">
        <f>"0,6113"</f>
        <v>0,6113</v>
      </c>
      <c r="F19" s="8" t="s">
        <v>64</v>
      </c>
      <c r="G19" s="77" t="s">
        <v>559</v>
      </c>
      <c r="H19" s="9" t="s">
        <v>65</v>
      </c>
      <c r="I19" s="9" t="s">
        <v>66</v>
      </c>
      <c r="J19" s="12" t="s">
        <v>67</v>
      </c>
      <c r="K19" s="10"/>
      <c r="L19" s="112">
        <v>215</v>
      </c>
      <c r="M19" s="8" t="str">
        <f>"131,4295"</f>
        <v>131,4295</v>
      </c>
      <c r="N19" s="77" t="s">
        <v>553</v>
      </c>
    </row>
  </sheetData>
  <sheetProtection selectLockedCells="1" selectUnlockedCells="1"/>
  <mergeCells count="16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8:M8"/>
    <mergeCell ref="B12:M12"/>
    <mergeCell ref="B15:M15"/>
    <mergeCell ref="B18:M18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opLeftCell="A19" zoomScale="90" zoomScaleNormal="90" workbookViewId="0">
      <selection activeCell="G48" sqref="G48"/>
    </sheetView>
  </sheetViews>
  <sheetFormatPr defaultRowHeight="12.75"/>
  <cols>
    <col min="1" max="1" width="4.85546875" style="1" customWidth="1"/>
    <col min="2" max="2" width="31.85546875" style="2" customWidth="1"/>
    <col min="3" max="3" width="27.42578125" style="2" customWidth="1"/>
    <col min="4" max="4" width="13.42578125" style="2" customWidth="1"/>
    <col min="5" max="5" width="8.42578125" style="2" customWidth="1"/>
    <col min="6" max="6" width="22.7109375" style="2" customWidth="1"/>
    <col min="7" max="7" width="39.5703125" style="2" customWidth="1"/>
    <col min="8" max="10" width="5.5703125" style="2" customWidth="1"/>
    <col min="11" max="11" width="4.5703125" style="2" customWidth="1"/>
    <col min="12" max="12" width="7.85546875" style="3" customWidth="1"/>
    <col min="13" max="13" width="10" style="2" customWidth="1"/>
    <col min="14" max="14" width="20" style="2" customWidth="1"/>
  </cols>
  <sheetData>
    <row r="1" spans="1:14" s="5" customFormat="1" ht="15" customHeight="1">
      <c r="A1" s="4"/>
      <c r="B1" s="207" t="s">
        <v>598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5" customFormat="1" ht="81.75" customHeight="1">
      <c r="A2" s="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s="6" customFormat="1" ht="12.75" customHeight="1">
      <c r="B3" s="208" t="s">
        <v>1</v>
      </c>
      <c r="C3" s="203" t="s">
        <v>2</v>
      </c>
      <c r="D3" s="202" t="s">
        <v>3</v>
      </c>
      <c r="E3" s="202" t="s">
        <v>4</v>
      </c>
      <c r="F3" s="202" t="s">
        <v>5</v>
      </c>
      <c r="G3" s="202" t="s">
        <v>548</v>
      </c>
      <c r="H3" s="204" t="s">
        <v>30</v>
      </c>
      <c r="I3" s="204"/>
      <c r="J3" s="204"/>
      <c r="K3" s="204"/>
      <c r="L3" s="202" t="s">
        <v>7</v>
      </c>
      <c r="M3" s="202" t="s">
        <v>8</v>
      </c>
      <c r="N3" s="205" t="s">
        <v>9</v>
      </c>
    </row>
    <row r="4" spans="1:14" s="6" customFormat="1" ht="33.75" customHeight="1">
      <c r="B4" s="208"/>
      <c r="C4" s="203"/>
      <c r="D4" s="203"/>
      <c r="E4" s="203"/>
      <c r="F4" s="203"/>
      <c r="G4" s="203"/>
      <c r="H4" s="7">
        <v>1</v>
      </c>
      <c r="I4" s="7">
        <v>2</v>
      </c>
      <c r="J4" s="7">
        <v>3</v>
      </c>
      <c r="K4" s="7" t="s">
        <v>10</v>
      </c>
      <c r="L4" s="202"/>
      <c r="M4" s="202"/>
      <c r="N4" s="205"/>
    </row>
    <row r="5" spans="1:14" ht="15">
      <c r="B5" s="209" t="s">
        <v>68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4">
      <c r="A6" s="1">
        <v>1</v>
      </c>
      <c r="B6" s="8" t="s">
        <v>69</v>
      </c>
      <c r="C6" s="8" t="s">
        <v>70</v>
      </c>
      <c r="D6" s="8" t="s">
        <v>71</v>
      </c>
      <c r="E6" s="8" t="str">
        <f>"0,7544"</f>
        <v>0,7544</v>
      </c>
      <c r="F6" s="8" t="s">
        <v>15</v>
      </c>
      <c r="G6" s="77" t="s">
        <v>559</v>
      </c>
      <c r="H6" s="9" t="s">
        <v>65</v>
      </c>
      <c r="I6" s="10"/>
      <c r="J6" s="10"/>
      <c r="K6" s="10"/>
      <c r="L6" s="112">
        <v>200</v>
      </c>
      <c r="M6" s="8" t="str">
        <f>"150,8800"</f>
        <v>150,8800</v>
      </c>
      <c r="N6" s="77" t="s">
        <v>553</v>
      </c>
    </row>
    <row r="8" spans="1:14" ht="15">
      <c r="B8" s="209" t="s">
        <v>31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1:14">
      <c r="A9" s="1">
        <v>1</v>
      </c>
      <c r="B9" s="8" t="s">
        <v>72</v>
      </c>
      <c r="C9" s="8" t="s">
        <v>73</v>
      </c>
      <c r="D9" s="8" t="s">
        <v>74</v>
      </c>
      <c r="E9" s="8" t="str">
        <f>"0,6860"</f>
        <v>0,6860</v>
      </c>
      <c r="F9" s="8" t="s">
        <v>75</v>
      </c>
      <c r="G9" s="77" t="s">
        <v>76</v>
      </c>
      <c r="H9" s="9" t="s">
        <v>77</v>
      </c>
      <c r="I9" s="9" t="s">
        <v>35</v>
      </c>
      <c r="J9" s="9" t="s">
        <v>78</v>
      </c>
      <c r="K9" s="10"/>
      <c r="L9" s="11">
        <v>232.5</v>
      </c>
      <c r="M9" s="8" t="str">
        <f>"159,4950"</f>
        <v>159,4950</v>
      </c>
      <c r="N9" s="8" t="s">
        <v>79</v>
      </c>
    </row>
    <row r="11" spans="1:14" ht="15">
      <c r="B11" s="209" t="s">
        <v>17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</row>
    <row r="12" spans="1:14">
      <c r="A12" s="1">
        <v>1</v>
      </c>
      <c r="B12" s="13" t="s">
        <v>80</v>
      </c>
      <c r="C12" s="13" t="s">
        <v>81</v>
      </c>
      <c r="D12" s="13" t="s">
        <v>82</v>
      </c>
      <c r="E12" s="13" t="str">
        <f>"0,6444"</f>
        <v>0,6444</v>
      </c>
      <c r="F12" s="13" t="s">
        <v>75</v>
      </c>
      <c r="G12" s="13" t="s">
        <v>76</v>
      </c>
      <c r="H12" s="14" t="s">
        <v>83</v>
      </c>
      <c r="I12" s="14" t="s">
        <v>84</v>
      </c>
      <c r="J12" s="14" t="s">
        <v>85</v>
      </c>
      <c r="K12" s="15"/>
      <c r="L12" s="16">
        <v>327.5</v>
      </c>
      <c r="M12" s="13" t="str">
        <f>"211,0410"</f>
        <v>211,0410</v>
      </c>
      <c r="N12" s="13" t="s">
        <v>86</v>
      </c>
    </row>
    <row r="13" spans="1:14">
      <c r="A13" s="1">
        <v>1</v>
      </c>
      <c r="B13" s="92" t="s">
        <v>80</v>
      </c>
      <c r="C13" s="93" t="s">
        <v>87</v>
      </c>
      <c r="D13" s="93" t="s">
        <v>82</v>
      </c>
      <c r="E13" s="93" t="str">
        <f>"0,6444"</f>
        <v>0,6444</v>
      </c>
      <c r="F13" s="93" t="s">
        <v>75</v>
      </c>
      <c r="G13" s="93" t="s">
        <v>76</v>
      </c>
      <c r="H13" s="74" t="s">
        <v>85</v>
      </c>
      <c r="I13" s="137"/>
      <c r="J13" s="137"/>
      <c r="K13" s="95"/>
      <c r="L13" s="76">
        <v>327.5</v>
      </c>
      <c r="M13" s="93" t="str">
        <f>"211,0410"</f>
        <v>211,0410</v>
      </c>
      <c r="N13" s="96" t="s">
        <v>86</v>
      </c>
    </row>
    <row r="14" spans="1:14">
      <c r="A14" s="1">
        <v>2</v>
      </c>
      <c r="B14" s="17" t="s">
        <v>88</v>
      </c>
      <c r="C14" s="17" t="s">
        <v>89</v>
      </c>
      <c r="D14" s="17" t="s">
        <v>90</v>
      </c>
      <c r="E14" s="17" t="str">
        <f>"0,6410"</f>
        <v>0,6410</v>
      </c>
      <c r="F14" s="17" t="s">
        <v>15</v>
      </c>
      <c r="G14" s="17" t="s">
        <v>91</v>
      </c>
      <c r="H14" s="18" t="s">
        <v>92</v>
      </c>
      <c r="I14" s="23" t="s">
        <v>93</v>
      </c>
      <c r="J14" s="19"/>
      <c r="K14" s="19"/>
      <c r="L14" s="116">
        <v>245</v>
      </c>
      <c r="M14" s="17" t="str">
        <f>"157,0450"</f>
        <v>157,0450</v>
      </c>
      <c r="N14" s="77" t="s">
        <v>553</v>
      </c>
    </row>
    <row r="16" spans="1:14" ht="15">
      <c r="B16" s="209" t="s">
        <v>60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</row>
    <row r="17" spans="1:14">
      <c r="A17" s="1">
        <v>1</v>
      </c>
      <c r="B17" s="13" t="s">
        <v>94</v>
      </c>
      <c r="C17" s="13" t="s">
        <v>95</v>
      </c>
      <c r="D17" s="13" t="s">
        <v>96</v>
      </c>
      <c r="E17" s="13" t="str">
        <f>"0,6363"</f>
        <v>0,6363</v>
      </c>
      <c r="F17" s="13" t="s">
        <v>15</v>
      </c>
      <c r="G17" s="102" t="s">
        <v>559</v>
      </c>
      <c r="H17" s="14" t="s">
        <v>97</v>
      </c>
      <c r="I17" s="24" t="s">
        <v>98</v>
      </c>
      <c r="J17" s="24" t="s">
        <v>98</v>
      </c>
      <c r="K17" s="15"/>
      <c r="L17" s="113">
        <v>270</v>
      </c>
      <c r="M17" s="13" t="str">
        <f>"171,8010"</f>
        <v>171,8010</v>
      </c>
      <c r="N17" s="77" t="s">
        <v>553</v>
      </c>
    </row>
    <row r="18" spans="1:14">
      <c r="A18" s="1">
        <v>2</v>
      </c>
      <c r="B18" s="92" t="s">
        <v>99</v>
      </c>
      <c r="C18" s="93" t="s">
        <v>100</v>
      </c>
      <c r="D18" s="93" t="s">
        <v>101</v>
      </c>
      <c r="E18" s="93" t="str">
        <f>"0,6091"</f>
        <v>0,6091</v>
      </c>
      <c r="F18" s="93" t="s">
        <v>102</v>
      </c>
      <c r="G18" s="103" t="s">
        <v>559</v>
      </c>
      <c r="H18" s="74" t="s">
        <v>103</v>
      </c>
      <c r="I18" s="74" t="s">
        <v>104</v>
      </c>
      <c r="J18" s="94" t="s">
        <v>105</v>
      </c>
      <c r="K18" s="95"/>
      <c r="L18" s="114">
        <v>265</v>
      </c>
      <c r="M18" s="93" t="str">
        <f>"161,4115"</f>
        <v>161,4115</v>
      </c>
      <c r="N18" s="121" t="s">
        <v>600</v>
      </c>
    </row>
    <row r="20" spans="1:14" ht="15">
      <c r="B20" s="209" t="s">
        <v>106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</row>
    <row r="21" spans="1:14">
      <c r="A21" s="1">
        <v>1</v>
      </c>
      <c r="B21" s="13" t="s">
        <v>107</v>
      </c>
      <c r="C21" s="13" t="s">
        <v>108</v>
      </c>
      <c r="D21" s="13" t="s">
        <v>109</v>
      </c>
      <c r="E21" s="13" t="str">
        <f>"0,5939"</f>
        <v>0,5939</v>
      </c>
      <c r="F21" s="13" t="s">
        <v>15</v>
      </c>
      <c r="G21" s="102" t="s">
        <v>559</v>
      </c>
      <c r="H21" s="14" t="s">
        <v>93</v>
      </c>
      <c r="I21" s="14" t="s">
        <v>97</v>
      </c>
      <c r="J21" s="14" t="s">
        <v>110</v>
      </c>
      <c r="K21" s="15"/>
      <c r="L21" s="113">
        <v>280</v>
      </c>
      <c r="M21" s="13" t="str">
        <f>"166,2920"</f>
        <v>166,2920</v>
      </c>
      <c r="N21" s="77" t="s">
        <v>553</v>
      </c>
    </row>
    <row r="22" spans="1:14">
      <c r="A22" s="1">
        <v>2</v>
      </c>
      <c r="B22" s="92" t="s">
        <v>111</v>
      </c>
      <c r="C22" s="93" t="s">
        <v>112</v>
      </c>
      <c r="D22" s="93" t="s">
        <v>113</v>
      </c>
      <c r="E22" s="93" t="str">
        <f>"0,5952"</f>
        <v>0,5952</v>
      </c>
      <c r="F22" s="103" t="s">
        <v>595</v>
      </c>
      <c r="G22" s="77" t="s">
        <v>596</v>
      </c>
      <c r="H22" s="74" t="s">
        <v>35</v>
      </c>
      <c r="I22" s="74" t="s">
        <v>67</v>
      </c>
      <c r="J22" s="94" t="s">
        <v>114</v>
      </c>
      <c r="K22" s="95"/>
      <c r="L22" s="114">
        <v>230</v>
      </c>
      <c r="M22" s="93" t="str">
        <f>"136,8960"</f>
        <v>136,8960</v>
      </c>
      <c r="N22" s="96" t="s">
        <v>115</v>
      </c>
    </row>
    <row r="24" spans="1:14" ht="15">
      <c r="B24" s="209" t="s">
        <v>116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</row>
    <row r="25" spans="1:14">
      <c r="A25" s="1">
        <v>1</v>
      </c>
      <c r="B25" s="8" t="s">
        <v>117</v>
      </c>
      <c r="C25" s="8" t="s">
        <v>118</v>
      </c>
      <c r="D25" s="8" t="s">
        <v>119</v>
      </c>
      <c r="E25" s="8" t="str">
        <f>"0,5680"</f>
        <v>0,5680</v>
      </c>
      <c r="F25" s="8" t="s">
        <v>15</v>
      </c>
      <c r="G25" s="77" t="s">
        <v>599</v>
      </c>
      <c r="H25" s="9" t="s">
        <v>110</v>
      </c>
      <c r="I25" s="9" t="s">
        <v>83</v>
      </c>
      <c r="J25" s="9" t="s">
        <v>98</v>
      </c>
      <c r="K25" s="10"/>
      <c r="L25" s="112">
        <v>300</v>
      </c>
      <c r="M25" s="8" t="str">
        <f>"170,4000"</f>
        <v>170,4000</v>
      </c>
      <c r="N25" s="77" t="s">
        <v>553</v>
      </c>
    </row>
    <row r="27" spans="1:14" ht="15">
      <c r="F27" s="25"/>
    </row>
    <row r="29" spans="1:14" ht="18">
      <c r="B29" s="26" t="s">
        <v>120</v>
      </c>
      <c r="C29" s="26"/>
    </row>
    <row r="30" spans="1:14" ht="18">
      <c r="B30" s="26"/>
      <c r="C30" s="26"/>
    </row>
    <row r="31" spans="1:14" ht="15">
      <c r="B31" s="27" t="s">
        <v>121</v>
      </c>
      <c r="C31" s="27"/>
    </row>
    <row r="32" spans="1:14" ht="14.25">
      <c r="B32" s="189" t="s">
        <v>122</v>
      </c>
      <c r="C32" s="28"/>
    </row>
    <row r="33" spans="1:6" ht="15">
      <c r="B33" s="29" t="s">
        <v>123</v>
      </c>
      <c r="C33" s="29" t="s">
        <v>124</v>
      </c>
      <c r="D33" s="29" t="s">
        <v>125</v>
      </c>
      <c r="E33" s="29" t="s">
        <v>126</v>
      </c>
      <c r="F33" s="29" t="s">
        <v>127</v>
      </c>
    </row>
    <row r="34" spans="1:6">
      <c r="A34" s="1">
        <v>1</v>
      </c>
      <c r="B34" s="190" t="s">
        <v>80</v>
      </c>
      <c r="C34" s="101" t="s">
        <v>122</v>
      </c>
      <c r="D34" s="101" t="s">
        <v>128</v>
      </c>
      <c r="E34" s="101" t="s">
        <v>85</v>
      </c>
      <c r="F34" s="3" t="s">
        <v>129</v>
      </c>
    </row>
    <row r="35" spans="1:6">
      <c r="A35" s="1">
        <v>2</v>
      </c>
      <c r="B35" s="190" t="s">
        <v>94</v>
      </c>
      <c r="C35" s="101" t="s">
        <v>122</v>
      </c>
      <c r="D35" s="101" t="s">
        <v>130</v>
      </c>
      <c r="E35" s="101" t="s">
        <v>97</v>
      </c>
      <c r="F35" s="3" t="s">
        <v>131</v>
      </c>
    </row>
    <row r="36" spans="1:6">
      <c r="A36" s="1">
        <v>3</v>
      </c>
      <c r="B36" s="190" t="s">
        <v>117</v>
      </c>
      <c r="C36" s="101" t="s">
        <v>122</v>
      </c>
      <c r="D36" s="101" t="s">
        <v>132</v>
      </c>
      <c r="E36" s="101" t="s">
        <v>98</v>
      </c>
      <c r="F36" s="3" t="s">
        <v>133</v>
      </c>
    </row>
    <row r="37" spans="1:6">
      <c r="B37" s="190" t="s">
        <v>107</v>
      </c>
      <c r="C37" s="101" t="s">
        <v>122</v>
      </c>
      <c r="D37" s="101" t="s">
        <v>134</v>
      </c>
      <c r="E37" s="101" t="s">
        <v>110</v>
      </c>
      <c r="F37" s="3" t="s">
        <v>135</v>
      </c>
    </row>
    <row r="38" spans="1:6">
      <c r="B38" s="190" t="s">
        <v>99</v>
      </c>
      <c r="C38" s="101" t="s">
        <v>122</v>
      </c>
      <c r="D38" s="101" t="s">
        <v>130</v>
      </c>
      <c r="E38" s="101" t="s">
        <v>104</v>
      </c>
      <c r="F38" s="3" t="s">
        <v>136</v>
      </c>
    </row>
    <row r="39" spans="1:6">
      <c r="B39" s="190" t="s">
        <v>72</v>
      </c>
      <c r="C39" s="101" t="s">
        <v>122</v>
      </c>
      <c r="D39" s="101" t="s">
        <v>137</v>
      </c>
      <c r="E39" s="101" t="s">
        <v>78</v>
      </c>
      <c r="F39" s="3" t="s">
        <v>138</v>
      </c>
    </row>
    <row r="40" spans="1:6">
      <c r="B40" s="190" t="s">
        <v>88</v>
      </c>
      <c r="C40" s="101" t="s">
        <v>122</v>
      </c>
      <c r="D40" s="101" t="s">
        <v>128</v>
      </c>
      <c r="E40" s="101" t="s">
        <v>92</v>
      </c>
      <c r="F40" s="3" t="s">
        <v>139</v>
      </c>
    </row>
    <row r="41" spans="1:6">
      <c r="B41" s="190" t="s">
        <v>69</v>
      </c>
      <c r="C41" s="101" t="s">
        <v>122</v>
      </c>
      <c r="D41" s="101" t="s">
        <v>140</v>
      </c>
      <c r="E41" s="101" t="s">
        <v>65</v>
      </c>
      <c r="F41" s="3" t="s">
        <v>141</v>
      </c>
    </row>
    <row r="42" spans="1:6">
      <c r="B42" s="190" t="s">
        <v>111</v>
      </c>
      <c r="C42" s="101" t="s">
        <v>122</v>
      </c>
      <c r="D42" s="101" t="s">
        <v>134</v>
      </c>
      <c r="E42" s="101" t="s">
        <v>67</v>
      </c>
      <c r="F42" s="3" t="s">
        <v>142</v>
      </c>
    </row>
  </sheetData>
  <sheetProtection selectLockedCells="1" selectUnlockedCells="1"/>
  <mergeCells count="17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B24:M24"/>
    <mergeCell ref="N3:N4"/>
    <mergeCell ref="B5:M5"/>
    <mergeCell ref="B8:M8"/>
    <mergeCell ref="B11:M11"/>
    <mergeCell ref="B16:M16"/>
    <mergeCell ref="B20:M20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zoomScale="90" zoomScaleNormal="90" workbookViewId="0">
      <selection activeCell="G15" sqref="G15"/>
    </sheetView>
  </sheetViews>
  <sheetFormatPr defaultRowHeight="12.75"/>
  <cols>
    <col min="1" max="1" width="4.7109375" style="1" customWidth="1"/>
    <col min="2" max="2" width="21.140625" style="2" customWidth="1"/>
    <col min="3" max="3" width="32" style="2" customWidth="1"/>
    <col min="4" max="4" width="13.42578125" style="2" customWidth="1"/>
    <col min="5" max="5" width="8.42578125" style="2" customWidth="1"/>
    <col min="6" max="6" width="14" style="2" customWidth="1"/>
    <col min="7" max="7" width="38.85546875" style="2" customWidth="1"/>
    <col min="8" max="10" width="5.5703125" style="2" customWidth="1"/>
    <col min="11" max="11" width="4.5703125" style="2" customWidth="1"/>
    <col min="12" max="14" width="5.5703125" style="2" customWidth="1"/>
    <col min="15" max="15" width="4.5703125" style="2" customWidth="1"/>
    <col min="16" max="18" width="5.5703125" style="2" customWidth="1"/>
    <col min="19" max="19" width="4.5703125" style="2" customWidth="1"/>
    <col min="20" max="20" width="7.85546875" style="3" customWidth="1"/>
    <col min="21" max="21" width="9.5703125" style="2" customWidth="1"/>
    <col min="22" max="22" width="28.28515625" style="2" customWidth="1"/>
  </cols>
  <sheetData>
    <row r="1" spans="1:22" s="5" customFormat="1" ht="15" customHeight="1">
      <c r="A1" s="4"/>
      <c r="B1" s="207" t="s">
        <v>594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1:22" s="5" customFormat="1" ht="81.75" customHeight="1">
      <c r="A2" s="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22" s="6" customFormat="1" ht="12.75" customHeight="1">
      <c r="B3" s="208" t="s">
        <v>1</v>
      </c>
      <c r="C3" s="203" t="s">
        <v>2</v>
      </c>
      <c r="D3" s="202" t="s">
        <v>3</v>
      </c>
      <c r="E3" s="202" t="s">
        <v>4</v>
      </c>
      <c r="F3" s="202" t="s">
        <v>5</v>
      </c>
      <c r="G3" s="202" t="s">
        <v>548</v>
      </c>
      <c r="H3" s="204" t="s">
        <v>6</v>
      </c>
      <c r="I3" s="204"/>
      <c r="J3" s="204"/>
      <c r="K3" s="204"/>
      <c r="L3" s="204" t="s">
        <v>143</v>
      </c>
      <c r="M3" s="204"/>
      <c r="N3" s="204"/>
      <c r="O3" s="204"/>
      <c r="P3" s="204" t="s">
        <v>30</v>
      </c>
      <c r="Q3" s="204"/>
      <c r="R3" s="204"/>
      <c r="S3" s="204"/>
      <c r="T3" s="202" t="s">
        <v>7</v>
      </c>
      <c r="U3" s="202" t="s">
        <v>8</v>
      </c>
      <c r="V3" s="205" t="s">
        <v>9</v>
      </c>
    </row>
    <row r="4" spans="1:22" s="6" customFormat="1" ht="26.25" customHeight="1">
      <c r="B4" s="208"/>
      <c r="C4" s="203"/>
      <c r="D4" s="203"/>
      <c r="E4" s="203"/>
      <c r="F4" s="203"/>
      <c r="G4" s="203"/>
      <c r="H4" s="7">
        <v>1</v>
      </c>
      <c r="I4" s="7">
        <v>2</v>
      </c>
      <c r="J4" s="7">
        <v>3</v>
      </c>
      <c r="K4" s="7" t="s">
        <v>10</v>
      </c>
      <c r="L4" s="7">
        <v>1</v>
      </c>
      <c r="M4" s="7">
        <v>2</v>
      </c>
      <c r="N4" s="7">
        <v>3</v>
      </c>
      <c r="O4" s="7" t="s">
        <v>10</v>
      </c>
      <c r="P4" s="7">
        <v>1</v>
      </c>
      <c r="Q4" s="7">
        <v>2</v>
      </c>
      <c r="R4" s="7">
        <v>3</v>
      </c>
      <c r="S4" s="7" t="s">
        <v>10</v>
      </c>
      <c r="T4" s="202"/>
      <c r="U4" s="202"/>
      <c r="V4" s="205"/>
    </row>
    <row r="5" spans="1:22" ht="15">
      <c r="B5" s="206" t="s">
        <v>161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2">
      <c r="A6" s="1">
        <v>1</v>
      </c>
      <c r="B6" s="8" t="s">
        <v>162</v>
      </c>
      <c r="C6" s="8" t="s">
        <v>163</v>
      </c>
      <c r="D6" s="8" t="s">
        <v>164</v>
      </c>
      <c r="E6" s="8" t="str">
        <f>"1,3868"</f>
        <v>1,3868</v>
      </c>
      <c r="F6" s="8" t="s">
        <v>15</v>
      </c>
      <c r="G6" s="106" t="s">
        <v>566</v>
      </c>
      <c r="H6" s="9" t="s">
        <v>165</v>
      </c>
      <c r="I6" s="9" t="s">
        <v>166</v>
      </c>
      <c r="J6" s="9" t="s">
        <v>167</v>
      </c>
      <c r="K6" s="10"/>
      <c r="L6" s="9" t="s">
        <v>168</v>
      </c>
      <c r="M6" s="9" t="s">
        <v>169</v>
      </c>
      <c r="N6" s="9" t="s">
        <v>145</v>
      </c>
      <c r="O6" s="10"/>
      <c r="P6" s="9" t="s">
        <v>170</v>
      </c>
      <c r="Q6" s="9" t="s">
        <v>171</v>
      </c>
      <c r="R6" s="9" t="s">
        <v>166</v>
      </c>
      <c r="S6" s="10"/>
      <c r="T6" s="112">
        <v>190</v>
      </c>
      <c r="U6" s="8" t="str">
        <f>"263,4920"</f>
        <v>263,4920</v>
      </c>
      <c r="V6" s="77" t="s">
        <v>589</v>
      </c>
    </row>
    <row r="8" spans="1:22" ht="15">
      <c r="B8" s="209" t="s">
        <v>31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</row>
    <row r="9" spans="1:22">
      <c r="A9" s="1">
        <v>1</v>
      </c>
      <c r="B9" s="8" t="s">
        <v>172</v>
      </c>
      <c r="C9" s="8" t="s">
        <v>173</v>
      </c>
      <c r="D9" s="8" t="s">
        <v>174</v>
      </c>
      <c r="E9" s="8" t="str">
        <f>"0,6975"</f>
        <v>0,6975</v>
      </c>
      <c r="F9" s="8" t="s">
        <v>175</v>
      </c>
      <c r="G9" s="106" t="s">
        <v>566</v>
      </c>
      <c r="H9" s="9" t="s">
        <v>176</v>
      </c>
      <c r="I9" s="9" t="s">
        <v>158</v>
      </c>
      <c r="J9" s="9" t="s">
        <v>177</v>
      </c>
      <c r="K9" s="10"/>
      <c r="L9" s="9" t="s">
        <v>16</v>
      </c>
      <c r="M9" s="12" t="s">
        <v>178</v>
      </c>
      <c r="N9" s="12" t="s">
        <v>178</v>
      </c>
      <c r="O9" s="10"/>
      <c r="P9" s="9" t="s">
        <v>65</v>
      </c>
      <c r="Q9" s="9" t="s">
        <v>66</v>
      </c>
      <c r="R9" s="9" t="s">
        <v>36</v>
      </c>
      <c r="S9" s="10"/>
      <c r="T9" s="112">
        <v>485</v>
      </c>
      <c r="U9" s="8" t="str">
        <f>"338,2875"</f>
        <v>338,2875</v>
      </c>
      <c r="V9" s="77" t="s">
        <v>582</v>
      </c>
    </row>
    <row r="11" spans="1:22" ht="15">
      <c r="B11" s="209" t="s">
        <v>17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</row>
    <row r="12" spans="1:22">
      <c r="A12" s="1">
        <v>1</v>
      </c>
      <c r="B12" s="8" t="s">
        <v>179</v>
      </c>
      <c r="C12" s="8" t="s">
        <v>180</v>
      </c>
      <c r="D12" s="8" t="s">
        <v>20</v>
      </c>
      <c r="E12" s="8" t="str">
        <f>"0,6417"</f>
        <v>0,6417</v>
      </c>
      <c r="F12" s="8" t="s">
        <v>15</v>
      </c>
      <c r="G12" s="106" t="s">
        <v>566</v>
      </c>
      <c r="H12" s="9" t="s">
        <v>181</v>
      </c>
      <c r="I12" s="12" t="s">
        <v>56</v>
      </c>
      <c r="J12" s="12" t="s">
        <v>56</v>
      </c>
      <c r="K12" s="10"/>
      <c r="L12" s="9" t="s">
        <v>28</v>
      </c>
      <c r="M12" s="9" t="s">
        <v>29</v>
      </c>
      <c r="N12" s="12" t="s">
        <v>182</v>
      </c>
      <c r="O12" s="10"/>
      <c r="P12" s="9" t="s">
        <v>22</v>
      </c>
      <c r="Q12" s="9" t="s">
        <v>77</v>
      </c>
      <c r="R12" s="12" t="s">
        <v>183</v>
      </c>
      <c r="S12" s="10"/>
      <c r="T12" s="112">
        <v>415</v>
      </c>
      <c r="U12" s="8" t="str">
        <f>"266,3055"</f>
        <v>266,3055</v>
      </c>
      <c r="V12" s="77" t="s">
        <v>589</v>
      </c>
    </row>
    <row r="14" spans="1:22" ht="15">
      <c r="B14" s="209" t="s">
        <v>106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</row>
    <row r="15" spans="1:22">
      <c r="A15" s="1">
        <v>1</v>
      </c>
      <c r="B15" s="8" t="s">
        <v>111</v>
      </c>
      <c r="C15" s="8" t="s">
        <v>112</v>
      </c>
      <c r="D15" s="8" t="s">
        <v>113</v>
      </c>
      <c r="E15" s="8" t="str">
        <f>"0,5952"</f>
        <v>0,5952</v>
      </c>
      <c r="F15" s="77" t="s">
        <v>595</v>
      </c>
      <c r="G15" s="77" t="s">
        <v>596</v>
      </c>
      <c r="H15" s="9" t="s">
        <v>65</v>
      </c>
      <c r="I15" s="12" t="s">
        <v>66</v>
      </c>
      <c r="J15" s="9" t="s">
        <v>66</v>
      </c>
      <c r="K15" s="10"/>
      <c r="L15" s="9" t="s">
        <v>56</v>
      </c>
      <c r="M15" s="9" t="s">
        <v>57</v>
      </c>
      <c r="N15" s="9" t="s">
        <v>177</v>
      </c>
      <c r="O15" s="10"/>
      <c r="P15" s="9" t="s">
        <v>35</v>
      </c>
      <c r="Q15" s="9" t="s">
        <v>67</v>
      </c>
      <c r="R15" s="12" t="s">
        <v>114</v>
      </c>
      <c r="S15" s="10"/>
      <c r="T15" s="112">
        <v>610</v>
      </c>
      <c r="U15" s="8" t="str">
        <f>"363,0720"</f>
        <v>363,0720</v>
      </c>
      <c r="V15" s="8" t="s">
        <v>115</v>
      </c>
    </row>
    <row r="17" spans="1:22" ht="15">
      <c r="B17" s="209" t="s">
        <v>184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</row>
    <row r="18" spans="1:22">
      <c r="A18" s="1">
        <v>1</v>
      </c>
      <c r="B18" s="8" t="s">
        <v>185</v>
      </c>
      <c r="C18" s="8" t="s">
        <v>186</v>
      </c>
      <c r="D18" s="8" t="s">
        <v>187</v>
      </c>
      <c r="E18" s="8" t="str">
        <f>"0,5769"</f>
        <v>0,5769</v>
      </c>
      <c r="F18" s="8" t="s">
        <v>15</v>
      </c>
      <c r="G18" s="77" t="s">
        <v>596</v>
      </c>
      <c r="H18" s="12" t="s">
        <v>65</v>
      </c>
      <c r="I18" s="9" t="s">
        <v>65</v>
      </c>
      <c r="J18" s="9" t="s">
        <v>188</v>
      </c>
      <c r="K18" s="10"/>
      <c r="L18" s="9" t="s">
        <v>57</v>
      </c>
      <c r="M18" s="9" t="s">
        <v>58</v>
      </c>
      <c r="N18" s="12" t="s">
        <v>22</v>
      </c>
      <c r="O18" s="10"/>
      <c r="P18" s="9" t="s">
        <v>114</v>
      </c>
      <c r="Q18" s="9" t="s">
        <v>93</v>
      </c>
      <c r="R18" s="12" t="s">
        <v>97</v>
      </c>
      <c r="S18" s="10"/>
      <c r="T18" s="112">
        <v>655</v>
      </c>
      <c r="U18" s="8" t="str">
        <f>"377,8695"</f>
        <v>377,8695</v>
      </c>
      <c r="V18" s="8" t="s">
        <v>115</v>
      </c>
    </row>
    <row r="20" spans="1:22" ht="15">
      <c r="B20" s="209" t="s">
        <v>189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</row>
    <row r="21" spans="1:22">
      <c r="A21" s="1">
        <v>1</v>
      </c>
      <c r="B21" s="8" t="s">
        <v>190</v>
      </c>
      <c r="C21" s="8" t="s">
        <v>191</v>
      </c>
      <c r="D21" s="8" t="s">
        <v>192</v>
      </c>
      <c r="E21" s="8" t="str">
        <f>"0,5563"</f>
        <v>0,5563</v>
      </c>
      <c r="F21" s="8" t="s">
        <v>15</v>
      </c>
      <c r="G21" s="106" t="s">
        <v>566</v>
      </c>
      <c r="H21" s="12" t="s">
        <v>77</v>
      </c>
      <c r="I21" s="12" t="s">
        <v>77</v>
      </c>
      <c r="J21" s="9" t="s">
        <v>77</v>
      </c>
      <c r="K21" s="10"/>
      <c r="L21" s="12" t="s">
        <v>56</v>
      </c>
      <c r="M21" s="9" t="s">
        <v>158</v>
      </c>
      <c r="N21" s="9" t="s">
        <v>57</v>
      </c>
      <c r="O21" s="10"/>
      <c r="P21" s="9" t="s">
        <v>36</v>
      </c>
      <c r="Q21" s="12" t="s">
        <v>193</v>
      </c>
      <c r="R21" s="12" t="s">
        <v>193</v>
      </c>
      <c r="S21" s="10"/>
      <c r="T21" s="112">
        <v>570</v>
      </c>
      <c r="U21" s="8" t="str">
        <f>"317,0910"</f>
        <v>317,0910</v>
      </c>
      <c r="V21" s="77" t="s">
        <v>553</v>
      </c>
    </row>
  </sheetData>
  <sheetProtection selectLockedCells="1" selectUnlockedCells="1"/>
  <mergeCells count="19"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B14:U14"/>
    <mergeCell ref="B17:U17"/>
    <mergeCell ref="B20:U20"/>
    <mergeCell ref="T3:T4"/>
    <mergeCell ref="U3:U4"/>
    <mergeCell ref="V3:V4"/>
    <mergeCell ref="B5:U5"/>
    <mergeCell ref="B8:U8"/>
    <mergeCell ref="B11:U1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"/>
  <sheetViews>
    <sheetView topLeftCell="A9" zoomScale="90" zoomScaleNormal="90" workbookViewId="0">
      <selection activeCell="D43" sqref="D43"/>
    </sheetView>
  </sheetViews>
  <sheetFormatPr defaultRowHeight="12.75"/>
  <cols>
    <col min="1" max="1" width="5" style="1" customWidth="1"/>
    <col min="2" max="2" width="20.28515625" style="2" customWidth="1"/>
    <col min="3" max="3" width="26" style="2" customWidth="1"/>
    <col min="4" max="4" width="13.42578125" style="2" customWidth="1"/>
    <col min="5" max="5" width="8.42578125" style="2" customWidth="1"/>
    <col min="6" max="6" width="11.5703125" style="2" customWidth="1"/>
    <col min="7" max="7" width="39.5703125" style="2" customWidth="1"/>
    <col min="8" max="10" width="5.5703125" style="2" customWidth="1"/>
    <col min="11" max="11" width="4.5703125" style="2" customWidth="1"/>
    <col min="12" max="14" width="5.5703125" style="2" customWidth="1"/>
    <col min="15" max="15" width="4.5703125" style="2" customWidth="1"/>
    <col min="16" max="18" width="5.5703125" style="2" customWidth="1"/>
    <col min="19" max="19" width="4.5703125" style="2" customWidth="1"/>
    <col min="20" max="20" width="7.85546875" style="3" customWidth="1"/>
    <col min="21" max="21" width="9.7109375" style="2" customWidth="1"/>
    <col min="22" max="22" width="17.140625" style="2" customWidth="1"/>
  </cols>
  <sheetData>
    <row r="1" spans="1:22" s="5" customFormat="1" ht="15" customHeight="1">
      <c r="A1" s="4"/>
      <c r="B1" s="207" t="s">
        <v>597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1:22" s="5" customFormat="1" ht="81.75" customHeight="1">
      <c r="A2" s="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22" s="6" customFormat="1" ht="12.75" customHeight="1">
      <c r="B3" s="208" t="s">
        <v>1</v>
      </c>
      <c r="C3" s="203" t="s">
        <v>2</v>
      </c>
      <c r="D3" s="202" t="s">
        <v>3</v>
      </c>
      <c r="E3" s="202" t="s">
        <v>4</v>
      </c>
      <c r="F3" s="202" t="s">
        <v>5</v>
      </c>
      <c r="G3" s="202" t="s">
        <v>548</v>
      </c>
      <c r="H3" s="204" t="s">
        <v>6</v>
      </c>
      <c r="I3" s="204"/>
      <c r="J3" s="204"/>
      <c r="K3" s="204"/>
      <c r="L3" s="204" t="s">
        <v>143</v>
      </c>
      <c r="M3" s="204"/>
      <c r="N3" s="204"/>
      <c r="O3" s="204"/>
      <c r="P3" s="204" t="s">
        <v>30</v>
      </c>
      <c r="Q3" s="204"/>
      <c r="R3" s="204"/>
      <c r="S3" s="204"/>
      <c r="T3" s="202" t="s">
        <v>7</v>
      </c>
      <c r="U3" s="202" t="s">
        <v>8</v>
      </c>
      <c r="V3" s="205" t="s">
        <v>9</v>
      </c>
    </row>
    <row r="4" spans="1:22" s="6" customFormat="1" ht="33.75" customHeight="1">
      <c r="B4" s="208"/>
      <c r="C4" s="203"/>
      <c r="D4" s="203"/>
      <c r="E4" s="203"/>
      <c r="F4" s="203"/>
      <c r="G4" s="203"/>
      <c r="H4" s="7">
        <v>1</v>
      </c>
      <c r="I4" s="7">
        <v>2</v>
      </c>
      <c r="J4" s="7">
        <v>3</v>
      </c>
      <c r="K4" s="7" t="s">
        <v>10</v>
      </c>
      <c r="L4" s="7">
        <v>1</v>
      </c>
      <c r="M4" s="7">
        <v>2</v>
      </c>
      <c r="N4" s="7">
        <v>3</v>
      </c>
      <c r="O4" s="7" t="s">
        <v>10</v>
      </c>
      <c r="P4" s="7">
        <v>1</v>
      </c>
      <c r="Q4" s="7">
        <v>2</v>
      </c>
      <c r="R4" s="7">
        <v>3</v>
      </c>
      <c r="S4" s="7" t="s">
        <v>10</v>
      </c>
      <c r="T4" s="202"/>
      <c r="U4" s="202"/>
      <c r="V4" s="205"/>
    </row>
    <row r="5" spans="1:22" ht="15">
      <c r="B5" s="206" t="s">
        <v>11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2">
      <c r="A6" s="1">
        <v>1</v>
      </c>
      <c r="B6" s="8" t="s">
        <v>12</v>
      </c>
      <c r="C6" s="8" t="s">
        <v>13</v>
      </c>
      <c r="D6" s="8" t="s">
        <v>14</v>
      </c>
      <c r="E6" s="8" t="str">
        <f>"1,2485"</f>
        <v>1,2485</v>
      </c>
      <c r="F6" s="8" t="s">
        <v>15</v>
      </c>
      <c r="G6" s="106" t="s">
        <v>566</v>
      </c>
      <c r="H6" s="9" t="s">
        <v>144</v>
      </c>
      <c r="I6" s="12" t="s">
        <v>16</v>
      </c>
      <c r="J6" s="9" t="s">
        <v>16</v>
      </c>
      <c r="K6" s="10"/>
      <c r="L6" s="9" t="s">
        <v>145</v>
      </c>
      <c r="M6" s="9" t="s">
        <v>146</v>
      </c>
      <c r="N6" s="9" t="s">
        <v>147</v>
      </c>
      <c r="O6" s="10"/>
      <c r="P6" s="9" t="s">
        <v>16</v>
      </c>
      <c r="Q6" s="9" t="s">
        <v>38</v>
      </c>
      <c r="R6" s="12" t="s">
        <v>49</v>
      </c>
      <c r="S6" s="10"/>
      <c r="T6" s="112">
        <v>250</v>
      </c>
      <c r="U6" s="8" t="str">
        <f>"312,1250"</f>
        <v>312,1250</v>
      </c>
      <c r="V6" s="77" t="s">
        <v>553</v>
      </c>
    </row>
    <row r="8" spans="1:22" ht="15">
      <c r="B8" s="209" t="s">
        <v>17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</row>
    <row r="9" spans="1:22">
      <c r="A9" s="1">
        <v>1</v>
      </c>
      <c r="B9" s="13" t="s">
        <v>148</v>
      </c>
      <c r="C9" s="13" t="s">
        <v>149</v>
      </c>
      <c r="D9" s="13" t="s">
        <v>150</v>
      </c>
      <c r="E9" s="13" t="str">
        <f>"0,6628"</f>
        <v>0,6628</v>
      </c>
      <c r="F9" s="13" t="s">
        <v>102</v>
      </c>
      <c r="G9" s="106" t="s">
        <v>566</v>
      </c>
      <c r="H9" s="14" t="s">
        <v>151</v>
      </c>
      <c r="I9" s="14" t="s">
        <v>22</v>
      </c>
      <c r="J9" s="24" t="s">
        <v>77</v>
      </c>
      <c r="K9" s="15"/>
      <c r="L9" s="14" t="s">
        <v>152</v>
      </c>
      <c r="M9" s="24" t="s">
        <v>153</v>
      </c>
      <c r="N9" s="14" t="s">
        <v>153</v>
      </c>
      <c r="O9" s="15"/>
      <c r="P9" s="14" t="s">
        <v>151</v>
      </c>
      <c r="Q9" s="14" t="s">
        <v>154</v>
      </c>
      <c r="R9" s="14" t="s">
        <v>77</v>
      </c>
      <c r="S9" s="15"/>
      <c r="T9" s="16">
        <v>492.5</v>
      </c>
      <c r="U9" s="13" t="str">
        <f>"326,4290"</f>
        <v>326,4290</v>
      </c>
      <c r="V9" s="102" t="s">
        <v>553</v>
      </c>
    </row>
    <row r="10" spans="1:22">
      <c r="A10" s="1">
        <v>2</v>
      </c>
      <c r="B10" s="92" t="s">
        <v>155</v>
      </c>
      <c r="C10" s="93" t="s">
        <v>156</v>
      </c>
      <c r="D10" s="93" t="s">
        <v>157</v>
      </c>
      <c r="E10" s="93" t="str">
        <f>"0,6495"</f>
        <v>0,6495</v>
      </c>
      <c r="F10" s="93" t="s">
        <v>15</v>
      </c>
      <c r="G10" s="106" t="s">
        <v>566</v>
      </c>
      <c r="H10" s="74" t="s">
        <v>158</v>
      </c>
      <c r="I10" s="94" t="s">
        <v>58</v>
      </c>
      <c r="J10" s="94" t="s">
        <v>151</v>
      </c>
      <c r="K10" s="95"/>
      <c r="L10" s="74" t="s">
        <v>51</v>
      </c>
      <c r="M10" s="94" t="s">
        <v>159</v>
      </c>
      <c r="N10" s="94" t="s">
        <v>159</v>
      </c>
      <c r="O10" s="95"/>
      <c r="P10" s="74" t="s">
        <v>65</v>
      </c>
      <c r="Q10" s="74" t="s">
        <v>35</v>
      </c>
      <c r="R10" s="94" t="s">
        <v>36</v>
      </c>
      <c r="S10" s="95"/>
      <c r="T10" s="114">
        <v>485</v>
      </c>
      <c r="U10" s="93" t="str">
        <f>"315,0075"</f>
        <v>315,0075</v>
      </c>
      <c r="V10" s="96" t="s">
        <v>160</v>
      </c>
    </row>
  </sheetData>
  <sheetProtection selectLockedCells="1" selectUnlockedCells="1"/>
  <mergeCells count="15">
    <mergeCell ref="G3:G4"/>
    <mergeCell ref="H3:K3"/>
    <mergeCell ref="L3:O3"/>
    <mergeCell ref="P3:S3"/>
    <mergeCell ref="T3:T4"/>
    <mergeCell ref="U3:U4"/>
    <mergeCell ref="V3:V4"/>
    <mergeCell ref="B5:U5"/>
    <mergeCell ref="B8:U8"/>
    <mergeCell ref="B1:V2"/>
    <mergeCell ref="B3:B4"/>
    <mergeCell ref="C3:C4"/>
    <mergeCell ref="D3:D4"/>
    <mergeCell ref="E3:E4"/>
    <mergeCell ref="F3:F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topLeftCell="D10" zoomScale="90" zoomScaleNormal="90" workbookViewId="0">
      <selection activeCell="E26" sqref="E26"/>
    </sheetView>
  </sheetViews>
  <sheetFormatPr defaultRowHeight="12.75"/>
  <cols>
    <col min="1" max="1" width="4.85546875" style="1" customWidth="1"/>
    <col min="2" max="2" width="21.140625" style="2" customWidth="1"/>
    <col min="3" max="3" width="29.140625" style="2" customWidth="1"/>
    <col min="4" max="4" width="13.42578125" style="2" customWidth="1"/>
    <col min="5" max="5" width="8.42578125" style="2" customWidth="1"/>
    <col min="6" max="6" width="22.7109375" style="2" customWidth="1"/>
    <col min="7" max="7" width="40.7109375" style="2" customWidth="1"/>
    <col min="8" max="10" width="5.5703125" style="2" customWidth="1"/>
    <col min="11" max="11" width="4.5703125" style="2" customWidth="1"/>
    <col min="12" max="14" width="5.5703125" style="2" customWidth="1"/>
    <col min="15" max="15" width="4.5703125" style="2" customWidth="1"/>
    <col min="16" max="18" width="5.5703125" style="2" customWidth="1"/>
    <col min="19" max="19" width="4.5703125" style="2" customWidth="1"/>
    <col min="20" max="20" width="7.85546875" style="3" customWidth="1"/>
    <col min="21" max="21" width="9.7109375" style="2" customWidth="1"/>
    <col min="22" max="22" width="21.5703125" style="2" customWidth="1"/>
  </cols>
  <sheetData>
    <row r="1" spans="1:22" s="5" customFormat="1" ht="15" customHeight="1">
      <c r="A1" s="4"/>
      <c r="B1" s="207" t="s">
        <v>592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1:22" s="5" customFormat="1" ht="81.75" customHeight="1">
      <c r="A2" s="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22" s="6" customFormat="1" ht="12.75" customHeight="1">
      <c r="B3" s="208" t="s">
        <v>1</v>
      </c>
      <c r="C3" s="203" t="s">
        <v>2</v>
      </c>
      <c r="D3" s="202" t="s">
        <v>3</v>
      </c>
      <c r="E3" s="202" t="s">
        <v>4</v>
      </c>
      <c r="F3" s="202" t="s">
        <v>5</v>
      </c>
      <c r="G3" s="202" t="s">
        <v>548</v>
      </c>
      <c r="H3" s="204" t="s">
        <v>6</v>
      </c>
      <c r="I3" s="204"/>
      <c r="J3" s="204"/>
      <c r="K3" s="204"/>
      <c r="L3" s="204" t="s">
        <v>143</v>
      </c>
      <c r="M3" s="204"/>
      <c r="N3" s="204"/>
      <c r="O3" s="204"/>
      <c r="P3" s="204" t="s">
        <v>30</v>
      </c>
      <c r="Q3" s="204"/>
      <c r="R3" s="204"/>
      <c r="S3" s="204"/>
      <c r="T3" s="202" t="s">
        <v>7</v>
      </c>
      <c r="U3" s="202" t="s">
        <v>8</v>
      </c>
      <c r="V3" s="205" t="s">
        <v>9</v>
      </c>
    </row>
    <row r="4" spans="1:22" s="6" customFormat="1" ht="33.75" customHeight="1">
      <c r="B4" s="208"/>
      <c r="C4" s="203"/>
      <c r="D4" s="203"/>
      <c r="E4" s="203"/>
      <c r="F4" s="203"/>
      <c r="G4" s="203"/>
      <c r="H4" s="7">
        <v>1</v>
      </c>
      <c r="I4" s="7">
        <v>2</v>
      </c>
      <c r="J4" s="7">
        <v>3</v>
      </c>
      <c r="K4" s="7" t="s">
        <v>10</v>
      </c>
      <c r="L4" s="7">
        <v>1</v>
      </c>
      <c r="M4" s="7">
        <v>2</v>
      </c>
      <c r="N4" s="7">
        <v>3</v>
      </c>
      <c r="O4" s="7" t="s">
        <v>10</v>
      </c>
      <c r="P4" s="7">
        <v>1</v>
      </c>
      <c r="Q4" s="7">
        <v>2</v>
      </c>
      <c r="R4" s="7">
        <v>3</v>
      </c>
      <c r="S4" s="7" t="s">
        <v>10</v>
      </c>
      <c r="T4" s="202"/>
      <c r="U4" s="202"/>
      <c r="V4" s="205"/>
    </row>
    <row r="5" spans="1:22" ht="15">
      <c r="B5" s="206" t="s">
        <v>194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2">
      <c r="A6" s="1">
        <v>1</v>
      </c>
      <c r="B6" s="8" t="s">
        <v>195</v>
      </c>
      <c r="C6" s="8" t="s">
        <v>196</v>
      </c>
      <c r="D6" s="8" t="s">
        <v>197</v>
      </c>
      <c r="E6" s="8" t="str">
        <f>"1,0527"</f>
        <v>1,0527</v>
      </c>
      <c r="F6" s="8" t="s">
        <v>15</v>
      </c>
      <c r="G6" s="106" t="s">
        <v>566</v>
      </c>
      <c r="H6" s="9" t="s">
        <v>165</v>
      </c>
      <c r="I6" s="9" t="s">
        <v>198</v>
      </c>
      <c r="J6" s="9" t="s">
        <v>28</v>
      </c>
      <c r="K6" s="10"/>
      <c r="L6" s="9" t="s">
        <v>147</v>
      </c>
      <c r="M6" s="9" t="s">
        <v>199</v>
      </c>
      <c r="N6" s="9" t="s">
        <v>200</v>
      </c>
      <c r="O6" s="10"/>
      <c r="P6" s="9" t="s">
        <v>38</v>
      </c>
      <c r="Q6" s="9" t="s">
        <v>50</v>
      </c>
      <c r="R6" s="12" t="s">
        <v>51</v>
      </c>
      <c r="S6" s="10"/>
      <c r="T6" s="112">
        <v>245</v>
      </c>
      <c r="U6" s="8" t="str">
        <f>"257,9115"</f>
        <v>257,9115</v>
      </c>
      <c r="V6" s="77" t="s">
        <v>201</v>
      </c>
    </row>
    <row r="8" spans="1:22" ht="15">
      <c r="B8" s="209" t="s">
        <v>31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</row>
    <row r="9" spans="1:22">
      <c r="A9" s="1">
        <v>1</v>
      </c>
      <c r="B9" s="13" t="s">
        <v>202</v>
      </c>
      <c r="C9" s="13" t="s">
        <v>203</v>
      </c>
      <c r="D9" s="13" t="s">
        <v>204</v>
      </c>
      <c r="E9" s="13" t="str">
        <f>"0,6709"</f>
        <v>0,6709</v>
      </c>
      <c r="F9" s="13" t="s">
        <v>205</v>
      </c>
      <c r="G9" s="106" t="s">
        <v>566</v>
      </c>
      <c r="H9" s="14" t="s">
        <v>50</v>
      </c>
      <c r="I9" s="24" t="s">
        <v>51</v>
      </c>
      <c r="J9" s="14" t="s">
        <v>51</v>
      </c>
      <c r="K9" s="15"/>
      <c r="L9" s="14" t="s">
        <v>29</v>
      </c>
      <c r="M9" s="14" t="s">
        <v>144</v>
      </c>
      <c r="N9" s="24" t="s">
        <v>43</v>
      </c>
      <c r="O9" s="15"/>
      <c r="P9" s="24" t="s">
        <v>181</v>
      </c>
      <c r="Q9" s="24" t="s">
        <v>181</v>
      </c>
      <c r="R9" s="14" t="s">
        <v>181</v>
      </c>
      <c r="S9" s="15"/>
      <c r="T9" s="113">
        <v>350</v>
      </c>
      <c r="U9" s="13" t="str">
        <f>"234,8150"</f>
        <v>234,8150</v>
      </c>
      <c r="V9" s="13" t="s">
        <v>59</v>
      </c>
    </row>
    <row r="10" spans="1:22">
      <c r="A10" s="1">
        <v>1</v>
      </c>
      <c r="B10" s="92" t="s">
        <v>206</v>
      </c>
      <c r="C10" s="93" t="s">
        <v>207</v>
      </c>
      <c r="D10" s="93" t="s">
        <v>208</v>
      </c>
      <c r="E10" s="93" t="str">
        <f>"0,6724"</f>
        <v>0,6724</v>
      </c>
      <c r="F10" s="93" t="s">
        <v>15</v>
      </c>
      <c r="G10" s="106" t="s">
        <v>566</v>
      </c>
      <c r="H10" s="74" t="s">
        <v>22</v>
      </c>
      <c r="I10" s="94" t="s">
        <v>209</v>
      </c>
      <c r="J10" s="74" t="s">
        <v>210</v>
      </c>
      <c r="K10" s="95"/>
      <c r="L10" s="74" t="s">
        <v>211</v>
      </c>
      <c r="M10" s="94" t="s">
        <v>212</v>
      </c>
      <c r="N10" s="74" t="s">
        <v>212</v>
      </c>
      <c r="O10" s="95"/>
      <c r="P10" s="74" t="s">
        <v>65</v>
      </c>
      <c r="Q10" s="74" t="s">
        <v>36</v>
      </c>
      <c r="R10" s="74" t="s">
        <v>213</v>
      </c>
      <c r="S10" s="95"/>
      <c r="T10" s="114">
        <v>575</v>
      </c>
      <c r="U10" s="93" t="str">
        <f>"386,6300"</f>
        <v>386,6300</v>
      </c>
      <c r="V10" s="96" t="s">
        <v>160</v>
      </c>
    </row>
    <row r="12" spans="1:22" ht="15">
      <c r="B12" s="209" t="s">
        <v>17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</row>
    <row r="13" spans="1:22">
      <c r="A13" s="1">
        <v>1</v>
      </c>
      <c r="B13" s="13" t="s">
        <v>214</v>
      </c>
      <c r="C13" s="13" t="s">
        <v>215</v>
      </c>
      <c r="D13" s="13" t="s">
        <v>20</v>
      </c>
      <c r="E13" s="13" t="str">
        <f>"0,6417"</f>
        <v>0,6417</v>
      </c>
      <c r="F13" s="13" t="s">
        <v>216</v>
      </c>
      <c r="G13" s="106" t="s">
        <v>566</v>
      </c>
      <c r="H13" s="14" t="s">
        <v>77</v>
      </c>
      <c r="I13" s="14" t="s">
        <v>65</v>
      </c>
      <c r="J13" s="14" t="s">
        <v>210</v>
      </c>
      <c r="K13" s="15"/>
      <c r="L13" s="14" t="s">
        <v>217</v>
      </c>
      <c r="M13" s="14" t="s">
        <v>212</v>
      </c>
      <c r="N13" s="24" t="s">
        <v>176</v>
      </c>
      <c r="O13" s="15"/>
      <c r="P13" s="14" t="s">
        <v>65</v>
      </c>
      <c r="Q13" s="14" t="s">
        <v>66</v>
      </c>
      <c r="R13" s="14" t="s">
        <v>188</v>
      </c>
      <c r="S13" s="15"/>
      <c r="T13" s="113">
        <v>572.5</v>
      </c>
      <c r="U13" s="13" t="str">
        <f>"367,3733"</f>
        <v>367,3733</v>
      </c>
      <c r="V13" s="102" t="s">
        <v>593</v>
      </c>
    </row>
    <row r="14" spans="1:22">
      <c r="A14" s="1">
        <v>2</v>
      </c>
      <c r="B14" s="92" t="s">
        <v>218</v>
      </c>
      <c r="C14" s="93" t="s">
        <v>219</v>
      </c>
      <c r="D14" s="93" t="s">
        <v>220</v>
      </c>
      <c r="E14" s="93" t="str">
        <f>"0,6467"</f>
        <v>0,6467</v>
      </c>
      <c r="F14" s="93" t="s">
        <v>205</v>
      </c>
      <c r="G14" s="106" t="s">
        <v>566</v>
      </c>
      <c r="H14" s="74" t="s">
        <v>50</v>
      </c>
      <c r="I14" s="74" t="s">
        <v>221</v>
      </c>
      <c r="J14" s="74" t="s">
        <v>181</v>
      </c>
      <c r="K14" s="95"/>
      <c r="L14" s="94" t="s">
        <v>29</v>
      </c>
      <c r="M14" s="74" t="s">
        <v>29</v>
      </c>
      <c r="N14" s="94" t="s">
        <v>43</v>
      </c>
      <c r="O14" s="95"/>
      <c r="P14" s="74" t="s">
        <v>57</v>
      </c>
      <c r="Q14" s="94" t="s">
        <v>177</v>
      </c>
      <c r="R14" s="94" t="s">
        <v>177</v>
      </c>
      <c r="S14" s="95"/>
      <c r="T14" s="114">
        <v>385</v>
      </c>
      <c r="U14" s="93" t="str">
        <f>"248,9795"</f>
        <v>248,9795</v>
      </c>
      <c r="V14" s="96" t="s">
        <v>222</v>
      </c>
    </row>
    <row r="15" spans="1:22">
      <c r="A15" s="1">
        <v>1</v>
      </c>
      <c r="B15" s="17" t="s">
        <v>223</v>
      </c>
      <c r="C15" s="17" t="s">
        <v>224</v>
      </c>
      <c r="D15" s="17" t="s">
        <v>225</v>
      </c>
      <c r="E15" s="17" t="str">
        <f>"0,6428"</f>
        <v>0,6428</v>
      </c>
      <c r="F15" s="17" t="s">
        <v>205</v>
      </c>
      <c r="G15" s="106" t="s">
        <v>566</v>
      </c>
      <c r="H15" s="18" t="s">
        <v>177</v>
      </c>
      <c r="I15" s="23" t="s">
        <v>151</v>
      </c>
      <c r="J15" s="23" t="s">
        <v>151</v>
      </c>
      <c r="K15" s="19"/>
      <c r="L15" s="23" t="s">
        <v>43</v>
      </c>
      <c r="M15" s="18" t="s">
        <v>16</v>
      </c>
      <c r="N15" s="23" t="s">
        <v>38</v>
      </c>
      <c r="O15" s="19"/>
      <c r="P15" s="18" t="s">
        <v>177</v>
      </c>
      <c r="Q15" s="23" t="s">
        <v>58</v>
      </c>
      <c r="R15" s="23" t="s">
        <v>58</v>
      </c>
      <c r="S15" s="19"/>
      <c r="T15" s="116">
        <v>430</v>
      </c>
      <c r="U15" s="17" t="str">
        <f>"276,4040"</f>
        <v>276,4040</v>
      </c>
      <c r="V15" s="17" t="s">
        <v>59</v>
      </c>
    </row>
    <row r="17" spans="1:22" ht="15">
      <c r="B17" s="209" t="s">
        <v>60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</row>
    <row r="18" spans="1:22">
      <c r="A18" s="1">
        <v>1</v>
      </c>
      <c r="B18" s="8" t="s">
        <v>226</v>
      </c>
      <c r="C18" s="8" t="s">
        <v>227</v>
      </c>
      <c r="D18" s="8" t="s">
        <v>228</v>
      </c>
      <c r="E18" s="8" t="str">
        <f>"0,6118"</f>
        <v>0,6118</v>
      </c>
      <c r="F18" s="8" t="s">
        <v>15</v>
      </c>
      <c r="G18" s="106" t="s">
        <v>566</v>
      </c>
      <c r="H18" s="9" t="s">
        <v>77</v>
      </c>
      <c r="I18" s="12" t="s">
        <v>65</v>
      </c>
      <c r="J18" s="9" t="s">
        <v>65</v>
      </c>
      <c r="K18" s="10"/>
      <c r="L18" s="9" t="s">
        <v>58</v>
      </c>
      <c r="M18" s="9" t="s">
        <v>229</v>
      </c>
      <c r="N18" s="9" t="s">
        <v>154</v>
      </c>
      <c r="O18" s="10"/>
      <c r="P18" s="9" t="s">
        <v>36</v>
      </c>
      <c r="Q18" s="9" t="s">
        <v>193</v>
      </c>
      <c r="R18" s="9" t="s">
        <v>92</v>
      </c>
      <c r="S18" s="10"/>
      <c r="T18" s="11">
        <v>627.5</v>
      </c>
      <c r="U18" s="8" t="str">
        <f>"383,9045"</f>
        <v>383,9045</v>
      </c>
      <c r="V18" s="77" t="s">
        <v>553</v>
      </c>
    </row>
    <row r="20" spans="1:22" ht="15">
      <c r="B20" s="209" t="s">
        <v>106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</row>
    <row r="21" spans="1:22">
      <c r="A21" s="1">
        <v>1</v>
      </c>
      <c r="B21" s="8" t="s">
        <v>230</v>
      </c>
      <c r="C21" s="8" t="s">
        <v>231</v>
      </c>
      <c r="D21" s="8" t="s">
        <v>232</v>
      </c>
      <c r="E21" s="8" t="str">
        <f>"0,5914"</f>
        <v>0,5914</v>
      </c>
      <c r="F21" s="8" t="s">
        <v>216</v>
      </c>
      <c r="G21" s="106" t="s">
        <v>566</v>
      </c>
      <c r="H21" s="9" t="s">
        <v>66</v>
      </c>
      <c r="I21" s="9" t="s">
        <v>188</v>
      </c>
      <c r="J21" s="9" t="s">
        <v>193</v>
      </c>
      <c r="K21" s="32"/>
      <c r="L21" s="9" t="s">
        <v>77</v>
      </c>
      <c r="M21" s="9" t="s">
        <v>65</v>
      </c>
      <c r="N21" s="12" t="s">
        <v>233</v>
      </c>
      <c r="O21" s="10"/>
      <c r="P21" s="9" t="s">
        <v>114</v>
      </c>
      <c r="Q21" s="9" t="s">
        <v>103</v>
      </c>
      <c r="R21" s="12" t="s">
        <v>93</v>
      </c>
      <c r="S21" s="10"/>
      <c r="T21" s="112">
        <v>685</v>
      </c>
      <c r="U21" s="8" t="str">
        <f>"405,1090"</f>
        <v>405,1090</v>
      </c>
      <c r="V21" s="77" t="s">
        <v>593</v>
      </c>
    </row>
  </sheetData>
  <sheetProtection selectLockedCells="1" selectUnlockedCells="1"/>
  <mergeCells count="18"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B17:U17"/>
    <mergeCell ref="B20:U20"/>
    <mergeCell ref="T3:T4"/>
    <mergeCell ref="U3:U4"/>
    <mergeCell ref="V3:V4"/>
    <mergeCell ref="B5:U5"/>
    <mergeCell ref="B8:U8"/>
    <mergeCell ref="B12:U1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5"/>
  <sheetViews>
    <sheetView topLeftCell="A55" zoomScale="90" zoomScaleNormal="90" workbookViewId="0">
      <selection activeCell="B85" sqref="B85"/>
    </sheetView>
  </sheetViews>
  <sheetFormatPr defaultRowHeight="12.75"/>
  <cols>
    <col min="1" max="1" width="4.28515625" style="1" customWidth="1"/>
    <col min="2" max="2" width="23.7109375" style="2" customWidth="1"/>
    <col min="3" max="3" width="28.42578125" style="2" customWidth="1"/>
    <col min="4" max="4" width="13.42578125" style="2" customWidth="1"/>
    <col min="5" max="5" width="8.42578125" style="2" customWidth="1"/>
    <col min="6" max="6" width="17.140625" style="2" customWidth="1"/>
    <col min="7" max="7" width="42.140625" style="2" customWidth="1"/>
    <col min="8" max="10" width="5.5703125" style="2" customWidth="1"/>
    <col min="11" max="11" width="4.5703125" style="2" customWidth="1"/>
    <col min="12" max="14" width="5.5703125" style="2" customWidth="1"/>
    <col min="15" max="15" width="4.5703125" style="2" customWidth="1"/>
    <col min="16" max="18" width="5.5703125" style="2" customWidth="1"/>
    <col min="19" max="19" width="4.5703125" style="2" customWidth="1"/>
    <col min="20" max="20" width="7.85546875" style="3" customWidth="1"/>
    <col min="21" max="21" width="9.28515625" style="2" customWidth="1"/>
    <col min="22" max="22" width="23.5703125" style="2" customWidth="1"/>
  </cols>
  <sheetData>
    <row r="1" spans="1:22" s="5" customFormat="1" ht="15" customHeight="1">
      <c r="A1" s="4"/>
      <c r="B1" s="207" t="s">
        <v>588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1:22" s="5" customFormat="1" ht="81.75" customHeight="1">
      <c r="A2" s="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22" s="6" customFormat="1" ht="12.75" customHeight="1">
      <c r="B3" s="208" t="s">
        <v>1</v>
      </c>
      <c r="C3" s="203" t="s">
        <v>2</v>
      </c>
      <c r="D3" s="202" t="s">
        <v>3</v>
      </c>
      <c r="E3" s="202" t="s">
        <v>4</v>
      </c>
      <c r="F3" s="202" t="s">
        <v>5</v>
      </c>
      <c r="G3" s="202" t="s">
        <v>548</v>
      </c>
      <c r="H3" s="204" t="s">
        <v>6</v>
      </c>
      <c r="I3" s="204"/>
      <c r="J3" s="204"/>
      <c r="K3" s="204"/>
      <c r="L3" s="204" t="s">
        <v>143</v>
      </c>
      <c r="M3" s="204"/>
      <c r="N3" s="204"/>
      <c r="O3" s="204"/>
      <c r="P3" s="204" t="s">
        <v>30</v>
      </c>
      <c r="Q3" s="204"/>
      <c r="R3" s="204"/>
      <c r="S3" s="204"/>
      <c r="T3" s="202" t="s">
        <v>7</v>
      </c>
      <c r="U3" s="202" t="s">
        <v>8</v>
      </c>
      <c r="V3" s="205" t="s">
        <v>9</v>
      </c>
    </row>
    <row r="4" spans="1:22" s="6" customFormat="1" ht="33.75" customHeight="1">
      <c r="B4" s="208"/>
      <c r="C4" s="203"/>
      <c r="D4" s="203"/>
      <c r="E4" s="203"/>
      <c r="F4" s="203"/>
      <c r="G4" s="203"/>
      <c r="H4" s="7">
        <v>1</v>
      </c>
      <c r="I4" s="7">
        <v>2</v>
      </c>
      <c r="J4" s="7">
        <v>3</v>
      </c>
      <c r="K4" s="7" t="s">
        <v>10</v>
      </c>
      <c r="L4" s="7">
        <v>1</v>
      </c>
      <c r="M4" s="7">
        <v>2</v>
      </c>
      <c r="N4" s="7">
        <v>3</v>
      </c>
      <c r="O4" s="7" t="s">
        <v>10</v>
      </c>
      <c r="P4" s="7">
        <v>1</v>
      </c>
      <c r="Q4" s="7">
        <v>2</v>
      </c>
      <c r="R4" s="7">
        <v>3</v>
      </c>
      <c r="S4" s="7" t="s">
        <v>10</v>
      </c>
      <c r="T4" s="202"/>
      <c r="U4" s="202"/>
      <c r="V4" s="205"/>
    </row>
    <row r="5" spans="1:22" ht="15">
      <c r="B5" s="206" t="s">
        <v>11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2">
      <c r="A6" s="1">
        <v>1</v>
      </c>
      <c r="B6" s="92" t="s">
        <v>234</v>
      </c>
      <c r="C6" s="93" t="s">
        <v>235</v>
      </c>
      <c r="D6" s="93" t="s">
        <v>236</v>
      </c>
      <c r="E6" s="93" t="str">
        <f>"1,2466"</f>
        <v>1,2466</v>
      </c>
      <c r="F6" s="93" t="s">
        <v>15</v>
      </c>
      <c r="G6" s="106" t="s">
        <v>566</v>
      </c>
      <c r="H6" s="74" t="s">
        <v>237</v>
      </c>
      <c r="I6" s="94" t="s">
        <v>170</v>
      </c>
      <c r="J6" s="74" t="s">
        <v>170</v>
      </c>
      <c r="K6" s="95"/>
      <c r="L6" s="94" t="s">
        <v>238</v>
      </c>
      <c r="M6" s="74" t="s">
        <v>239</v>
      </c>
      <c r="N6" s="94" t="s">
        <v>168</v>
      </c>
      <c r="O6" s="95"/>
      <c r="P6" s="74" t="s">
        <v>170</v>
      </c>
      <c r="Q6" s="74" t="s">
        <v>165</v>
      </c>
      <c r="R6" s="74" t="s">
        <v>198</v>
      </c>
      <c r="S6" s="95"/>
      <c r="T6" s="76">
        <v>167.5</v>
      </c>
      <c r="U6" s="93" t="str">
        <f>"208,8055"</f>
        <v>208,8055</v>
      </c>
      <c r="V6" s="121" t="s">
        <v>589</v>
      </c>
    </row>
    <row r="7" spans="1:22">
      <c r="A7" s="1">
        <v>1</v>
      </c>
      <c r="B7" s="131" t="s">
        <v>240</v>
      </c>
      <c r="C7" s="132" t="s">
        <v>241</v>
      </c>
      <c r="D7" s="132" t="s">
        <v>242</v>
      </c>
      <c r="E7" s="132" t="str">
        <f>"1,2866"</f>
        <v>1,2866</v>
      </c>
      <c r="F7" s="132" t="s">
        <v>216</v>
      </c>
      <c r="G7" s="106" t="s">
        <v>566</v>
      </c>
      <c r="H7" s="133" t="s">
        <v>170</v>
      </c>
      <c r="I7" s="133" t="s">
        <v>243</v>
      </c>
      <c r="J7" s="133" t="s">
        <v>165</v>
      </c>
      <c r="K7" s="134"/>
      <c r="L7" s="133" t="s">
        <v>145</v>
      </c>
      <c r="M7" s="133" t="s">
        <v>147</v>
      </c>
      <c r="N7" s="135" t="s">
        <v>199</v>
      </c>
      <c r="O7" s="134"/>
      <c r="P7" s="133" t="s">
        <v>243</v>
      </c>
      <c r="Q7" s="133" t="s">
        <v>198</v>
      </c>
      <c r="R7" s="133" t="s">
        <v>28</v>
      </c>
      <c r="S7" s="134"/>
      <c r="T7" s="138">
        <v>195</v>
      </c>
      <c r="U7" s="132" t="str">
        <f>"250,8870"</f>
        <v>250,8870</v>
      </c>
      <c r="V7" s="136" t="s">
        <v>244</v>
      </c>
    </row>
    <row r="9" spans="1:22" ht="15">
      <c r="B9" s="209" t="s">
        <v>39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</row>
    <row r="10" spans="1:22">
      <c r="A10" s="1">
        <v>1</v>
      </c>
      <c r="B10" s="13" t="s">
        <v>245</v>
      </c>
      <c r="C10" s="13" t="s">
        <v>246</v>
      </c>
      <c r="D10" s="13" t="s">
        <v>247</v>
      </c>
      <c r="E10" s="13" t="str">
        <f>"1,2106"</f>
        <v>1,2106</v>
      </c>
      <c r="F10" s="13" t="s">
        <v>102</v>
      </c>
      <c r="G10" s="106" t="s">
        <v>566</v>
      </c>
      <c r="H10" s="14" t="s">
        <v>49</v>
      </c>
      <c r="I10" s="33"/>
      <c r="J10" s="15"/>
      <c r="K10" s="15"/>
      <c r="L10" s="14" t="s">
        <v>243</v>
      </c>
      <c r="M10" s="15"/>
      <c r="N10" s="15"/>
      <c r="O10" s="15"/>
      <c r="P10" s="14" t="s">
        <v>177</v>
      </c>
      <c r="Q10" s="33"/>
      <c r="R10" s="33"/>
      <c r="S10" s="15"/>
      <c r="T10" s="113">
        <v>340</v>
      </c>
      <c r="U10" s="13" t="str">
        <f>"411,6040"</f>
        <v>411,6040</v>
      </c>
      <c r="V10" s="102" t="s">
        <v>590</v>
      </c>
    </row>
    <row r="11" spans="1:22">
      <c r="A11" s="1">
        <v>1</v>
      </c>
      <c r="B11" s="92" t="s">
        <v>245</v>
      </c>
      <c r="C11" s="93" t="s">
        <v>248</v>
      </c>
      <c r="D11" s="93" t="s">
        <v>247</v>
      </c>
      <c r="E11" s="93" t="str">
        <f>"1,2106"</f>
        <v>1,2106</v>
      </c>
      <c r="F11" s="93" t="s">
        <v>102</v>
      </c>
      <c r="G11" s="106" t="s">
        <v>566</v>
      </c>
      <c r="H11" s="74" t="s">
        <v>38</v>
      </c>
      <c r="I11" s="74" t="s">
        <v>49</v>
      </c>
      <c r="J11" s="94" t="s">
        <v>50</v>
      </c>
      <c r="K11" s="95"/>
      <c r="L11" s="74" t="s">
        <v>243</v>
      </c>
      <c r="M11" s="94" t="s">
        <v>165</v>
      </c>
      <c r="N11" s="94" t="s">
        <v>165</v>
      </c>
      <c r="O11" s="95"/>
      <c r="P11" s="74" t="s">
        <v>158</v>
      </c>
      <c r="Q11" s="74" t="s">
        <v>57</v>
      </c>
      <c r="R11" s="74" t="s">
        <v>177</v>
      </c>
      <c r="S11" s="95"/>
      <c r="T11" s="114">
        <v>340</v>
      </c>
      <c r="U11" s="118" t="str">
        <f>"423,1289"</f>
        <v>423,1289</v>
      </c>
      <c r="V11" s="106" t="s">
        <v>590</v>
      </c>
    </row>
    <row r="13" spans="1:22" ht="15">
      <c r="B13" s="209" t="s">
        <v>45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</row>
    <row r="14" spans="1:22">
      <c r="A14" s="1">
        <v>1</v>
      </c>
      <c r="B14" s="8" t="s">
        <v>249</v>
      </c>
      <c r="C14" s="8" t="s">
        <v>250</v>
      </c>
      <c r="D14" s="8" t="s">
        <v>251</v>
      </c>
      <c r="E14" s="8" t="str">
        <f>"1,1401"</f>
        <v>1,1401</v>
      </c>
      <c r="F14" s="8" t="s">
        <v>102</v>
      </c>
      <c r="G14" s="106" t="s">
        <v>566</v>
      </c>
      <c r="H14" s="9" t="s">
        <v>167</v>
      </c>
      <c r="I14" s="12" t="s">
        <v>252</v>
      </c>
      <c r="J14" s="9" t="s">
        <v>252</v>
      </c>
      <c r="K14" s="10"/>
      <c r="L14" s="9" t="s">
        <v>169</v>
      </c>
      <c r="M14" s="12" t="s">
        <v>145</v>
      </c>
      <c r="N14" s="12" t="s">
        <v>145</v>
      </c>
      <c r="O14" s="10"/>
      <c r="P14" s="9" t="s">
        <v>43</v>
      </c>
      <c r="Q14" s="12" t="s">
        <v>38</v>
      </c>
      <c r="R14" s="9" t="s">
        <v>38</v>
      </c>
      <c r="S14" s="10"/>
      <c r="T14" s="112">
        <v>225</v>
      </c>
      <c r="U14" s="8" t="str">
        <f>"256,5225"</f>
        <v>256,5225</v>
      </c>
      <c r="V14" s="121" t="s">
        <v>553</v>
      </c>
    </row>
    <row r="16" spans="1:22" ht="15">
      <c r="B16" s="209" t="s">
        <v>194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</row>
    <row r="17" spans="1:22">
      <c r="A17" s="1">
        <v>1</v>
      </c>
      <c r="B17" s="8" t="s">
        <v>253</v>
      </c>
      <c r="C17" s="8" t="s">
        <v>254</v>
      </c>
      <c r="D17" s="8" t="s">
        <v>255</v>
      </c>
      <c r="E17" s="8" t="str">
        <f>"1,0328"</f>
        <v>1,0328</v>
      </c>
      <c r="F17" s="8" t="s">
        <v>102</v>
      </c>
      <c r="G17" s="106" t="s">
        <v>566</v>
      </c>
      <c r="H17" s="9" t="s">
        <v>256</v>
      </c>
      <c r="I17" s="12" t="s">
        <v>181</v>
      </c>
      <c r="J17" s="9" t="s">
        <v>176</v>
      </c>
      <c r="K17" s="10"/>
      <c r="L17" s="9" t="s">
        <v>243</v>
      </c>
      <c r="M17" s="12" t="s">
        <v>165</v>
      </c>
      <c r="N17" s="12" t="s">
        <v>165</v>
      </c>
      <c r="O17" s="10"/>
      <c r="P17" s="9" t="s">
        <v>151</v>
      </c>
      <c r="Q17" s="12" t="s">
        <v>257</v>
      </c>
      <c r="R17" s="12" t="s">
        <v>257</v>
      </c>
      <c r="S17" s="10"/>
      <c r="T17" s="112">
        <v>385</v>
      </c>
      <c r="U17" s="120" t="str">
        <f>"397,6280"</f>
        <v>397,6280</v>
      </c>
      <c r="V17" s="106" t="s">
        <v>590</v>
      </c>
    </row>
    <row r="19" spans="1:22" ht="15">
      <c r="B19" s="209" t="s">
        <v>68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</row>
    <row r="20" spans="1:22">
      <c r="A20" s="1">
        <v>1</v>
      </c>
      <c r="B20" s="13" t="s">
        <v>258</v>
      </c>
      <c r="C20" s="13" t="s">
        <v>259</v>
      </c>
      <c r="D20" s="13" t="s">
        <v>260</v>
      </c>
      <c r="E20" s="13" t="str">
        <f>"0,9506"</f>
        <v>0,9506</v>
      </c>
      <c r="F20" s="13" t="s">
        <v>102</v>
      </c>
      <c r="G20" s="106" t="s">
        <v>566</v>
      </c>
      <c r="H20" s="14" t="s">
        <v>51</v>
      </c>
      <c r="I20" s="14" t="s">
        <v>256</v>
      </c>
      <c r="J20" s="14" t="s">
        <v>159</v>
      </c>
      <c r="K20" s="15"/>
      <c r="L20" s="14" t="s">
        <v>29</v>
      </c>
      <c r="M20" s="14" t="s">
        <v>144</v>
      </c>
      <c r="N20" s="14" t="s">
        <v>261</v>
      </c>
      <c r="O20" s="15"/>
      <c r="P20" s="14" t="s">
        <v>262</v>
      </c>
      <c r="Q20" s="14" t="s">
        <v>22</v>
      </c>
      <c r="R20" s="14" t="s">
        <v>263</v>
      </c>
      <c r="S20" s="15"/>
      <c r="T20" s="113">
        <v>410</v>
      </c>
      <c r="U20" s="13" t="str">
        <f>"389,7460"</f>
        <v>389,7460</v>
      </c>
      <c r="V20" s="102" t="s">
        <v>590</v>
      </c>
    </row>
    <row r="21" spans="1:22">
      <c r="A21" s="1">
        <v>2</v>
      </c>
      <c r="B21" s="92" t="s">
        <v>264</v>
      </c>
      <c r="C21" s="93" t="s">
        <v>265</v>
      </c>
      <c r="D21" s="93" t="s">
        <v>266</v>
      </c>
      <c r="E21" s="93" t="str">
        <f>"0,9530"</f>
        <v>0,9530</v>
      </c>
      <c r="F21" s="93" t="s">
        <v>102</v>
      </c>
      <c r="G21" s="106" t="s">
        <v>566</v>
      </c>
      <c r="H21" s="74" t="s">
        <v>217</v>
      </c>
      <c r="I21" s="94" t="s">
        <v>176</v>
      </c>
      <c r="J21" s="74" t="s">
        <v>176</v>
      </c>
      <c r="K21" s="95"/>
      <c r="L21" s="74" t="s">
        <v>167</v>
      </c>
      <c r="M21" s="74" t="s">
        <v>28</v>
      </c>
      <c r="N21" s="74" t="s">
        <v>252</v>
      </c>
      <c r="O21" s="95"/>
      <c r="P21" s="74" t="s">
        <v>158</v>
      </c>
      <c r="Q21" s="74" t="s">
        <v>58</v>
      </c>
      <c r="R21" s="74" t="s">
        <v>229</v>
      </c>
      <c r="S21" s="95"/>
      <c r="T21" s="114">
        <v>405</v>
      </c>
      <c r="U21" s="118" t="str">
        <f>"385,9650"</f>
        <v>385,9650</v>
      </c>
      <c r="V21" s="106" t="s">
        <v>590</v>
      </c>
    </row>
    <row r="23" spans="1:22" ht="15">
      <c r="B23" s="209" t="s">
        <v>161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</row>
    <row r="24" spans="1:22">
      <c r="A24" s="1">
        <v>1</v>
      </c>
      <c r="B24" s="8" t="s">
        <v>267</v>
      </c>
      <c r="C24" s="8" t="s">
        <v>268</v>
      </c>
      <c r="D24" s="8" t="s">
        <v>269</v>
      </c>
      <c r="E24" s="8" t="str">
        <f>"1,3553"</f>
        <v>1,3553</v>
      </c>
      <c r="F24" s="8" t="s">
        <v>15</v>
      </c>
      <c r="G24" s="106" t="s">
        <v>566</v>
      </c>
      <c r="H24" s="9" t="s">
        <v>237</v>
      </c>
      <c r="I24" s="9" t="s">
        <v>170</v>
      </c>
      <c r="J24" s="9" t="s">
        <v>243</v>
      </c>
      <c r="K24" s="10"/>
      <c r="L24" s="9" t="s">
        <v>270</v>
      </c>
      <c r="M24" s="12" t="s">
        <v>271</v>
      </c>
      <c r="N24" s="12" t="s">
        <v>271</v>
      </c>
      <c r="O24" s="10"/>
      <c r="P24" s="9" t="s">
        <v>170</v>
      </c>
      <c r="Q24" s="9" t="s">
        <v>171</v>
      </c>
      <c r="R24" s="9" t="s">
        <v>166</v>
      </c>
      <c r="S24" s="10"/>
      <c r="T24" s="11">
        <v>162.5</v>
      </c>
      <c r="U24" s="8" t="str">
        <f>"220,2362"</f>
        <v>220,2362</v>
      </c>
      <c r="V24" s="77" t="s">
        <v>589</v>
      </c>
    </row>
    <row r="26" spans="1:22" ht="15">
      <c r="B26" s="209" t="s">
        <v>68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</row>
    <row r="27" spans="1:22">
      <c r="A27" s="1">
        <v>1</v>
      </c>
      <c r="B27" s="8" t="s">
        <v>69</v>
      </c>
      <c r="C27" s="8" t="s">
        <v>70</v>
      </c>
      <c r="D27" s="8" t="s">
        <v>71</v>
      </c>
      <c r="E27" s="8" t="str">
        <f>"0,7544"</f>
        <v>0,7544</v>
      </c>
      <c r="F27" s="8" t="s">
        <v>15</v>
      </c>
      <c r="G27" s="106" t="s">
        <v>566</v>
      </c>
      <c r="H27" s="12" t="s">
        <v>181</v>
      </c>
      <c r="I27" s="9" t="s">
        <v>176</v>
      </c>
      <c r="J27" s="12" t="s">
        <v>272</v>
      </c>
      <c r="K27" s="10"/>
      <c r="L27" s="9" t="s">
        <v>273</v>
      </c>
      <c r="M27" s="9" t="s">
        <v>50</v>
      </c>
      <c r="N27" s="9" t="s">
        <v>152</v>
      </c>
      <c r="O27" s="10"/>
      <c r="P27" s="12" t="s">
        <v>209</v>
      </c>
      <c r="Q27" s="9" t="s">
        <v>209</v>
      </c>
      <c r="R27" s="9" t="s">
        <v>65</v>
      </c>
      <c r="S27" s="10"/>
      <c r="T27" s="11">
        <v>462.5</v>
      </c>
      <c r="U27" s="8" t="str">
        <f>"348,9100"</f>
        <v>348,9100</v>
      </c>
      <c r="V27" s="121" t="s">
        <v>553</v>
      </c>
    </row>
    <row r="29" spans="1:22" ht="15">
      <c r="B29" s="209" t="s">
        <v>31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</row>
    <row r="30" spans="1:22">
      <c r="A30" s="1">
        <v>1</v>
      </c>
      <c r="B30" s="13" t="s">
        <v>274</v>
      </c>
      <c r="C30" s="13" t="s">
        <v>275</v>
      </c>
      <c r="D30" s="13" t="s">
        <v>276</v>
      </c>
      <c r="E30" s="13" t="str">
        <f>"0,6759"</f>
        <v>0,6759</v>
      </c>
      <c r="F30" s="13" t="s">
        <v>102</v>
      </c>
      <c r="G30" s="106" t="s">
        <v>566</v>
      </c>
      <c r="H30" s="14" t="s">
        <v>277</v>
      </c>
      <c r="I30" s="14" t="s">
        <v>67</v>
      </c>
      <c r="J30" s="14" t="s">
        <v>114</v>
      </c>
      <c r="K30" s="15"/>
      <c r="L30" s="14" t="s">
        <v>57</v>
      </c>
      <c r="M30" s="14" t="s">
        <v>58</v>
      </c>
      <c r="N30" s="14" t="s">
        <v>151</v>
      </c>
      <c r="O30" s="15"/>
      <c r="P30" s="14" t="s">
        <v>104</v>
      </c>
      <c r="Q30" s="14" t="s">
        <v>278</v>
      </c>
      <c r="R30" s="14" t="s">
        <v>279</v>
      </c>
      <c r="S30" s="15"/>
      <c r="T30" s="113">
        <v>710</v>
      </c>
      <c r="U30" s="13" t="str">
        <f>"479,8890"</f>
        <v>479,8890</v>
      </c>
      <c r="V30" s="102" t="s">
        <v>590</v>
      </c>
    </row>
    <row r="31" spans="1:22">
      <c r="A31" s="1">
        <v>2</v>
      </c>
      <c r="B31" s="92" t="s">
        <v>280</v>
      </c>
      <c r="C31" s="93" t="s">
        <v>281</v>
      </c>
      <c r="D31" s="93" t="s">
        <v>282</v>
      </c>
      <c r="E31" s="93" t="str">
        <f>"0,6832"</f>
        <v>0,6832</v>
      </c>
      <c r="F31" s="93" t="s">
        <v>102</v>
      </c>
      <c r="G31" s="106" t="s">
        <v>566</v>
      </c>
      <c r="H31" s="74" t="s">
        <v>263</v>
      </c>
      <c r="I31" s="74" t="s">
        <v>283</v>
      </c>
      <c r="J31" s="94" t="s">
        <v>284</v>
      </c>
      <c r="K31" s="95"/>
      <c r="L31" s="74" t="s">
        <v>211</v>
      </c>
      <c r="M31" s="74" t="s">
        <v>217</v>
      </c>
      <c r="N31" s="94" t="s">
        <v>285</v>
      </c>
      <c r="O31" s="95"/>
      <c r="P31" s="74" t="s">
        <v>51</v>
      </c>
      <c r="Q31" s="137"/>
      <c r="R31" s="137"/>
      <c r="S31" s="95"/>
      <c r="T31" s="114">
        <v>450</v>
      </c>
      <c r="U31" s="118" t="str">
        <f>"307,4400"</f>
        <v>307,4400</v>
      </c>
      <c r="V31" s="106" t="s">
        <v>590</v>
      </c>
    </row>
    <row r="33" spans="1:22" ht="15">
      <c r="B33" s="209" t="s">
        <v>17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</row>
    <row r="34" spans="1:22">
      <c r="A34" s="1">
        <v>1</v>
      </c>
      <c r="B34" s="13" t="s">
        <v>286</v>
      </c>
      <c r="C34" s="13" t="s">
        <v>287</v>
      </c>
      <c r="D34" s="13" t="s">
        <v>288</v>
      </c>
      <c r="E34" s="13" t="str">
        <f>"0,6384"</f>
        <v>0,6384</v>
      </c>
      <c r="F34" s="13" t="s">
        <v>102</v>
      </c>
      <c r="G34" s="106" t="s">
        <v>566</v>
      </c>
      <c r="H34" s="14" t="s">
        <v>188</v>
      </c>
      <c r="I34" s="14" t="s">
        <v>114</v>
      </c>
      <c r="J34" s="34" t="s">
        <v>37</v>
      </c>
      <c r="K34" s="15"/>
      <c r="L34" s="14" t="s">
        <v>177</v>
      </c>
      <c r="M34" s="24" t="s">
        <v>229</v>
      </c>
      <c r="N34" s="14" t="s">
        <v>229</v>
      </c>
      <c r="O34" s="15"/>
      <c r="P34" s="14" t="s">
        <v>97</v>
      </c>
      <c r="Q34" s="24" t="s">
        <v>278</v>
      </c>
      <c r="R34" s="24" t="s">
        <v>278</v>
      </c>
      <c r="S34" s="15"/>
      <c r="T34" s="113">
        <v>687.5</v>
      </c>
      <c r="U34" s="13" t="str">
        <f>"438,9000"</f>
        <v>438,9000</v>
      </c>
      <c r="V34" s="121" t="s">
        <v>553</v>
      </c>
    </row>
    <row r="35" spans="1:22">
      <c r="A35" s="1">
        <v>2</v>
      </c>
      <c r="B35" s="92" t="s">
        <v>289</v>
      </c>
      <c r="C35" s="93" t="s">
        <v>290</v>
      </c>
      <c r="D35" s="93" t="s">
        <v>82</v>
      </c>
      <c r="E35" s="93" t="str">
        <f>"0,6444"</f>
        <v>0,6444</v>
      </c>
      <c r="F35" s="93" t="s">
        <v>15</v>
      </c>
      <c r="G35" s="106" t="s">
        <v>566</v>
      </c>
      <c r="H35" s="74" t="s">
        <v>65</v>
      </c>
      <c r="I35" s="137"/>
      <c r="J35" s="95"/>
      <c r="K35" s="95"/>
      <c r="L35" s="74" t="s">
        <v>181</v>
      </c>
      <c r="M35" s="95"/>
      <c r="N35" s="137"/>
      <c r="O35" s="95"/>
      <c r="P35" s="74" t="s">
        <v>188</v>
      </c>
      <c r="Q35" s="137"/>
      <c r="R35" s="95"/>
      <c r="S35" s="95"/>
      <c r="T35" s="114">
        <v>565</v>
      </c>
      <c r="U35" s="93" t="str">
        <f>"364,0860"</f>
        <v>364,0860</v>
      </c>
      <c r="V35" s="121" t="s">
        <v>553</v>
      </c>
    </row>
    <row r="36" spans="1:22">
      <c r="A36" s="1">
        <v>3</v>
      </c>
      <c r="B36" s="20" t="s">
        <v>291</v>
      </c>
      <c r="C36" s="20" t="s">
        <v>292</v>
      </c>
      <c r="D36" s="20" t="s">
        <v>293</v>
      </c>
      <c r="E36" s="20" t="str">
        <f>"0,6499"</f>
        <v>0,6499</v>
      </c>
      <c r="F36" s="20" t="s">
        <v>102</v>
      </c>
      <c r="G36" s="106" t="s">
        <v>566</v>
      </c>
      <c r="H36" s="21" t="s">
        <v>151</v>
      </c>
      <c r="I36" s="21" t="s">
        <v>154</v>
      </c>
      <c r="J36" s="21" t="s">
        <v>257</v>
      </c>
      <c r="K36" s="22"/>
      <c r="L36" s="21" t="s">
        <v>51</v>
      </c>
      <c r="M36" s="21" t="s">
        <v>221</v>
      </c>
      <c r="N36" s="21" t="s">
        <v>256</v>
      </c>
      <c r="O36" s="22"/>
      <c r="P36" s="21" t="s">
        <v>36</v>
      </c>
      <c r="Q36" s="21" t="s">
        <v>78</v>
      </c>
      <c r="R36" s="31" t="s">
        <v>294</v>
      </c>
      <c r="S36" s="22"/>
      <c r="T36" s="115">
        <v>547.5</v>
      </c>
      <c r="U36" s="20" t="str">
        <f>"355,8203"</f>
        <v>355,8203</v>
      </c>
      <c r="V36" s="102" t="s">
        <v>590</v>
      </c>
    </row>
    <row r="37" spans="1:22">
      <c r="B37" s="92" t="s">
        <v>295</v>
      </c>
      <c r="C37" s="93" t="s">
        <v>296</v>
      </c>
      <c r="D37" s="93" t="s">
        <v>297</v>
      </c>
      <c r="E37" s="93" t="str">
        <f>"0,6391"</f>
        <v>0,6391</v>
      </c>
      <c r="F37" s="93" t="s">
        <v>102</v>
      </c>
      <c r="G37" s="106" t="s">
        <v>566</v>
      </c>
      <c r="H37" s="74" t="s">
        <v>177</v>
      </c>
      <c r="I37" s="74" t="s">
        <v>298</v>
      </c>
      <c r="J37" s="94" t="s">
        <v>229</v>
      </c>
      <c r="K37" s="95"/>
      <c r="L37" s="74" t="s">
        <v>211</v>
      </c>
      <c r="M37" s="74" t="s">
        <v>181</v>
      </c>
      <c r="N37" s="94" t="s">
        <v>212</v>
      </c>
      <c r="O37" s="95"/>
      <c r="P37" s="74" t="s">
        <v>22</v>
      </c>
      <c r="Q37" s="74" t="s">
        <v>209</v>
      </c>
      <c r="R37" s="94" t="s">
        <v>183</v>
      </c>
      <c r="S37" s="95"/>
      <c r="T37" s="114">
        <v>505</v>
      </c>
      <c r="U37" s="118" t="str">
        <f>"322,7455"</f>
        <v>322,7455</v>
      </c>
      <c r="V37" s="106" t="s">
        <v>590</v>
      </c>
    </row>
    <row r="38" spans="1:22">
      <c r="A38" s="1">
        <v>1</v>
      </c>
      <c r="B38" s="17" t="s">
        <v>289</v>
      </c>
      <c r="C38" s="17" t="s">
        <v>299</v>
      </c>
      <c r="D38" s="17" t="s">
        <v>82</v>
      </c>
      <c r="E38" s="17" t="str">
        <f>"0,6444"</f>
        <v>0,6444</v>
      </c>
      <c r="F38" s="17" t="s">
        <v>15</v>
      </c>
      <c r="G38" s="106" t="s">
        <v>566</v>
      </c>
      <c r="H38" s="18" t="s">
        <v>57</v>
      </c>
      <c r="I38" s="18" t="s">
        <v>22</v>
      </c>
      <c r="J38" s="18" t="s">
        <v>65</v>
      </c>
      <c r="K38" s="19"/>
      <c r="L38" s="18" t="s">
        <v>51</v>
      </c>
      <c r="M38" s="18" t="s">
        <v>181</v>
      </c>
      <c r="N38" s="23" t="s">
        <v>176</v>
      </c>
      <c r="O38" s="19"/>
      <c r="P38" s="18" t="s">
        <v>65</v>
      </c>
      <c r="Q38" s="18" t="s">
        <v>36</v>
      </c>
      <c r="R38" s="18" t="s">
        <v>188</v>
      </c>
      <c r="S38" s="19"/>
      <c r="T38" s="116">
        <v>565</v>
      </c>
      <c r="U38" s="17" t="str">
        <f>"364,0860"</f>
        <v>364,0860</v>
      </c>
      <c r="V38" s="121" t="s">
        <v>553</v>
      </c>
    </row>
    <row r="40" spans="1:22" ht="15">
      <c r="B40" s="209" t="s">
        <v>60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</row>
    <row r="41" spans="1:22">
      <c r="A41" s="1">
        <v>1</v>
      </c>
      <c r="B41" s="13" t="s">
        <v>300</v>
      </c>
      <c r="C41" s="13" t="s">
        <v>301</v>
      </c>
      <c r="D41" s="13" t="s">
        <v>302</v>
      </c>
      <c r="E41" s="13" t="str">
        <f>"0,6139"</f>
        <v>0,6139</v>
      </c>
      <c r="F41" s="13" t="s">
        <v>102</v>
      </c>
      <c r="G41" s="106" t="s">
        <v>566</v>
      </c>
      <c r="H41" s="14" t="s">
        <v>103</v>
      </c>
      <c r="I41" s="14" t="s">
        <v>303</v>
      </c>
      <c r="J41" s="14" t="s">
        <v>105</v>
      </c>
      <c r="K41" s="15"/>
      <c r="L41" s="14" t="s">
        <v>65</v>
      </c>
      <c r="M41" s="24" t="s">
        <v>233</v>
      </c>
      <c r="N41" s="34" t="s">
        <v>37</v>
      </c>
      <c r="O41" s="15"/>
      <c r="P41" s="14" t="s">
        <v>304</v>
      </c>
      <c r="Q41" s="14" t="s">
        <v>279</v>
      </c>
      <c r="R41" s="14" t="s">
        <v>305</v>
      </c>
      <c r="S41" s="15"/>
      <c r="T41" s="113">
        <v>782.5</v>
      </c>
      <c r="U41" s="13" t="str">
        <f>"480,3768"</f>
        <v>480,3768</v>
      </c>
      <c r="V41" s="102" t="s">
        <v>590</v>
      </c>
    </row>
    <row r="42" spans="1:22">
      <c r="A42" s="1">
        <v>2</v>
      </c>
      <c r="B42" s="92" t="s">
        <v>306</v>
      </c>
      <c r="C42" s="93" t="s">
        <v>307</v>
      </c>
      <c r="D42" s="93" t="s">
        <v>308</v>
      </c>
      <c r="E42" s="93" t="str">
        <f>"0,6108"</f>
        <v>0,6108</v>
      </c>
      <c r="F42" s="93" t="s">
        <v>102</v>
      </c>
      <c r="G42" s="106" t="s">
        <v>566</v>
      </c>
      <c r="H42" s="74" t="s">
        <v>66</v>
      </c>
      <c r="I42" s="94" t="s">
        <v>309</v>
      </c>
      <c r="J42" s="74" t="s">
        <v>309</v>
      </c>
      <c r="K42" s="95"/>
      <c r="L42" s="74" t="s">
        <v>58</v>
      </c>
      <c r="M42" s="74" t="s">
        <v>229</v>
      </c>
      <c r="N42" s="94" t="s">
        <v>22</v>
      </c>
      <c r="O42" s="95"/>
      <c r="P42" s="74" t="s">
        <v>92</v>
      </c>
      <c r="Q42" s="74" t="s">
        <v>310</v>
      </c>
      <c r="R42" s="74" t="s">
        <v>104</v>
      </c>
      <c r="S42" s="95"/>
      <c r="T42" s="114">
        <v>665</v>
      </c>
      <c r="U42" s="118" t="str">
        <f>"406,1820"</f>
        <v>406,1820</v>
      </c>
      <c r="V42" s="106" t="s">
        <v>590</v>
      </c>
    </row>
    <row r="43" spans="1:22">
      <c r="A43" s="1">
        <v>3</v>
      </c>
      <c r="B43" s="20" t="s">
        <v>311</v>
      </c>
      <c r="C43" s="20" t="s">
        <v>312</v>
      </c>
      <c r="D43" s="20" t="s">
        <v>313</v>
      </c>
      <c r="E43" s="20" t="str">
        <f>"0,6257"</f>
        <v>0,6257</v>
      </c>
      <c r="F43" s="20" t="s">
        <v>15</v>
      </c>
      <c r="G43" s="20" t="s">
        <v>314</v>
      </c>
      <c r="H43" s="21" t="s">
        <v>35</v>
      </c>
      <c r="I43" s="21" t="s">
        <v>36</v>
      </c>
      <c r="J43" s="31" t="s">
        <v>188</v>
      </c>
      <c r="K43" s="22"/>
      <c r="L43" s="21" t="s">
        <v>158</v>
      </c>
      <c r="M43" s="31" t="s">
        <v>315</v>
      </c>
      <c r="N43" s="31" t="s">
        <v>315</v>
      </c>
      <c r="O43" s="22"/>
      <c r="P43" s="21" t="s">
        <v>36</v>
      </c>
      <c r="Q43" s="21" t="s">
        <v>67</v>
      </c>
      <c r="R43" s="21" t="s">
        <v>114</v>
      </c>
      <c r="S43" s="22"/>
      <c r="T43" s="115">
        <v>615</v>
      </c>
      <c r="U43" s="20" t="str">
        <f>"384,8055"</f>
        <v>384,8055</v>
      </c>
      <c r="V43" s="121" t="s">
        <v>553</v>
      </c>
    </row>
    <row r="44" spans="1:22">
      <c r="B44" s="92" t="s">
        <v>316</v>
      </c>
      <c r="C44" s="93" t="s">
        <v>317</v>
      </c>
      <c r="D44" s="93" t="s">
        <v>318</v>
      </c>
      <c r="E44" s="93" t="str">
        <f>"0,6169"</f>
        <v>0,6169</v>
      </c>
      <c r="F44" s="93" t="s">
        <v>102</v>
      </c>
      <c r="G44" s="106" t="s">
        <v>566</v>
      </c>
      <c r="H44" s="94" t="s">
        <v>263</v>
      </c>
      <c r="I44" s="74" t="s">
        <v>263</v>
      </c>
      <c r="J44" s="74" t="s">
        <v>209</v>
      </c>
      <c r="K44" s="95"/>
      <c r="L44" s="74" t="s">
        <v>176</v>
      </c>
      <c r="M44" s="94" t="s">
        <v>158</v>
      </c>
      <c r="N44" s="74" t="s">
        <v>158</v>
      </c>
      <c r="O44" s="95"/>
      <c r="P44" s="74" t="s">
        <v>92</v>
      </c>
      <c r="Q44" s="74" t="s">
        <v>310</v>
      </c>
      <c r="R44" s="74" t="s">
        <v>104</v>
      </c>
      <c r="S44" s="95"/>
      <c r="T44" s="114">
        <v>612.5</v>
      </c>
      <c r="U44" s="93" t="str">
        <f>"377,8513"</f>
        <v>377,8513</v>
      </c>
      <c r="V44" s="121" t="s">
        <v>300</v>
      </c>
    </row>
    <row r="45" spans="1:22">
      <c r="B45" s="17" t="s">
        <v>99</v>
      </c>
      <c r="C45" s="17" t="s">
        <v>319</v>
      </c>
      <c r="D45" s="17" t="s">
        <v>101</v>
      </c>
      <c r="E45" s="17" t="str">
        <f>"0,6091"</f>
        <v>0,6091</v>
      </c>
      <c r="F45" s="17" t="s">
        <v>102</v>
      </c>
      <c r="G45" s="106" t="s">
        <v>566</v>
      </c>
      <c r="H45" s="18" t="s">
        <v>151</v>
      </c>
      <c r="I45" s="18" t="s">
        <v>263</v>
      </c>
      <c r="J45" s="18" t="s">
        <v>209</v>
      </c>
      <c r="K45" s="19"/>
      <c r="L45" s="18" t="s">
        <v>51</v>
      </c>
      <c r="M45" s="18" t="s">
        <v>221</v>
      </c>
      <c r="N45" s="23" t="s">
        <v>256</v>
      </c>
      <c r="O45" s="19"/>
      <c r="P45" s="18" t="s">
        <v>92</v>
      </c>
      <c r="Q45" s="18" t="s">
        <v>320</v>
      </c>
      <c r="R45" s="18" t="s">
        <v>104</v>
      </c>
      <c r="S45" s="19"/>
      <c r="T45" s="116">
        <v>582.5</v>
      </c>
      <c r="U45" s="104" t="str">
        <f>"354,8007"</f>
        <v>354,8007</v>
      </c>
      <c r="V45" s="106" t="s">
        <v>590</v>
      </c>
    </row>
    <row r="47" spans="1:22" ht="15">
      <c r="B47" s="209" t="s">
        <v>106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</row>
    <row r="48" spans="1:22">
      <c r="A48" s="1">
        <v>1</v>
      </c>
      <c r="B48" s="13" t="s">
        <v>321</v>
      </c>
      <c r="C48" s="13" t="s">
        <v>322</v>
      </c>
      <c r="D48" s="13" t="s">
        <v>323</v>
      </c>
      <c r="E48" s="13" t="str">
        <f>"0,5900"</f>
        <v>0,5900</v>
      </c>
      <c r="F48" s="13" t="s">
        <v>324</v>
      </c>
      <c r="G48" s="106" t="s">
        <v>566</v>
      </c>
      <c r="H48" s="24" t="s">
        <v>67</v>
      </c>
      <c r="I48" s="14" t="s">
        <v>67</v>
      </c>
      <c r="J48" s="14" t="s">
        <v>114</v>
      </c>
      <c r="K48" s="15"/>
      <c r="L48" s="14" t="s">
        <v>263</v>
      </c>
      <c r="M48" s="14" t="s">
        <v>209</v>
      </c>
      <c r="N48" s="24" t="s">
        <v>65</v>
      </c>
      <c r="O48" s="15"/>
      <c r="P48" s="14" t="s">
        <v>97</v>
      </c>
      <c r="Q48" s="14" t="s">
        <v>110</v>
      </c>
      <c r="R48" s="14" t="s">
        <v>279</v>
      </c>
      <c r="S48" s="15"/>
      <c r="T48" s="113">
        <v>727.5</v>
      </c>
      <c r="U48" s="13" t="str">
        <f>"429,2250"</f>
        <v>429,2250</v>
      </c>
      <c r="V48" s="102" t="s">
        <v>591</v>
      </c>
    </row>
    <row r="49" spans="1:22">
      <c r="A49" s="1">
        <v>2</v>
      </c>
      <c r="B49" s="92" t="s">
        <v>325</v>
      </c>
      <c r="C49" s="93" t="s">
        <v>326</v>
      </c>
      <c r="D49" s="93" t="s">
        <v>327</v>
      </c>
      <c r="E49" s="93" t="str">
        <f>"0,5968"</f>
        <v>0,5968</v>
      </c>
      <c r="F49" s="93" t="s">
        <v>15</v>
      </c>
      <c r="G49" s="106" t="s">
        <v>566</v>
      </c>
      <c r="H49" s="94" t="s">
        <v>22</v>
      </c>
      <c r="I49" s="74" t="s">
        <v>65</v>
      </c>
      <c r="J49" s="94" t="s">
        <v>37</v>
      </c>
      <c r="K49" s="95"/>
      <c r="L49" s="74" t="s">
        <v>211</v>
      </c>
      <c r="M49" s="74" t="s">
        <v>181</v>
      </c>
      <c r="N49" s="74" t="s">
        <v>56</v>
      </c>
      <c r="O49" s="95"/>
      <c r="P49" s="74" t="s">
        <v>65</v>
      </c>
      <c r="Q49" s="74" t="s">
        <v>35</v>
      </c>
      <c r="R49" s="94" t="s">
        <v>67</v>
      </c>
      <c r="S49" s="95"/>
      <c r="T49" s="114">
        <v>560</v>
      </c>
      <c r="U49" s="93" t="str">
        <f>"334,2080"</f>
        <v>334,2080</v>
      </c>
      <c r="V49" s="121" t="s">
        <v>553</v>
      </c>
    </row>
    <row r="51" spans="1:22" ht="15">
      <c r="B51" s="209" t="s">
        <v>184</v>
      </c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</row>
    <row r="52" spans="1:22">
      <c r="A52" s="1">
        <v>1</v>
      </c>
      <c r="B52" s="8" t="s">
        <v>328</v>
      </c>
      <c r="C52" s="8" t="s">
        <v>329</v>
      </c>
      <c r="D52" s="8" t="s">
        <v>330</v>
      </c>
      <c r="E52" s="8" t="str">
        <f>"0,5837"</f>
        <v>0,5837</v>
      </c>
      <c r="F52" s="8" t="s">
        <v>102</v>
      </c>
      <c r="G52" s="106" t="s">
        <v>566</v>
      </c>
      <c r="H52" s="9" t="s">
        <v>310</v>
      </c>
      <c r="I52" s="9" t="s">
        <v>331</v>
      </c>
      <c r="J52" s="12" t="s">
        <v>304</v>
      </c>
      <c r="K52" s="10"/>
      <c r="L52" s="9" t="s">
        <v>77</v>
      </c>
      <c r="M52" s="9" t="s">
        <v>65</v>
      </c>
      <c r="N52" s="12" t="s">
        <v>210</v>
      </c>
      <c r="O52" s="10"/>
      <c r="P52" s="9" t="s">
        <v>103</v>
      </c>
      <c r="Q52" s="9" t="s">
        <v>104</v>
      </c>
      <c r="R52" s="12" t="s">
        <v>332</v>
      </c>
      <c r="S52" s="10"/>
      <c r="T52" s="11">
        <v>732.5</v>
      </c>
      <c r="U52" s="120" t="str">
        <f>"427,5603"</f>
        <v>427,5603</v>
      </c>
      <c r="V52" s="106" t="s">
        <v>590</v>
      </c>
    </row>
    <row r="54" spans="1:22" ht="15">
      <c r="F54" s="25"/>
    </row>
    <row r="56" spans="1:22" ht="18">
      <c r="B56" s="26" t="s">
        <v>120</v>
      </c>
      <c r="C56" s="26"/>
    </row>
    <row r="57" spans="1:22" ht="18">
      <c r="B57" s="26"/>
      <c r="C57" s="26"/>
    </row>
    <row r="58" spans="1:22" ht="15">
      <c r="B58" s="27" t="s">
        <v>333</v>
      </c>
      <c r="C58" s="27"/>
    </row>
    <row r="59" spans="1:22" ht="14.25">
      <c r="B59" s="189" t="s">
        <v>122</v>
      </c>
      <c r="C59" s="28"/>
    </row>
    <row r="60" spans="1:22" ht="15">
      <c r="B60" s="29" t="s">
        <v>123</v>
      </c>
      <c r="C60" s="29" t="s">
        <v>124</v>
      </c>
      <c r="D60" s="29" t="s">
        <v>125</v>
      </c>
      <c r="E60" s="29" t="s">
        <v>126</v>
      </c>
      <c r="F60" s="29" t="s">
        <v>127</v>
      </c>
    </row>
    <row r="61" spans="1:22">
      <c r="A61" s="1">
        <v>1</v>
      </c>
      <c r="B61" s="190" t="s">
        <v>245</v>
      </c>
      <c r="C61" s="101" t="s">
        <v>122</v>
      </c>
      <c r="D61" s="101" t="s">
        <v>334</v>
      </c>
      <c r="E61" s="101" t="s">
        <v>335</v>
      </c>
      <c r="F61" s="3" t="s">
        <v>336</v>
      </c>
    </row>
    <row r="62" spans="1:22">
      <c r="A62" s="1">
        <v>2</v>
      </c>
      <c r="B62" s="190" t="s">
        <v>253</v>
      </c>
      <c r="C62" s="101" t="s">
        <v>122</v>
      </c>
      <c r="D62" s="101" t="s">
        <v>337</v>
      </c>
      <c r="E62" s="101" t="s">
        <v>338</v>
      </c>
      <c r="F62" s="3" t="s">
        <v>339</v>
      </c>
    </row>
    <row r="63" spans="1:22">
      <c r="A63" s="1">
        <v>3</v>
      </c>
      <c r="B63" s="190" t="s">
        <v>258</v>
      </c>
      <c r="C63" s="101" t="s">
        <v>122</v>
      </c>
      <c r="D63" s="101" t="s">
        <v>140</v>
      </c>
      <c r="E63" s="101" t="s">
        <v>340</v>
      </c>
      <c r="F63" s="3" t="s">
        <v>341</v>
      </c>
    </row>
    <row r="64" spans="1:22">
      <c r="B64" s="190" t="s">
        <v>264</v>
      </c>
      <c r="C64" s="101" t="s">
        <v>122</v>
      </c>
      <c r="D64" s="101" t="s">
        <v>140</v>
      </c>
      <c r="E64" s="101" t="s">
        <v>342</v>
      </c>
      <c r="F64" s="3" t="s">
        <v>343</v>
      </c>
    </row>
    <row r="65" spans="1:6">
      <c r="B65" s="190" t="s">
        <v>249</v>
      </c>
      <c r="C65" s="101" t="s">
        <v>122</v>
      </c>
      <c r="D65" s="101" t="s">
        <v>344</v>
      </c>
      <c r="E65" s="101" t="s">
        <v>188</v>
      </c>
      <c r="F65" s="3" t="s">
        <v>345</v>
      </c>
    </row>
    <row r="66" spans="1:6">
      <c r="B66" s="190" t="s">
        <v>240</v>
      </c>
      <c r="C66" s="101" t="s">
        <v>122</v>
      </c>
      <c r="D66" s="101" t="s">
        <v>346</v>
      </c>
      <c r="E66" s="101" t="s">
        <v>283</v>
      </c>
      <c r="F66" s="3" t="s">
        <v>347</v>
      </c>
    </row>
    <row r="68" spans="1:6" ht="15">
      <c r="B68" s="27" t="s">
        <v>121</v>
      </c>
      <c r="C68" s="27"/>
    </row>
    <row r="69" spans="1:6" ht="14.25">
      <c r="B69" s="189" t="s">
        <v>122</v>
      </c>
      <c r="C69" s="28"/>
    </row>
    <row r="70" spans="1:6" ht="15">
      <c r="B70" s="29" t="s">
        <v>123</v>
      </c>
      <c r="C70" s="29" t="s">
        <v>124</v>
      </c>
      <c r="D70" s="29" t="s">
        <v>125</v>
      </c>
      <c r="E70" s="29" t="s">
        <v>126</v>
      </c>
      <c r="F70" s="29" t="s">
        <v>127</v>
      </c>
    </row>
    <row r="71" spans="1:6">
      <c r="A71" s="1">
        <v>1</v>
      </c>
      <c r="B71" s="190" t="s">
        <v>300</v>
      </c>
      <c r="C71" s="101" t="s">
        <v>122</v>
      </c>
      <c r="D71" s="101" t="s">
        <v>130</v>
      </c>
      <c r="E71" s="101" t="s">
        <v>348</v>
      </c>
      <c r="F71" s="3" t="s">
        <v>349</v>
      </c>
    </row>
    <row r="72" spans="1:6">
      <c r="A72" s="1">
        <v>2</v>
      </c>
      <c r="B72" s="190" t="s">
        <v>274</v>
      </c>
      <c r="C72" s="101" t="s">
        <v>122</v>
      </c>
      <c r="D72" s="101" t="s">
        <v>137</v>
      </c>
      <c r="E72" s="101" t="s">
        <v>350</v>
      </c>
      <c r="F72" s="3" t="s">
        <v>351</v>
      </c>
    </row>
    <row r="73" spans="1:6">
      <c r="A73" s="1">
        <v>3</v>
      </c>
      <c r="B73" s="190" t="s">
        <v>286</v>
      </c>
      <c r="C73" s="101" t="s">
        <v>122</v>
      </c>
      <c r="D73" s="101" t="s">
        <v>128</v>
      </c>
      <c r="E73" s="101" t="s">
        <v>352</v>
      </c>
      <c r="F73" s="3" t="s">
        <v>353</v>
      </c>
    </row>
    <row r="74" spans="1:6">
      <c r="B74" s="190" t="s">
        <v>321</v>
      </c>
      <c r="C74" s="101" t="s">
        <v>122</v>
      </c>
      <c r="D74" s="101" t="s">
        <v>134</v>
      </c>
      <c r="E74" s="101" t="s">
        <v>354</v>
      </c>
      <c r="F74" s="3" t="s">
        <v>355</v>
      </c>
    </row>
    <row r="75" spans="1:6">
      <c r="B75" s="190" t="s">
        <v>328</v>
      </c>
      <c r="C75" s="101" t="s">
        <v>122</v>
      </c>
      <c r="D75" s="101" t="s">
        <v>356</v>
      </c>
      <c r="E75" s="101" t="s">
        <v>357</v>
      </c>
      <c r="F75" s="3" t="s">
        <v>358</v>
      </c>
    </row>
    <row r="76" spans="1:6">
      <c r="B76" s="190" t="s">
        <v>306</v>
      </c>
      <c r="C76" s="101" t="s">
        <v>122</v>
      </c>
      <c r="D76" s="101" t="s">
        <v>130</v>
      </c>
      <c r="E76" s="101" t="s">
        <v>359</v>
      </c>
      <c r="F76" s="3" t="s">
        <v>360</v>
      </c>
    </row>
    <row r="77" spans="1:6">
      <c r="B77" s="190" t="s">
        <v>311</v>
      </c>
      <c r="C77" s="101" t="s">
        <v>122</v>
      </c>
      <c r="D77" s="101" t="s">
        <v>130</v>
      </c>
      <c r="E77" s="101" t="s">
        <v>361</v>
      </c>
      <c r="F77" s="3" t="s">
        <v>362</v>
      </c>
    </row>
    <row r="78" spans="1:6">
      <c r="B78" s="190" t="s">
        <v>316</v>
      </c>
      <c r="C78" s="101" t="s">
        <v>122</v>
      </c>
      <c r="D78" s="101" t="s">
        <v>130</v>
      </c>
      <c r="E78" s="101" t="s">
        <v>363</v>
      </c>
      <c r="F78" s="3" t="s">
        <v>364</v>
      </c>
    </row>
    <row r="79" spans="1:6">
      <c r="B79" s="190" t="s">
        <v>289</v>
      </c>
      <c r="C79" s="101" t="s">
        <v>122</v>
      </c>
      <c r="D79" s="101" t="s">
        <v>128</v>
      </c>
      <c r="E79" s="101" t="s">
        <v>365</v>
      </c>
      <c r="F79" s="3" t="s">
        <v>366</v>
      </c>
    </row>
    <row r="80" spans="1:6">
      <c r="B80" s="190" t="s">
        <v>291</v>
      </c>
      <c r="C80" s="101" t="s">
        <v>122</v>
      </c>
      <c r="D80" s="101" t="s">
        <v>128</v>
      </c>
      <c r="E80" s="101" t="s">
        <v>367</v>
      </c>
      <c r="F80" s="3" t="s">
        <v>368</v>
      </c>
    </row>
    <row r="81" spans="2:6">
      <c r="B81" s="190" t="s">
        <v>99</v>
      </c>
      <c r="C81" s="101" t="s">
        <v>122</v>
      </c>
      <c r="D81" s="101" t="s">
        <v>130</v>
      </c>
      <c r="E81" s="101" t="s">
        <v>369</v>
      </c>
      <c r="F81" s="3" t="s">
        <v>370</v>
      </c>
    </row>
    <row r="82" spans="2:6">
      <c r="B82" s="190" t="s">
        <v>69</v>
      </c>
      <c r="C82" s="101" t="s">
        <v>122</v>
      </c>
      <c r="D82" s="101" t="s">
        <v>140</v>
      </c>
      <c r="E82" s="101" t="s">
        <v>371</v>
      </c>
      <c r="F82" s="3" t="s">
        <v>372</v>
      </c>
    </row>
    <row r="83" spans="2:6">
      <c r="B83" s="190" t="s">
        <v>325</v>
      </c>
      <c r="C83" s="101" t="s">
        <v>122</v>
      </c>
      <c r="D83" s="101" t="s">
        <v>134</v>
      </c>
      <c r="E83" s="101" t="s">
        <v>373</v>
      </c>
      <c r="F83" s="3" t="s">
        <v>374</v>
      </c>
    </row>
    <row r="84" spans="2:6">
      <c r="B84" s="190" t="s">
        <v>295</v>
      </c>
      <c r="C84" s="101" t="s">
        <v>122</v>
      </c>
      <c r="D84" s="101" t="s">
        <v>128</v>
      </c>
      <c r="E84" s="101" t="s">
        <v>375</v>
      </c>
      <c r="F84" s="3" t="s">
        <v>376</v>
      </c>
    </row>
    <row r="85" spans="2:6">
      <c r="B85" s="190" t="s">
        <v>280</v>
      </c>
      <c r="C85" s="101" t="s">
        <v>122</v>
      </c>
      <c r="D85" s="101" t="s">
        <v>137</v>
      </c>
      <c r="E85" s="101" t="s">
        <v>377</v>
      </c>
      <c r="F85" s="3" t="s">
        <v>378</v>
      </c>
    </row>
  </sheetData>
  <sheetProtection selectLockedCells="1" selectUnlockedCells="1"/>
  <mergeCells count="25"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  <mergeCell ref="B5:U5"/>
    <mergeCell ref="B9:U9"/>
    <mergeCell ref="B13:U13"/>
    <mergeCell ref="B40:U40"/>
    <mergeCell ref="B47:U47"/>
    <mergeCell ref="B51:U51"/>
    <mergeCell ref="B16:U16"/>
    <mergeCell ref="B19:U19"/>
    <mergeCell ref="B23:U23"/>
    <mergeCell ref="B26:U26"/>
    <mergeCell ref="B29:U29"/>
    <mergeCell ref="B33:U33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topLeftCell="C1" zoomScale="90" zoomScaleNormal="90" workbookViewId="0">
      <selection activeCell="N14" sqref="N14"/>
    </sheetView>
  </sheetViews>
  <sheetFormatPr defaultRowHeight="12.75"/>
  <cols>
    <col min="1" max="1" width="4.85546875" style="1" customWidth="1"/>
    <col min="2" max="2" width="17.5703125" style="2" customWidth="1"/>
    <col min="3" max="3" width="30.85546875" style="2" customWidth="1"/>
    <col min="4" max="4" width="13.42578125" style="2" customWidth="1"/>
    <col min="5" max="5" width="8.42578125" style="2" customWidth="1"/>
    <col min="6" max="6" width="17.140625" style="2" customWidth="1"/>
    <col min="7" max="7" width="41.85546875" style="2" customWidth="1"/>
    <col min="8" max="11" width="5.28515625" style="2" customWidth="1"/>
    <col min="12" max="12" width="7.85546875" style="3" customWidth="1"/>
    <col min="13" max="13" width="9.85546875" style="2" customWidth="1"/>
    <col min="14" max="14" width="25.7109375" style="2" customWidth="1"/>
  </cols>
  <sheetData>
    <row r="1" spans="1:14" s="5" customFormat="1" ht="15" customHeight="1">
      <c r="A1" s="4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5" customFormat="1" ht="94.5" customHeight="1">
      <c r="A2" s="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s="6" customFormat="1" ht="12.75" customHeight="1">
      <c r="B3" s="208" t="s">
        <v>1</v>
      </c>
      <c r="C3" s="203" t="s">
        <v>2</v>
      </c>
      <c r="D3" s="202" t="s">
        <v>3</v>
      </c>
      <c r="E3" s="202" t="s">
        <v>4</v>
      </c>
      <c r="F3" s="202" t="s">
        <v>5</v>
      </c>
      <c r="G3" s="202" t="s">
        <v>548</v>
      </c>
      <c r="H3" s="204" t="s">
        <v>6</v>
      </c>
      <c r="I3" s="204"/>
      <c r="J3" s="204"/>
      <c r="K3" s="204"/>
      <c r="L3" s="202" t="s">
        <v>7</v>
      </c>
      <c r="M3" s="202" t="s">
        <v>8</v>
      </c>
      <c r="N3" s="205" t="s">
        <v>9</v>
      </c>
    </row>
    <row r="4" spans="1:14" s="6" customFormat="1" ht="33.75" customHeight="1">
      <c r="B4" s="208"/>
      <c r="C4" s="203"/>
      <c r="D4" s="203"/>
      <c r="E4" s="203"/>
      <c r="F4" s="203"/>
      <c r="G4" s="203"/>
      <c r="H4" s="7">
        <v>1</v>
      </c>
      <c r="I4" s="7">
        <v>2</v>
      </c>
      <c r="J4" s="7">
        <v>3</v>
      </c>
      <c r="K4" s="7" t="s">
        <v>10</v>
      </c>
      <c r="L4" s="202"/>
      <c r="M4" s="202"/>
      <c r="N4" s="205"/>
    </row>
    <row r="5" spans="1:14" ht="15">
      <c r="B5" s="206" t="s">
        <v>11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4">
      <c r="A6" s="1">
        <v>1</v>
      </c>
      <c r="B6" s="8" t="s">
        <v>12</v>
      </c>
      <c r="C6" s="8" t="s">
        <v>13</v>
      </c>
      <c r="D6" s="8" t="s">
        <v>14</v>
      </c>
      <c r="E6" s="8" t="str">
        <f>"1,2485"</f>
        <v>1,2485</v>
      </c>
      <c r="F6" s="8" t="s">
        <v>15</v>
      </c>
      <c r="G6" s="77" t="s">
        <v>559</v>
      </c>
      <c r="H6" s="9" t="s">
        <v>16</v>
      </c>
      <c r="I6" s="10"/>
      <c r="J6" s="10"/>
      <c r="K6" s="10"/>
      <c r="L6" s="112">
        <v>100</v>
      </c>
      <c r="M6" s="8" t="str">
        <f>"124,8500"</f>
        <v>124,8500</v>
      </c>
      <c r="N6" s="77" t="s">
        <v>553</v>
      </c>
    </row>
  </sheetData>
  <sheetProtection selectLockedCells="1" selectUnlockedCells="1"/>
  <mergeCells count="12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zoomScale="90" zoomScaleNormal="90" workbookViewId="0">
      <selection activeCell="C23" sqref="C23"/>
    </sheetView>
  </sheetViews>
  <sheetFormatPr defaultRowHeight="12.75"/>
  <cols>
    <col min="1" max="1" width="4.28515625" style="1" customWidth="1"/>
    <col min="2" max="2" width="27.42578125" style="2" customWidth="1"/>
    <col min="3" max="3" width="27.85546875" style="2" customWidth="1"/>
    <col min="4" max="4" width="13.42578125" style="2" customWidth="1"/>
    <col min="5" max="5" width="8.42578125" style="2" customWidth="1"/>
    <col min="6" max="6" width="22.7109375" style="2" customWidth="1"/>
    <col min="7" max="7" width="39.5703125" style="2" customWidth="1"/>
    <col min="8" max="10" width="5.5703125" style="2" customWidth="1"/>
    <col min="11" max="11" width="4.5703125" style="2" customWidth="1"/>
    <col min="12" max="12" width="7.85546875" style="3" customWidth="1"/>
    <col min="13" max="13" width="9.5703125" style="2" customWidth="1"/>
    <col min="14" max="14" width="19.7109375" style="2" customWidth="1"/>
  </cols>
  <sheetData>
    <row r="1" spans="1:14" s="5" customFormat="1" ht="15" customHeight="1">
      <c r="A1" s="4"/>
      <c r="B1" s="207" t="s">
        <v>606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5" customFormat="1" ht="81.75" customHeight="1">
      <c r="A2" s="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s="6" customFormat="1" ht="12.75" customHeight="1">
      <c r="B3" s="208" t="s">
        <v>1</v>
      </c>
      <c r="C3" s="203" t="s">
        <v>2</v>
      </c>
      <c r="D3" s="202" t="s">
        <v>3</v>
      </c>
      <c r="E3" s="202" t="s">
        <v>4</v>
      </c>
      <c r="F3" s="202" t="s">
        <v>5</v>
      </c>
      <c r="G3" s="202" t="s">
        <v>548</v>
      </c>
      <c r="H3" s="204" t="s">
        <v>6</v>
      </c>
      <c r="I3" s="204"/>
      <c r="J3" s="204"/>
      <c r="K3" s="204"/>
      <c r="L3" s="202" t="s">
        <v>7</v>
      </c>
      <c r="M3" s="202" t="s">
        <v>8</v>
      </c>
      <c r="N3" s="205" t="s">
        <v>9</v>
      </c>
    </row>
    <row r="4" spans="1:14" s="6" customFormat="1" ht="33.75" customHeight="1">
      <c r="B4" s="208"/>
      <c r="C4" s="203"/>
      <c r="D4" s="203"/>
      <c r="E4" s="203"/>
      <c r="F4" s="203"/>
      <c r="G4" s="203"/>
      <c r="H4" s="7">
        <v>1</v>
      </c>
      <c r="I4" s="7">
        <v>2</v>
      </c>
      <c r="J4" s="7">
        <v>3</v>
      </c>
      <c r="K4" s="7" t="s">
        <v>10</v>
      </c>
      <c r="L4" s="202"/>
      <c r="M4" s="202"/>
      <c r="N4" s="205"/>
    </row>
    <row r="5" spans="1:14" ht="15">
      <c r="B5" s="206" t="s">
        <v>17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4">
      <c r="A6" s="1">
        <v>1</v>
      </c>
      <c r="B6" s="8" t="s">
        <v>18</v>
      </c>
      <c r="C6" s="8" t="s">
        <v>19</v>
      </c>
      <c r="D6" s="8" t="s">
        <v>20</v>
      </c>
      <c r="E6" s="8" t="str">
        <f>"0,6417"</f>
        <v>0,6417</v>
      </c>
      <c r="F6" s="8" t="s">
        <v>15</v>
      </c>
      <c r="G6" s="77" t="s">
        <v>559</v>
      </c>
      <c r="H6" s="12" t="s">
        <v>21</v>
      </c>
      <c r="I6" s="9" t="s">
        <v>21</v>
      </c>
      <c r="J6" s="12" t="s">
        <v>22</v>
      </c>
      <c r="K6" s="10"/>
      <c r="L6" s="11">
        <v>157.5</v>
      </c>
      <c r="M6" s="8" t="str">
        <f>"101,0678"</f>
        <v>101,0678</v>
      </c>
      <c r="N6" s="77" t="s">
        <v>553</v>
      </c>
    </row>
  </sheetData>
  <sheetProtection selectLockedCells="1" selectUnlockedCells="1"/>
  <mergeCells count="12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Тяга в экипировке ДК</vt:lpstr>
      <vt:lpstr>Тяга без экипировки ДК</vt:lpstr>
      <vt:lpstr>Тяга без экипировки</vt:lpstr>
      <vt:lpstr>ПЛ бинты</vt:lpstr>
      <vt:lpstr>ПЛ бинты ДК</vt:lpstr>
      <vt:lpstr>ПЛ без экипировки ДК</vt:lpstr>
      <vt:lpstr>ПЛ без экипировки</vt:lpstr>
      <vt:lpstr>Присед в бинтах ДК</vt:lpstr>
      <vt:lpstr>Присед без экипировки ДК</vt:lpstr>
      <vt:lpstr>Присед без экипировки</vt:lpstr>
      <vt:lpstr>Жим однослой ДК</vt:lpstr>
      <vt:lpstr>Жим однослой</vt:lpstr>
      <vt:lpstr>Жим без экипировки ДК</vt:lpstr>
      <vt:lpstr>Жим без экипировки</vt:lpstr>
      <vt:lpstr>Пауэрспорт</vt:lpstr>
      <vt:lpstr>Народный жим ДК</vt:lpstr>
      <vt:lpstr>Народный жим</vt:lpstr>
      <vt:lpstr>'Жим без экипировки'!Excel_BuiltIn__FilterDatabase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Длужневский</dc:creator>
  <cp:lastModifiedBy>Сергей Длужневский</cp:lastModifiedBy>
  <dcterms:created xsi:type="dcterms:W3CDTF">2015-05-27T15:10:14Z</dcterms:created>
  <dcterms:modified xsi:type="dcterms:W3CDTF">2015-05-27T15:10:14Z</dcterms:modified>
</cp:coreProperties>
</file>