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codeName="ЭтаКнига" autoCompressPictures="0"/>
  <bookViews>
    <workbookView xWindow="480" yWindow="20" windowWidth="11340" windowHeight="9700" firstSheet="5" activeTab="5"/>
  </bookViews>
  <sheets>
    <sheet name="Пауэрлифтинг без экипировки" sheetId="8" r:id="rId1"/>
    <sheet name="Пауэрлифтинг в бинтах" sheetId="10" r:id="rId2"/>
    <sheet name="Присед без экипировки" sheetId="12" r:id="rId3"/>
    <sheet name="Присед в бинтах" sheetId="13" r:id="rId4"/>
    <sheet name="Жим лежа в однослойной экипиров" sheetId="6" r:id="rId5"/>
    <sheet name="Жим лежа без экипировки" sheetId="5" r:id="rId6"/>
    <sheet name="Жим лежа в софт экипировке" sheetId="18" r:id="rId7"/>
    <sheet name="Жим лежа СФО" sheetId="9" r:id="rId8"/>
    <sheet name="Народный жим (1 вес)" sheetId="19" r:id="rId9"/>
    <sheet name="Народный жим (1_2 вес)" sheetId="20" r:id="rId10"/>
    <sheet name="Становая тяга без экипировки" sheetId="11" r:id="rId11"/>
    <sheet name="Rolling Thunder" sheetId="15" r:id="rId12"/>
    <sheet name="Apollon`s Axle" sheetId="16" r:id="rId13"/>
    <sheet name="Grip block" sheetId="17" r:id="rId14"/>
  </sheets>
  <definedNames>
    <definedName name="_xlnm._FilterDatabase" localSheetId="5" hidden="1">'Жим лежа без экипировки'!$B$1:$L$3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20" l="1"/>
  <c r="E7" i="20"/>
  <c r="K6" i="20"/>
  <c r="E6" i="20"/>
  <c r="K35" i="19"/>
  <c r="E35" i="19"/>
  <c r="K34" i="19"/>
  <c r="E34" i="19"/>
  <c r="K33" i="19"/>
  <c r="E33" i="19"/>
  <c r="K30" i="19"/>
  <c r="E30" i="19"/>
  <c r="K29" i="19"/>
  <c r="E29" i="19"/>
  <c r="K28" i="19"/>
  <c r="E28" i="19"/>
  <c r="K27" i="19"/>
  <c r="E27" i="19"/>
  <c r="K26" i="19"/>
  <c r="E26" i="19"/>
  <c r="K25" i="19"/>
  <c r="E25" i="19"/>
  <c r="K22" i="19"/>
  <c r="E22" i="19"/>
  <c r="K21" i="19"/>
  <c r="E21" i="19"/>
  <c r="K20" i="19"/>
  <c r="E20" i="19"/>
  <c r="K17" i="19"/>
  <c r="E17" i="19"/>
  <c r="K16" i="19"/>
  <c r="E16" i="19"/>
  <c r="K15" i="19"/>
  <c r="E15" i="19"/>
  <c r="K14" i="19"/>
  <c r="E14" i="19"/>
  <c r="K13" i="19"/>
  <c r="E13" i="19"/>
  <c r="K12" i="19"/>
  <c r="E12" i="19"/>
  <c r="K9" i="19"/>
  <c r="E9" i="19"/>
  <c r="K6" i="19"/>
  <c r="E6" i="19"/>
  <c r="M9" i="18"/>
  <c r="E9" i="18"/>
  <c r="M6" i="18"/>
  <c r="E6" i="18"/>
  <c r="M6" i="13"/>
  <c r="E6" i="13"/>
  <c r="M7" i="12"/>
  <c r="E7" i="12"/>
  <c r="M6" i="12"/>
  <c r="E6" i="12"/>
  <c r="M12" i="11"/>
  <c r="E12" i="11"/>
  <c r="M9" i="11"/>
  <c r="E9" i="11"/>
  <c r="M6" i="11"/>
  <c r="E6" i="11"/>
  <c r="U22" i="10"/>
  <c r="E22" i="10"/>
  <c r="U19" i="10"/>
  <c r="E19" i="10"/>
  <c r="U18" i="10"/>
  <c r="E18" i="10"/>
  <c r="U15" i="10"/>
  <c r="E15" i="10"/>
  <c r="U12" i="10"/>
  <c r="E12" i="10"/>
  <c r="U11" i="10"/>
  <c r="E11" i="10"/>
  <c r="U10" i="10"/>
  <c r="E10" i="10"/>
  <c r="U9" i="10"/>
  <c r="E9" i="10"/>
  <c r="U6" i="10"/>
  <c r="E6" i="10"/>
  <c r="M9" i="9"/>
  <c r="E9" i="9"/>
  <c r="M6" i="9"/>
  <c r="E6" i="9"/>
  <c r="U18" i="8"/>
  <c r="E18" i="8"/>
  <c r="U17" i="8"/>
  <c r="E17" i="8"/>
  <c r="U14" i="8"/>
  <c r="E14" i="8"/>
  <c r="U11" i="8"/>
  <c r="E11" i="8"/>
  <c r="U10" i="8"/>
  <c r="E10" i="8"/>
  <c r="U9" i="8"/>
  <c r="E9" i="8"/>
  <c r="U6" i="8"/>
  <c r="E6" i="8"/>
  <c r="M6" i="6"/>
  <c r="E6" i="6"/>
  <c r="M63" i="5"/>
  <c r="E63" i="5"/>
  <c r="M62" i="5"/>
  <c r="E62" i="5"/>
  <c r="M61" i="5"/>
  <c r="E61" i="5"/>
  <c r="M58" i="5"/>
  <c r="E58" i="5"/>
  <c r="M57" i="5"/>
  <c r="E57" i="5"/>
  <c r="M56" i="5"/>
  <c r="E56" i="5"/>
  <c r="M53" i="5"/>
  <c r="E53" i="5"/>
  <c r="M52" i="5"/>
  <c r="E52" i="5"/>
  <c r="M51" i="5"/>
  <c r="E51" i="5"/>
  <c r="M50" i="5"/>
  <c r="E50" i="5"/>
  <c r="M49" i="5"/>
  <c r="E49" i="5"/>
  <c r="M48" i="5"/>
  <c r="E48" i="5"/>
  <c r="M47" i="5"/>
  <c r="E47" i="5"/>
  <c r="M44" i="5"/>
  <c r="E44" i="5"/>
  <c r="E43" i="5"/>
  <c r="M42" i="5"/>
  <c r="E42" i="5"/>
  <c r="M41" i="5"/>
  <c r="E41" i="5"/>
  <c r="M38" i="5"/>
  <c r="E38" i="5"/>
  <c r="M37" i="5"/>
  <c r="E37" i="5"/>
  <c r="M36" i="5"/>
  <c r="E36" i="5"/>
  <c r="M35" i="5"/>
  <c r="E35" i="5"/>
  <c r="M34" i="5"/>
  <c r="E34" i="5"/>
  <c r="M33" i="5"/>
  <c r="E33" i="5"/>
  <c r="M32" i="5"/>
  <c r="E32" i="5"/>
  <c r="M31" i="5"/>
  <c r="E31" i="5"/>
  <c r="M28" i="5"/>
  <c r="E28" i="5"/>
  <c r="M27" i="5"/>
  <c r="E27" i="5"/>
  <c r="M26" i="5"/>
  <c r="E26" i="5"/>
  <c r="M25" i="5"/>
  <c r="E25" i="5"/>
  <c r="M22" i="5"/>
  <c r="E22" i="5"/>
  <c r="M19" i="5"/>
  <c r="E19" i="5"/>
  <c r="M18" i="5"/>
  <c r="E18" i="5"/>
  <c r="M17" i="5"/>
  <c r="E17" i="5"/>
  <c r="M14" i="5"/>
  <c r="E14" i="5"/>
  <c r="M11" i="5"/>
  <c r="E11" i="5"/>
  <c r="M10" i="5"/>
  <c r="E10" i="5"/>
  <c r="M7" i="5"/>
  <c r="E7" i="5"/>
  <c r="M6" i="5"/>
  <c r="E6" i="5"/>
</calcChain>
</file>

<file path=xl/sharedStrings.xml><?xml version="1.0" encoding="utf-8"?>
<sst xmlns="http://schemas.openxmlformats.org/spreadsheetml/2006/main" count="1405" uniqueCount="463">
  <si>
    <t>ФИО</t>
  </si>
  <si>
    <t>Присед</t>
  </si>
  <si>
    <t>Жим</t>
  </si>
  <si>
    <t>Тяга</t>
  </si>
  <si>
    <t>Сумма</t>
  </si>
  <si>
    <t>С вес</t>
  </si>
  <si>
    <t>Тренер</t>
  </si>
  <si>
    <t>Очки</t>
  </si>
  <si>
    <t>Команда</t>
  </si>
  <si>
    <t>Рек</t>
  </si>
  <si>
    <t>Город</t>
  </si>
  <si>
    <t>Возр груп
Год. р./Возраст</t>
  </si>
  <si>
    <t>Wilks</t>
  </si>
  <si>
    <t>ВЕСОВАЯ КАТЕГОРИЯ   52</t>
  </si>
  <si>
    <t>Черкасова Анастасия</t>
  </si>
  <si>
    <t>Teenage 15-19 (06.04.2000)/16</t>
  </si>
  <si>
    <t xml:space="preserve">Богатыри </t>
  </si>
  <si>
    <t xml:space="preserve">Самара/Самарская область </t>
  </si>
  <si>
    <t>27,5</t>
  </si>
  <si>
    <t>30,0</t>
  </si>
  <si>
    <t>35,0</t>
  </si>
  <si>
    <t>Зубова Тамара</t>
  </si>
  <si>
    <t>Open (30.11.1981)/34</t>
  </si>
  <si>
    <t xml:space="preserve">На пульсе жизни </t>
  </si>
  <si>
    <t>57,5</t>
  </si>
  <si>
    <t>65,0</t>
  </si>
  <si>
    <t>67,5</t>
  </si>
  <si>
    <t>ВЕСОВАЯ КАТЕГОРИЯ   67.5</t>
  </si>
  <si>
    <t>Носова Анна</t>
  </si>
  <si>
    <t>Open (16.04.1986)/30</t>
  </si>
  <si>
    <t>62,70</t>
  </si>
  <si>
    <t>45,0</t>
  </si>
  <si>
    <t>55,0</t>
  </si>
  <si>
    <t>Вуколова Татьяна</t>
  </si>
  <si>
    <t>Open (19.04.1985)/31</t>
  </si>
  <si>
    <t>64,10</t>
  </si>
  <si>
    <t xml:space="preserve">Лично </t>
  </si>
  <si>
    <t>42,5</t>
  </si>
  <si>
    <t>47,5</t>
  </si>
  <si>
    <t>ВЕСОВАЯ КАТЕГОРИЯ   56</t>
  </si>
  <si>
    <t>Коновалов Евгений</t>
  </si>
  <si>
    <t>Teenage 15-19 (08.04.1999)/17</t>
  </si>
  <si>
    <t>70,0</t>
  </si>
  <si>
    <t>75,0</t>
  </si>
  <si>
    <t>82,5</t>
  </si>
  <si>
    <t>ВЕСОВАЯ КАТЕГОРИЯ   60</t>
  </si>
  <si>
    <t>Эргашев Илья</t>
  </si>
  <si>
    <t>Teenage 15-19 (16.12.1996)/19</t>
  </si>
  <si>
    <t>100,0</t>
  </si>
  <si>
    <t>110,0</t>
  </si>
  <si>
    <t>120,0</t>
  </si>
  <si>
    <t>Лукьянов Валерий</t>
  </si>
  <si>
    <t>Teenage 15-19 (17.07.1999)/16</t>
  </si>
  <si>
    <t>Open (16.12.1996)/19</t>
  </si>
  <si>
    <t>Чугунов Тимур</t>
  </si>
  <si>
    <t>Teenage 15-19 (15.10.1996)/19</t>
  </si>
  <si>
    <t>115,0</t>
  </si>
  <si>
    <t>ВЕСОВАЯ КАТЕГОРИЯ   75</t>
  </si>
  <si>
    <t>Скольдов Илья</t>
  </si>
  <si>
    <t>Teenage 15-19 (29.04.1998)/18</t>
  </si>
  <si>
    <t>87,5</t>
  </si>
  <si>
    <t>90,0</t>
  </si>
  <si>
    <t>92,5</t>
  </si>
  <si>
    <t>Софин Николай</t>
  </si>
  <si>
    <t>Open (02.07.1991)/24</t>
  </si>
  <si>
    <t>Винокуров Олег</t>
  </si>
  <si>
    <t>Masters 50-54 (10.05.1966)/50</t>
  </si>
  <si>
    <t>есин иван</t>
  </si>
  <si>
    <t>Masters 75-79 (25.12.1938)/77</t>
  </si>
  <si>
    <t>60,0</t>
  </si>
  <si>
    <t>ВЕСОВАЯ КАТЕГОРИЯ   82.5</t>
  </si>
  <si>
    <t>Габидуллин Александр</t>
  </si>
  <si>
    <t>Teenage 15-19 (06.09.1999)/16</t>
  </si>
  <si>
    <t>105,0</t>
  </si>
  <si>
    <t>Гордеев Борис</t>
  </si>
  <si>
    <t>Open (25.08.1981)/34</t>
  </si>
  <si>
    <t>140,0</t>
  </si>
  <si>
    <t>145,0</t>
  </si>
  <si>
    <t>150,0</t>
  </si>
  <si>
    <t>Хаванских Андрей</t>
  </si>
  <si>
    <t>Open (15.12.1991)/24</t>
  </si>
  <si>
    <t>Яковлев Максим</t>
  </si>
  <si>
    <t>Open (17.06.1982)/33</t>
  </si>
  <si>
    <t>147,5</t>
  </si>
  <si>
    <t>Гаршин Сергей</t>
  </si>
  <si>
    <t>Open (02.05.1987)/29</t>
  </si>
  <si>
    <t>135,0</t>
  </si>
  <si>
    <t>142,5</t>
  </si>
  <si>
    <t>Кащеев Семён</t>
  </si>
  <si>
    <t>Open (28.03.1990)/26</t>
  </si>
  <si>
    <t>112,5</t>
  </si>
  <si>
    <t>127,5</t>
  </si>
  <si>
    <t>Гугняков Александр</t>
  </si>
  <si>
    <t>Masters 40-44 (17.09.1974)/41</t>
  </si>
  <si>
    <t>155,0</t>
  </si>
  <si>
    <t>162,5</t>
  </si>
  <si>
    <t>Ососков Вадим</t>
  </si>
  <si>
    <t>Masters 40-44 (20.02.1973)/43</t>
  </si>
  <si>
    <t>ВЕСОВАЯ КАТЕГОРИЯ   90</t>
  </si>
  <si>
    <t>Сулейманов расим</t>
  </si>
  <si>
    <t>Juniors 20-23 (28.07.1993)/22</t>
  </si>
  <si>
    <t xml:space="preserve">Казань/Татарстан </t>
  </si>
  <si>
    <t>125,0</t>
  </si>
  <si>
    <t>Смородин Михаил</t>
  </si>
  <si>
    <t>Open (13.07.1980)/35</t>
  </si>
  <si>
    <t xml:space="preserve">Русская Сталь </t>
  </si>
  <si>
    <t>152,5</t>
  </si>
  <si>
    <t>157,5</t>
  </si>
  <si>
    <t xml:space="preserve">Хитрин Дмитрий </t>
  </si>
  <si>
    <t>Войцеховский Юрий</t>
  </si>
  <si>
    <t>Open (29.12.1984)/31</t>
  </si>
  <si>
    <t>160,0</t>
  </si>
  <si>
    <t>167,5</t>
  </si>
  <si>
    <t>170,0</t>
  </si>
  <si>
    <t>Трошинский Вячеслав</t>
  </si>
  <si>
    <t>Masters 55-59 (10.05.1960)/56</t>
  </si>
  <si>
    <t>132,5</t>
  </si>
  <si>
    <t>ВЕСОВАЯ КАТЕГОРИЯ   100</t>
  </si>
  <si>
    <t>Вилинский Александр</t>
  </si>
  <si>
    <t>Open (12.10.1988)/27</t>
  </si>
  <si>
    <t>185,0</t>
  </si>
  <si>
    <t>190,0</t>
  </si>
  <si>
    <t>195,0</t>
  </si>
  <si>
    <t>Нефёдов Михаил</t>
  </si>
  <si>
    <t>Open (07.05.1972)/44</t>
  </si>
  <si>
    <t>180,0</t>
  </si>
  <si>
    <t>187,5</t>
  </si>
  <si>
    <t>Зотов Дмитрий</t>
  </si>
  <si>
    <t>Open (05.06.1976)/39</t>
  </si>
  <si>
    <t>165,0</t>
  </si>
  <si>
    <t>Masters 40-44 (07.05.1972)/44</t>
  </si>
  <si>
    <t>Тресков Виктор</t>
  </si>
  <si>
    <t>Masters 45-49 (06.01.1971)/45</t>
  </si>
  <si>
    <t>130,0</t>
  </si>
  <si>
    <t>Masters 45-49 (21.07.1969)/46</t>
  </si>
  <si>
    <t>122,5</t>
  </si>
  <si>
    <t>Зайцев Владимир</t>
  </si>
  <si>
    <t>Masters 65-69 (02.11.1949)/66</t>
  </si>
  <si>
    <t>ВЕСОВАЯ КАТЕГОРИЯ   110</t>
  </si>
  <si>
    <t>Ерошкин Евгений</t>
  </si>
  <si>
    <t>Open (11.04.1979)/37</t>
  </si>
  <si>
    <t>175,0</t>
  </si>
  <si>
    <t>Майер Алексей</t>
  </si>
  <si>
    <t>Open (14.05.1984)/32</t>
  </si>
  <si>
    <t>Хитрин Дмитрий</t>
  </si>
  <si>
    <t>Open (26.02.1977)/39</t>
  </si>
  <si>
    <t>ВЕСОВАЯ КАТЕГОРИЯ   125</t>
  </si>
  <si>
    <t>Кулагин Андрей</t>
  </si>
  <si>
    <t>Open (16.09.1978)/37</t>
  </si>
  <si>
    <t>220,0</t>
  </si>
  <si>
    <t>225,0</t>
  </si>
  <si>
    <t>Миронов Александр</t>
  </si>
  <si>
    <t>Open (13.11.1983)/32</t>
  </si>
  <si>
    <t>Хмель Павел</t>
  </si>
  <si>
    <t>Open (17.07.1989)/26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</si>
  <si>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</si>
  <si>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</si>
  <si>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</si>
  <si>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</si>
  <si>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</si>
  <si>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</si>
  <si>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Открытая </t>
  </si>
  <si>
    <t xml:space="preserve">Мужчины </t>
  </si>
  <si>
    <t xml:space="preserve">82.5 </t>
  </si>
  <si>
    <t xml:space="preserve">75 </t>
  </si>
  <si>
    <t xml:space="preserve">125 </t>
  </si>
  <si>
    <t>130,5225</t>
  </si>
  <si>
    <t xml:space="preserve">100 </t>
  </si>
  <si>
    <t>119,4570</t>
  </si>
  <si>
    <t>114,3000</t>
  </si>
  <si>
    <t>Роговая Анна</t>
  </si>
  <si>
    <t>Open (14.05.1976)/40</t>
  </si>
  <si>
    <t>57,0</t>
  </si>
  <si>
    <t>72,5</t>
  </si>
  <si>
    <t>37,5</t>
  </si>
  <si>
    <t>85,0</t>
  </si>
  <si>
    <t>Булатов Владимир</t>
  </si>
  <si>
    <t>Teenage 15-19 (11.01.1999)/17</t>
  </si>
  <si>
    <t xml:space="preserve">Нефтегорск/Самарская область </t>
  </si>
  <si>
    <t>Доровских Вячеслав</t>
  </si>
  <si>
    <t>Juniors 20-23 (29.01.1995)/21</t>
  </si>
  <si>
    <t>192,5</t>
  </si>
  <si>
    <t>Горячий Алексей</t>
  </si>
  <si>
    <t>Juniors 20-23 (14.10.1994)/21</t>
  </si>
  <si>
    <t>Ткаченко Алексей</t>
  </si>
  <si>
    <t>Juniors 20-23 (15.03.1994)/22</t>
  </si>
  <si>
    <t>Open (15.03.1994)/22</t>
  </si>
  <si>
    <t>Juniors 20-23 (15.08.1995)/20</t>
  </si>
  <si>
    <t>210,0</t>
  </si>
  <si>
    <t>235,0</t>
  </si>
  <si>
    <t>240,0</t>
  </si>
  <si>
    <t>205,0</t>
  </si>
  <si>
    <t>345,0</t>
  </si>
  <si>
    <t>660,0</t>
  </si>
  <si>
    <t>460,0</t>
  </si>
  <si>
    <t>465,0</t>
  </si>
  <si>
    <t>450,0</t>
  </si>
  <si>
    <t>Калявин Максим</t>
  </si>
  <si>
    <t>Teenage 15-19 (10.04.1989)/27</t>
  </si>
  <si>
    <t>Бойкин Виктор</t>
  </si>
  <si>
    <t>Teenage 15-19 (29.05.1999)/17</t>
  </si>
  <si>
    <t xml:space="preserve">Кинель/Самарская область </t>
  </si>
  <si>
    <t>80,0</t>
  </si>
  <si>
    <t>Мамедов Руслан</t>
  </si>
  <si>
    <t>Teenage 15-19 (07.11.1996)/19</t>
  </si>
  <si>
    <t>200,0</t>
  </si>
  <si>
    <t>Козлов Алексей</t>
  </si>
  <si>
    <t>Juniors 20-23 (10.09.1992)/23</t>
  </si>
  <si>
    <t>95,0</t>
  </si>
  <si>
    <t>Решетов Дмитрий</t>
  </si>
  <si>
    <t>Open (05.06.1978)/38</t>
  </si>
  <si>
    <t>230,0</t>
  </si>
  <si>
    <t>245,0</t>
  </si>
  <si>
    <t>Селезнёв Владимир</t>
  </si>
  <si>
    <t>Juniors 20-23 (15.04.1996)/20</t>
  </si>
  <si>
    <t xml:space="preserve">Сорочинск/Оренбургская область </t>
  </si>
  <si>
    <t>172,5</t>
  </si>
  <si>
    <t>117,5</t>
  </si>
  <si>
    <t>215,0</t>
  </si>
  <si>
    <t>222,5</t>
  </si>
  <si>
    <t>Цыганков Станислав</t>
  </si>
  <si>
    <t>Open (28.10.1985)/30</t>
  </si>
  <si>
    <t>320,0</t>
  </si>
  <si>
    <t>ВЕСОВАЯ КАТЕГОРИЯ   48</t>
  </si>
  <si>
    <t>Столбова Гульназ</t>
  </si>
  <si>
    <t>Open (19.08.1980)/35</t>
  </si>
  <si>
    <t>Митрошин Дмитрий</t>
  </si>
  <si>
    <t>Juniors 20-23 (30.07.1992)/23</t>
  </si>
  <si>
    <t>Трошинский Михаил</t>
  </si>
  <si>
    <t>Open (28.10.1984)/31</t>
  </si>
  <si>
    <t>Зайцев Дмитрий</t>
  </si>
  <si>
    <t>Open (21.10.1986)/29</t>
  </si>
  <si>
    <t>Gloss</t>
  </si>
  <si>
    <t>ВЕСОВАЯ КАТЕГОРИЯ   80</t>
  </si>
  <si>
    <t>Смирнов Максим</t>
  </si>
  <si>
    <t>Open (06.09.1984)/31</t>
  </si>
  <si>
    <t>0,0</t>
  </si>
  <si>
    <t>53,0</t>
  </si>
  <si>
    <t>58,0</t>
  </si>
  <si>
    <t>Морозов Денис</t>
  </si>
  <si>
    <t>Open (27.11.1987)/28</t>
  </si>
  <si>
    <t>68,0</t>
  </si>
  <si>
    <t>73,0</t>
  </si>
  <si>
    <t>78,0</t>
  </si>
  <si>
    <t xml:space="preserve">Gloss </t>
  </si>
  <si>
    <t>Демидова Юлия</t>
  </si>
  <si>
    <t>Junior (06.01.1999)/17</t>
  </si>
  <si>
    <t>ВЕСОВАЯ КАТЕГОРИЯ   70</t>
  </si>
  <si>
    <t>Open (29.08.1985)/30</t>
  </si>
  <si>
    <t xml:space="preserve">Тольятти/Самарская область </t>
  </si>
  <si>
    <t>Добролюбов Вячеслав</t>
  </si>
  <si>
    <t>Open (03.08.1987)/28</t>
  </si>
  <si>
    <t>Колосков Владислав</t>
  </si>
  <si>
    <t>Open (04.11.1993)/22</t>
  </si>
  <si>
    <t>Царевский Олег</t>
  </si>
  <si>
    <t>Open (07.08.1983)/32</t>
  </si>
  <si>
    <t>ВЕСОВАЯ КАТЕГОРИЯ   90+</t>
  </si>
  <si>
    <t>Конопацкий Владимир</t>
  </si>
  <si>
    <t>Master 40+ (06.08.1973)/42</t>
  </si>
  <si>
    <t>Masters 40-49 (07.05.1972)/44</t>
  </si>
  <si>
    <t>Вес</t>
  </si>
  <si>
    <t>Повторы</t>
  </si>
  <si>
    <t>Teen 13-19 (16.12.1996)/19</t>
  </si>
  <si>
    <t>Teen 13-19 (15.10.1996)/19</t>
  </si>
  <si>
    <t>1012.50</t>
  </si>
  <si>
    <t>Тресцов Виктор</t>
  </si>
  <si>
    <t>Juniors 20-23 (03.12.1995)/20</t>
  </si>
  <si>
    <t>Чичкин Сергей</t>
  </si>
  <si>
    <t>Juniors 20-23 (15.07.1992)/23</t>
  </si>
  <si>
    <t>Рыжов Дмитрий</t>
  </si>
  <si>
    <t>Open (09.07.1990)/25</t>
  </si>
  <si>
    <t>Вавилов Владислав</t>
  </si>
  <si>
    <t>Open (13.10.1978)/37</t>
  </si>
  <si>
    <t>Литвишкин Артем</t>
  </si>
  <si>
    <t>Open (11.12.1984)/31</t>
  </si>
  <si>
    <t>Сорокин Вячеслав</t>
  </si>
  <si>
    <t>Open (30.03.1979)/37</t>
  </si>
  <si>
    <t>77,5</t>
  </si>
  <si>
    <t>Masters 40-49 (17.09.1974)/41</t>
  </si>
  <si>
    <t>Швецов Александр</t>
  </si>
  <si>
    <t>Teen 13-19 (04.09.1996)/19</t>
  </si>
  <si>
    <t>Поляков Владислав</t>
  </si>
  <si>
    <t>Open (16.05.1979)/37</t>
  </si>
  <si>
    <t>Астраханбеев Дмитрий</t>
  </si>
  <si>
    <t>Open (20.09.1986)/29</t>
  </si>
  <si>
    <t>Masters 50-59 (10.05.1960)/56</t>
  </si>
  <si>
    <t>Мамедов Диловар</t>
  </si>
  <si>
    <t>Juniors 20-23 (05.06.1993)/22</t>
  </si>
  <si>
    <t>97,5</t>
  </si>
  <si>
    <t>Хорощенко Николай</t>
  </si>
  <si>
    <t>Open (28.06.1986)/29</t>
  </si>
  <si>
    <t>25,0</t>
  </si>
  <si>
    <t>3750,0</t>
  </si>
  <si>
    <t>2587,1249</t>
  </si>
  <si>
    <t>3100,0</t>
  </si>
  <si>
    <t>1814,5849</t>
  </si>
  <si>
    <t>2635,0</t>
  </si>
  <si>
    <t>1775,0678</t>
  </si>
  <si>
    <t>Teen 13-19 (06.04.2000)/16</t>
  </si>
  <si>
    <t>550,0</t>
  </si>
  <si>
    <t>1750,0</t>
  </si>
  <si>
    <t>Место</t>
  </si>
  <si>
    <t>Возрастная группа
Дата рождения/Возраст</t>
  </si>
  <si>
    <t>Собств. вес</t>
  </si>
  <si>
    <t xml:space="preserve">Самостоятельно </t>
  </si>
  <si>
    <t>Результат</t>
  </si>
  <si>
    <t>Город/область</t>
  </si>
  <si>
    <t>1</t>
  </si>
  <si>
    <t>2</t>
  </si>
  <si>
    <t>3</t>
  </si>
  <si>
    <t>Рек.</t>
  </si>
  <si>
    <t>Эргашев И.</t>
  </si>
  <si>
    <t>Гордеев Б.</t>
  </si>
  <si>
    <t>Кравцев С.</t>
  </si>
  <si>
    <t xml:space="preserve">Войцеховский Ю. </t>
  </si>
  <si>
    <t>Вуколова Т.</t>
  </si>
  <si>
    <t>Хитрин Д.</t>
  </si>
  <si>
    <t xml:space="preserve">пгт Рощинский/Самарская область </t>
  </si>
  <si>
    <t>Кинель. п.Алексеевка/Самарская область</t>
  </si>
  <si>
    <t>49,8</t>
  </si>
  <si>
    <t>49,5</t>
  </si>
  <si>
    <t>52,5</t>
  </si>
  <si>
    <t>59,9</t>
  </si>
  <si>
    <t>56,4</t>
  </si>
  <si>
    <t>66,0</t>
  </si>
  <si>
    <t>70,3</t>
  </si>
  <si>
    <t>72,9</t>
  </si>
  <si>
    <t>73,5</t>
  </si>
  <si>
    <t>78,8</t>
  </si>
  <si>
    <t>77,3</t>
  </si>
  <si>
    <t>80,9</t>
  </si>
  <si>
    <t>81,2</t>
  </si>
  <si>
    <t>82,4</t>
  </si>
  <si>
    <t>82,0</t>
  </si>
  <si>
    <t>75,7</t>
  </si>
  <si>
    <t>80,1</t>
  </si>
  <si>
    <t>86,5</t>
  </si>
  <si>
    <t>87,3</t>
  </si>
  <si>
    <t>84,8</t>
  </si>
  <si>
    <t>84,2</t>
  </si>
  <si>
    <t>98,4</t>
  </si>
  <si>
    <t>99,6</t>
  </si>
  <si>
    <t>98,5</t>
  </si>
  <si>
    <t>93,5</t>
  </si>
  <si>
    <t>93,9</t>
  </si>
  <si>
    <t>108,5</t>
  </si>
  <si>
    <t>106,9</t>
  </si>
  <si>
    <t>115,7</t>
  </si>
  <si>
    <t>118,7</t>
  </si>
  <si>
    <t>116,9</t>
  </si>
  <si>
    <t>27.5</t>
  </si>
  <si>
    <t>65.0</t>
  </si>
  <si>
    <t>55.0</t>
  </si>
  <si>
    <t>47.5</t>
  </si>
  <si>
    <t>75.0</t>
  </si>
  <si>
    <t>120.0</t>
  </si>
  <si>
    <t>70.0</t>
  </si>
  <si>
    <t>115.0</t>
  </si>
  <si>
    <t>92.5</t>
  </si>
  <si>
    <t>100.0</t>
  </si>
  <si>
    <t>150.0</t>
  </si>
  <si>
    <t>145.0</t>
  </si>
  <si>
    <t>142.5</t>
  </si>
  <si>
    <t>162.5</t>
  </si>
  <si>
    <t>127.5</t>
  </si>
  <si>
    <t>157.5</t>
  </si>
  <si>
    <t>195.0</t>
  </si>
  <si>
    <t>187.5</t>
  </si>
  <si>
    <t>160.0</t>
  </si>
  <si>
    <t>130.0</t>
  </si>
  <si>
    <t>122.5</t>
  </si>
  <si>
    <t>185.0</t>
  </si>
  <si>
    <t>155.0</t>
  </si>
  <si>
    <t>152.5</t>
  </si>
  <si>
    <t>225.0</t>
  </si>
  <si>
    <t>175.0</t>
  </si>
  <si>
    <t>Сергиевск/Самарская область</t>
  </si>
  <si>
    <t xml:space="preserve">Мироненко А. </t>
  </si>
  <si>
    <t>84,4</t>
  </si>
  <si>
    <t>58.0</t>
  </si>
  <si>
    <t>78.0</t>
  </si>
  <si>
    <t>Самостоятельно</t>
  </si>
  <si>
    <t xml:space="preserve">Хитрин Д. </t>
  </si>
  <si>
    <t>63,9</t>
  </si>
  <si>
    <t>67,8</t>
  </si>
  <si>
    <t>82,3</t>
  </si>
  <si>
    <t>86,3</t>
  </si>
  <si>
    <t>108,3</t>
  </si>
  <si>
    <t xml:space="preserve">Новокуйбышевск/Самарская область </t>
  </si>
  <si>
    <t>Артамонов П.</t>
  </si>
  <si>
    <t>73,1</t>
  </si>
  <si>
    <t>94,0</t>
  </si>
  <si>
    <t>89,7</t>
  </si>
  <si>
    <t>47,7</t>
  </si>
  <si>
    <t>80,5</t>
  </si>
  <si>
    <t>102,3</t>
  </si>
  <si>
    <t>62,8</t>
  </si>
  <si>
    <t>82,1</t>
  </si>
  <si>
    <t>88,1</t>
  </si>
  <si>
    <t>97,4</t>
  </si>
  <si>
    <t>114,5</t>
  </si>
  <si>
    <t xml:space="preserve">Алексеевка/Белгородская область </t>
  </si>
  <si>
    <t>Новокуйбышевск/Самарская область</t>
  </si>
  <si>
    <t>180.0</t>
  </si>
  <si>
    <t>215.0</t>
  </si>
  <si>
    <t>68,7</t>
  </si>
  <si>
    <t>72,8</t>
  </si>
  <si>
    <t>74,8</t>
  </si>
  <si>
    <t>69,7</t>
  </si>
  <si>
    <t>86,4</t>
  </si>
  <si>
    <t>96,0</t>
  </si>
  <si>
    <t>92,7</t>
  </si>
  <si>
    <t>2220.0</t>
  </si>
  <si>
    <t>1890.0</t>
  </si>
  <si>
    <t>1950.0</t>
  </si>
  <si>
    <t>3750.0</t>
  </si>
  <si>
    <t>2380.0</t>
  </si>
  <si>
    <t>2325.0</t>
  </si>
  <si>
    <t>1960.0</t>
  </si>
  <si>
    <t>1732.5</t>
  </si>
  <si>
    <t>2635.0</t>
  </si>
  <si>
    <t>2712.5</t>
  </si>
  <si>
    <t>2625.0</t>
  </si>
  <si>
    <t>2362.5</t>
  </si>
  <si>
    <t>2275.0</t>
  </si>
  <si>
    <t>1615.0</t>
  </si>
  <si>
    <t>2535.0</t>
  </si>
  <si>
    <t>3100.0</t>
  </si>
  <si>
    <t>2375.0</t>
  </si>
  <si>
    <t>Тоннаж</t>
  </si>
  <si>
    <t xml:space="preserve">Гордеев Б. </t>
  </si>
  <si>
    <t xml:space="preserve">Юниоры 20 - 23 </t>
  </si>
  <si>
    <t>412,5000</t>
  </si>
  <si>
    <t>334,1440</t>
  </si>
  <si>
    <t>311,5035</t>
  </si>
  <si>
    <t>Попов Сергей</t>
  </si>
  <si>
    <t>0</t>
  </si>
  <si>
    <t>4</t>
  </si>
  <si>
    <t>5</t>
  </si>
  <si>
    <t>Михин Михаил</t>
  </si>
  <si>
    <t>22</t>
  </si>
  <si>
    <t>70</t>
  </si>
  <si>
    <t>Открытый Кубок Самары по пауэрлифтингу, жиму лежа, народному жиму и армлифтингу, по версиям федераций IPL/СПР/САР                                                                                                         Народный жим (1/2 вес)
04 июня 2016г.</t>
  </si>
  <si>
    <t xml:space="preserve">  </t>
  </si>
  <si>
    <t>Открытый Кубок Самары по пауэрлифтингу, жиму лежа, народному жиму и армлифтингу, по версиям федераций IPL/СПР/САР                                                                                       Народный жим (1 вес)
04 июня 2016г.</t>
  </si>
  <si>
    <t>Открытый Кубок Самары по пауэрлифтингу, жиму лежа, народному жиму и армлифтингу, по версиям федераций IPL/СПР/САР                                                                                           Two handed pinch grip block
04 июня 2016г.</t>
  </si>
  <si>
    <t>Открытый Кубок Самары по пауэрлифтингу, жиму лежа, народному жиму и армлифтингу, по версиям федераций IPL/СПР/САР                                                                                  Apollon`s Axle
04 июня 2016г.</t>
  </si>
  <si>
    <t>Открытый Кубок Самары по пауэрлифтингу, жиму лежа, народному жиму и армлифтингу, по версиям федераций IPL/СПР/САР                                                                                          Rolling Thunder
04 июня 2016г.</t>
  </si>
  <si>
    <t>Открытый Кубок Самары по пауэрлифтингу, жиму лежа, народному жиму и армлифтингу, по версиям федераций IPL/СПР/САР                                                                                                                                          Жим лежа в SOFT экипировке
04 июня 2016г.</t>
  </si>
  <si>
    <t>Открытый Кубок Самары по пауэрлифтингу, жиму лежа, народному жиму и армлифтингу, по версиям федераций IPL/СПР/САР                                                                                                                                                                  Жим лежа без экипировки
04 июня 2016г.</t>
  </si>
  <si>
    <t>Усть-Кинельский/Самарская область</t>
  </si>
  <si>
    <t>Алексеевка/Самарская область</t>
  </si>
  <si>
    <t xml:space="preserve">Рощинский/Самарская область </t>
  </si>
  <si>
    <t>Мужчины</t>
  </si>
  <si>
    <t xml:space="preserve"> </t>
  </si>
  <si>
    <t>Открытый Кубок Самары по пауэрлифтингу, жиму лежа, народному жиму и армлифтингу, по версиям федераций IPL/СПР/САР                                                                                                                                      Жим лежа в однослойной экипировке
04 июня 2016г.</t>
  </si>
  <si>
    <t>Открытый Кубок Самары по пауэрлифтингу, жиму лежа, народному жиму и армлифтингу, по версиям федераций IPL/СПР/САР                                                                                                                                               Жим лежа СФО
04 июня 2016г.</t>
  </si>
  <si>
    <t>Открытый Кубок Самары по пауэрлифтингу, жиму лежа, народному жиму и армлифтингу,                                                  по версиям федераций IPL/СПР/САР                                                                                                                                                     Пауэрлифтинг без экипировки
04 июня 2016г.</t>
  </si>
  <si>
    <t>Открытый Кубок Самары по пауэрлифтингу, жиму лежа, народному жиму и армлифтингу,                                              по версиям федераций IPL/СПР/САР                                                                                                                                                                                        Пауэрлифтинг в бинтах
04 июня 2016г.</t>
  </si>
  <si>
    <t>Открытый Кубок Самары по пауэрлифтингу, жиму лежа, народному жиму и армлифтингу,                                     по версиям федераций IPL/СПР/САР                                                                                                                      Становая тяга без экипировки
04 июня 2016г.</t>
  </si>
  <si>
    <t>Открытый Кубок Самары по пауэрлифтингу, жиму лежа, народному жиму и армлифтингу,                          по версиям федераций IPL/СПР/САР                                                                                                      Присед в бинтах
04 июня 2016г.</t>
  </si>
  <si>
    <t xml:space="preserve">   </t>
  </si>
  <si>
    <t>Открытый Кубок Самары по пауэрлифтингу, жиму лежа, народному жиму и армлифтингу,                                                                                   по версиям федераций IPL/СПР/САР                                                                                                                Присед без экипировки
04 июня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</si>
</sst>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 ;\-0.0\ "/>
    <numFmt numFmtId="166" formatCode="0.0;[Red]0.0"/>
    <numFmt numFmtId="167" formatCode="0;[Red]0"/>
  </numFmts>
  <fonts count="20" x14ac:knownFonts="1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strike/>
      <sz val="10"/>
      <color rgb="FFFF0000"/>
      <name val="Arial Cyr"/>
      <charset val="204"/>
    </font>
    <font>
      <b/>
      <strike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theme="1"/>
      <name val="Arial Cyr"/>
      <charset val="204"/>
    </font>
    <font>
      <b/>
      <sz val="24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9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4" xfId="0" applyNumberFormat="1" applyBorder="1"/>
    <xf numFmtId="49" fontId="7" fillId="0" borderId="4" xfId="0" applyNumberFormat="1" applyFont="1" applyBorder="1"/>
    <xf numFmtId="49" fontId="5" fillId="0" borderId="0" xfId="0" applyNumberFormat="1" applyFont="1" applyAlignment="1">
      <alignment horizontal="left"/>
    </xf>
    <xf numFmtId="49" fontId="2" fillId="0" borderId="0" xfId="0" applyNumberFormat="1" applyFont="1"/>
    <xf numFmtId="49" fontId="0" fillId="0" borderId="2" xfId="0" applyNumberFormat="1" applyBorder="1"/>
    <xf numFmtId="49" fontId="7" fillId="0" borderId="2" xfId="0" applyNumberFormat="1" applyFont="1" applyBorder="1"/>
    <xf numFmtId="49" fontId="0" fillId="0" borderId="5" xfId="0" applyNumberFormat="1" applyBorder="1"/>
    <xf numFmtId="49" fontId="7" fillId="0" borderId="5" xfId="0" applyNumberFormat="1" applyFont="1" applyBorder="1"/>
    <xf numFmtId="49" fontId="0" fillId="0" borderId="3" xfId="0" applyNumberFormat="1" applyBorder="1"/>
    <xf numFmtId="49" fontId="7" fillId="0" borderId="3" xfId="0" applyNumberFormat="1" applyFont="1" applyBorder="1"/>
    <xf numFmtId="49" fontId="3" fillId="0" borderId="1" xfId="0" applyNumberFormat="1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Border="1"/>
    <xf numFmtId="164" fontId="2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6" fontId="0" fillId="0" borderId="4" xfId="0" applyNumberFormat="1" applyBorder="1" applyAlignment="1">
      <alignment horizontal="left"/>
    </xf>
    <xf numFmtId="49" fontId="12" fillId="0" borderId="4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49" fontId="3" fillId="0" borderId="1" xfId="0" applyNumberFormat="1" applyFont="1" applyFill="1" applyBorder="1" applyAlignment="1">
      <alignment vertical="center"/>
    </xf>
    <xf numFmtId="49" fontId="13" fillId="0" borderId="4" xfId="0" applyNumberFormat="1" applyFont="1" applyBorder="1" applyAlignment="1"/>
    <xf numFmtId="49" fontId="2" fillId="0" borderId="0" xfId="0" applyNumberFormat="1" applyFont="1" applyAlignment="1"/>
    <xf numFmtId="49" fontId="2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/>
    <xf numFmtId="49" fontId="12" fillId="0" borderId="4" xfId="0" applyNumberFormat="1" applyFont="1" applyBorder="1" applyAlignment="1"/>
    <xf numFmtId="164" fontId="2" fillId="0" borderId="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49" fontId="3" fillId="0" borderId="4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4" fillId="0" borderId="4" xfId="0" applyNumberFormat="1" applyFont="1" applyFill="1" applyBorder="1" applyAlignment="1">
      <alignment horizontal="left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15" fillId="2" borderId="3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167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/>
    </xf>
    <xf numFmtId="167" fontId="2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65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/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 horizontal="left"/>
    </xf>
    <xf numFmtId="49" fontId="13" fillId="0" borderId="4" xfId="0" applyNumberFormat="1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workbookViewId="0">
      <selection activeCell="H39" sqref="H39"/>
    </sheetView>
  </sheetViews>
  <sheetFormatPr baseColWidth="10" defaultColWidth="8.7109375" defaultRowHeight="13" x14ac:dyDescent="0"/>
  <cols>
    <col min="1" max="1" width="7" style="32" customWidth="1"/>
    <col min="2" max="2" width="16.140625" style="19" customWidth="1"/>
    <col min="3" max="3" width="24.5703125" style="19" customWidth="1"/>
    <col min="4" max="4" width="9.5703125" style="19" customWidth="1"/>
    <col min="5" max="5" width="8.42578125" style="19" bestFit="1" customWidth="1"/>
    <col min="6" max="6" width="13" style="19" customWidth="1"/>
    <col min="7" max="7" width="30.140625" style="19" customWidth="1"/>
    <col min="8" max="10" width="5.5703125" style="23" bestFit="1" customWidth="1"/>
    <col min="11" max="11" width="4.5703125" style="19" bestFit="1" customWidth="1"/>
    <col min="12" max="14" width="5.5703125" style="71" bestFit="1" customWidth="1"/>
    <col min="15" max="15" width="4.5703125" style="71" bestFit="1" customWidth="1"/>
    <col min="16" max="18" width="5.5703125" style="71" bestFit="1" customWidth="1"/>
    <col min="19" max="19" width="4.5703125" style="19" bestFit="1" customWidth="1"/>
    <col min="20" max="20" width="7.85546875" style="74" bestFit="1" customWidth="1"/>
    <col min="21" max="21" width="8.5703125" style="74" bestFit="1" customWidth="1"/>
    <col min="22" max="22" width="15.42578125" style="19" bestFit="1" customWidth="1"/>
  </cols>
  <sheetData>
    <row r="1" spans="1:22" s="1" customFormat="1" ht="15" customHeight="1">
      <c r="A1" s="146"/>
      <c r="B1" s="148" t="s">
        <v>457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</row>
    <row r="2" spans="1:22" s="1" customFormat="1" ht="146" customHeight="1" thickBot="1">
      <c r="A2" s="147"/>
      <c r="B2" s="149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22" s="2" customFormat="1" ht="12.75" customHeight="1">
      <c r="A3" s="121" t="s">
        <v>301</v>
      </c>
      <c r="B3" s="150" t="s">
        <v>0</v>
      </c>
      <c r="C3" s="131" t="s">
        <v>302</v>
      </c>
      <c r="D3" s="131" t="s">
        <v>303</v>
      </c>
      <c r="E3" s="134" t="s">
        <v>12</v>
      </c>
      <c r="F3" s="134" t="s">
        <v>8</v>
      </c>
      <c r="G3" s="134" t="s">
        <v>306</v>
      </c>
      <c r="H3" s="134" t="s">
        <v>1</v>
      </c>
      <c r="I3" s="134"/>
      <c r="J3" s="134"/>
      <c r="K3" s="134"/>
      <c r="L3" s="152" t="s">
        <v>2</v>
      </c>
      <c r="M3" s="153"/>
      <c r="N3" s="153"/>
      <c r="O3" s="144"/>
      <c r="P3" s="134" t="s">
        <v>3</v>
      </c>
      <c r="Q3" s="134"/>
      <c r="R3" s="134"/>
      <c r="S3" s="134"/>
      <c r="T3" s="134" t="s">
        <v>4</v>
      </c>
      <c r="U3" s="134" t="s">
        <v>7</v>
      </c>
      <c r="V3" s="135" t="s">
        <v>6</v>
      </c>
    </row>
    <row r="4" spans="1:22" s="2" customFormat="1" ht="21" customHeight="1" thickBot="1">
      <c r="A4" s="122"/>
      <c r="B4" s="151"/>
      <c r="C4" s="132"/>
      <c r="D4" s="133"/>
      <c r="E4" s="132"/>
      <c r="F4" s="132"/>
      <c r="G4" s="132"/>
      <c r="H4" s="30">
        <v>1</v>
      </c>
      <c r="I4" s="30">
        <v>2</v>
      </c>
      <c r="J4" s="30">
        <v>3</v>
      </c>
      <c r="K4" s="3" t="s">
        <v>9</v>
      </c>
      <c r="L4" s="69">
        <v>1</v>
      </c>
      <c r="M4" s="69">
        <v>2</v>
      </c>
      <c r="N4" s="69">
        <v>3</v>
      </c>
      <c r="O4" s="69" t="s">
        <v>9</v>
      </c>
      <c r="P4" s="69">
        <v>1</v>
      </c>
      <c r="Q4" s="69">
        <v>2</v>
      </c>
      <c r="R4" s="69">
        <v>3</v>
      </c>
      <c r="S4" s="3" t="s">
        <v>9</v>
      </c>
      <c r="T4" s="132"/>
      <c r="U4" s="132"/>
      <c r="V4" s="136"/>
    </row>
    <row r="5" spans="1:22" ht="16">
      <c r="B5" s="120" t="s">
        <v>45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2">
      <c r="A6" s="32">
        <v>1</v>
      </c>
      <c r="B6" s="20" t="s">
        <v>170</v>
      </c>
      <c r="C6" s="20" t="s">
        <v>171</v>
      </c>
      <c r="D6" s="20" t="s">
        <v>238</v>
      </c>
      <c r="E6" s="20" t="str">
        <f>"1,1447"</f>
        <v>1,1447</v>
      </c>
      <c r="F6" s="20" t="s">
        <v>16</v>
      </c>
      <c r="G6" s="20" t="s">
        <v>17</v>
      </c>
      <c r="H6" s="45" t="s">
        <v>172</v>
      </c>
      <c r="I6" s="33" t="s">
        <v>69</v>
      </c>
      <c r="J6" s="107" t="s">
        <v>173</v>
      </c>
      <c r="K6" s="108"/>
      <c r="L6" s="33" t="s">
        <v>174</v>
      </c>
      <c r="M6" s="45" t="s">
        <v>37</v>
      </c>
      <c r="N6" s="33" t="s">
        <v>37</v>
      </c>
      <c r="O6" s="35"/>
      <c r="P6" s="33" t="s">
        <v>43</v>
      </c>
      <c r="Q6" s="33" t="s">
        <v>175</v>
      </c>
      <c r="R6" s="33" t="s">
        <v>61</v>
      </c>
      <c r="S6" s="21"/>
      <c r="T6" s="36" t="s">
        <v>191</v>
      </c>
      <c r="U6" s="36" t="str">
        <f>"234,6635"</f>
        <v>234,6635</v>
      </c>
      <c r="V6" s="20" t="s">
        <v>381</v>
      </c>
    </row>
    <row r="8" spans="1:22" ht="16">
      <c r="B8" s="137" t="s">
        <v>57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</row>
    <row r="9" spans="1:22">
      <c r="A9" s="32">
        <v>1</v>
      </c>
      <c r="B9" s="24" t="s">
        <v>176</v>
      </c>
      <c r="C9" s="24" t="s">
        <v>177</v>
      </c>
      <c r="D9" s="24" t="s">
        <v>390</v>
      </c>
      <c r="E9" s="24" t="str">
        <f>"0,7256"</f>
        <v>0,7256</v>
      </c>
      <c r="F9" s="24" t="s">
        <v>36</v>
      </c>
      <c r="G9" s="24" t="s">
        <v>178</v>
      </c>
      <c r="H9" s="61" t="s">
        <v>56</v>
      </c>
      <c r="I9" s="61" t="s">
        <v>50</v>
      </c>
      <c r="J9" s="76" t="s">
        <v>133</v>
      </c>
      <c r="K9" s="109"/>
      <c r="L9" s="61" t="s">
        <v>42</v>
      </c>
      <c r="M9" s="76" t="s">
        <v>43</v>
      </c>
      <c r="N9" s="76" t="s">
        <v>43</v>
      </c>
      <c r="O9" s="73"/>
      <c r="P9" s="61" t="s">
        <v>76</v>
      </c>
      <c r="Q9" s="61" t="s">
        <v>77</v>
      </c>
      <c r="R9" s="61" t="s">
        <v>94</v>
      </c>
      <c r="S9" s="25"/>
      <c r="T9" s="72" t="s">
        <v>192</v>
      </c>
      <c r="U9" s="104" t="str">
        <f>"250,3320"</f>
        <v>250,3320</v>
      </c>
      <c r="V9" s="24" t="s">
        <v>381</v>
      </c>
    </row>
    <row r="10" spans="1:22">
      <c r="A10" s="32">
        <v>1</v>
      </c>
      <c r="B10" s="26" t="s">
        <v>179</v>
      </c>
      <c r="C10" s="26" t="s">
        <v>180</v>
      </c>
      <c r="D10" s="26" t="s">
        <v>242</v>
      </c>
      <c r="E10" s="26" t="str">
        <f>"0,7264"</f>
        <v>0,7264</v>
      </c>
      <c r="F10" s="26" t="s">
        <v>36</v>
      </c>
      <c r="G10" s="26" t="s">
        <v>178</v>
      </c>
      <c r="H10" s="65" t="s">
        <v>77</v>
      </c>
      <c r="I10" s="65" t="s">
        <v>111</v>
      </c>
      <c r="J10" s="65" t="s">
        <v>113</v>
      </c>
      <c r="K10" s="110"/>
      <c r="L10" s="65" t="s">
        <v>48</v>
      </c>
      <c r="M10" s="65" t="s">
        <v>73</v>
      </c>
      <c r="N10" s="88" t="s">
        <v>49</v>
      </c>
      <c r="O10" s="86"/>
      <c r="P10" s="65" t="s">
        <v>141</v>
      </c>
      <c r="Q10" s="65" t="s">
        <v>120</v>
      </c>
      <c r="R10" s="88" t="s">
        <v>122</v>
      </c>
      <c r="S10" s="27"/>
      <c r="T10" s="78" t="s">
        <v>194</v>
      </c>
      <c r="U10" s="105" t="str">
        <f>"334,1440"</f>
        <v>334,1440</v>
      </c>
      <c r="V10" s="26" t="s">
        <v>381</v>
      </c>
    </row>
    <row r="11" spans="1:22">
      <c r="A11" s="32">
        <v>1</v>
      </c>
      <c r="B11" s="28" t="s">
        <v>63</v>
      </c>
      <c r="C11" s="28" t="s">
        <v>64</v>
      </c>
      <c r="D11" s="28" t="s">
        <v>326</v>
      </c>
      <c r="E11" s="28" t="str">
        <f>"0,7271"</f>
        <v>0,7271</v>
      </c>
      <c r="F11" s="28" t="s">
        <v>23</v>
      </c>
      <c r="G11" s="28" t="s">
        <v>17</v>
      </c>
      <c r="H11" s="37" t="s">
        <v>133</v>
      </c>
      <c r="I11" s="37" t="s">
        <v>76</v>
      </c>
      <c r="J11" s="111" t="s">
        <v>77</v>
      </c>
      <c r="K11" s="112"/>
      <c r="L11" s="37" t="s">
        <v>48</v>
      </c>
      <c r="M11" s="37" t="s">
        <v>90</v>
      </c>
      <c r="N11" s="75" t="s">
        <v>50</v>
      </c>
      <c r="O11" s="38"/>
      <c r="P11" s="37" t="s">
        <v>111</v>
      </c>
      <c r="Q11" s="37" t="s">
        <v>125</v>
      </c>
      <c r="R11" s="37" t="s">
        <v>181</v>
      </c>
      <c r="S11" s="29"/>
      <c r="T11" s="39" t="s">
        <v>196</v>
      </c>
      <c r="U11" s="106" t="str">
        <f>"327,1950"</f>
        <v>327,1950</v>
      </c>
      <c r="V11" s="28" t="s">
        <v>312</v>
      </c>
    </row>
    <row r="13" spans="1:22" ht="16">
      <c r="B13" s="137" t="s">
        <v>70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2">
      <c r="A14" s="32">
        <v>1</v>
      </c>
      <c r="B14" s="20" t="s">
        <v>182</v>
      </c>
      <c r="C14" s="20" t="s">
        <v>183</v>
      </c>
      <c r="D14" s="20" t="s">
        <v>44</v>
      </c>
      <c r="E14" s="20" t="str">
        <f>"0,6699"</f>
        <v>0,6699</v>
      </c>
      <c r="F14" s="20" t="s">
        <v>16</v>
      </c>
      <c r="G14" s="20" t="s">
        <v>17</v>
      </c>
      <c r="H14" s="79" t="s">
        <v>50</v>
      </c>
      <c r="I14" s="79" t="s">
        <v>133</v>
      </c>
      <c r="J14" s="79" t="s">
        <v>78</v>
      </c>
      <c r="K14" s="21"/>
      <c r="L14" s="80" t="s">
        <v>56</v>
      </c>
      <c r="M14" s="80" t="s">
        <v>102</v>
      </c>
      <c r="N14" s="81" t="s">
        <v>116</v>
      </c>
      <c r="O14" s="70"/>
      <c r="P14" s="80" t="s">
        <v>78</v>
      </c>
      <c r="Q14" s="80" t="s">
        <v>113</v>
      </c>
      <c r="R14" s="80" t="s">
        <v>121</v>
      </c>
      <c r="S14" s="21"/>
      <c r="T14" s="36" t="s">
        <v>195</v>
      </c>
      <c r="U14" s="36" t="str">
        <f>"311,5035"</f>
        <v>311,5035</v>
      </c>
      <c r="V14" s="20" t="s">
        <v>381</v>
      </c>
    </row>
    <row r="16" spans="1:22" ht="16">
      <c r="B16" s="137" t="s">
        <v>117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</row>
    <row r="17" spans="1:22">
      <c r="A17" s="32">
        <v>1</v>
      </c>
      <c r="B17" s="24" t="s">
        <v>435</v>
      </c>
      <c r="C17" s="24" t="s">
        <v>187</v>
      </c>
      <c r="D17" s="24" t="s">
        <v>391</v>
      </c>
      <c r="E17" s="24" t="str">
        <f>"0,6250"</f>
        <v>0,6250</v>
      </c>
      <c r="F17" s="24" t="s">
        <v>36</v>
      </c>
      <c r="G17" s="24" t="s">
        <v>388</v>
      </c>
      <c r="H17" s="61" t="s">
        <v>188</v>
      </c>
      <c r="I17" s="61" t="s">
        <v>150</v>
      </c>
      <c r="J17" s="61" t="s">
        <v>189</v>
      </c>
      <c r="K17" s="109"/>
      <c r="L17" s="61" t="s">
        <v>141</v>
      </c>
      <c r="M17" s="61" t="s">
        <v>120</v>
      </c>
      <c r="N17" s="76" t="s">
        <v>122</v>
      </c>
      <c r="O17" s="73"/>
      <c r="P17" s="61" t="s">
        <v>188</v>
      </c>
      <c r="Q17" s="61" t="s">
        <v>150</v>
      </c>
      <c r="R17" s="61" t="s">
        <v>190</v>
      </c>
      <c r="S17" s="25"/>
      <c r="T17" s="72" t="s">
        <v>193</v>
      </c>
      <c r="U17" s="72" t="str">
        <f>"412,5000"</f>
        <v>412,5000</v>
      </c>
      <c r="V17" s="24" t="s">
        <v>389</v>
      </c>
    </row>
    <row r="18" spans="1:22">
      <c r="A18" s="32">
        <v>1</v>
      </c>
      <c r="B18" s="28" t="s">
        <v>136</v>
      </c>
      <c r="C18" s="28" t="s">
        <v>137</v>
      </c>
      <c r="D18" s="28" t="s">
        <v>342</v>
      </c>
      <c r="E18" s="28" t="str">
        <f>"0,6123"</f>
        <v>0,6123</v>
      </c>
      <c r="F18" s="28" t="s">
        <v>105</v>
      </c>
      <c r="G18" s="28" t="s">
        <v>17</v>
      </c>
      <c r="H18" s="37" t="s">
        <v>48</v>
      </c>
      <c r="I18" s="37" t="s">
        <v>50</v>
      </c>
      <c r="J18" s="75" t="s">
        <v>102</v>
      </c>
      <c r="K18" s="112"/>
      <c r="L18" s="37" t="s">
        <v>49</v>
      </c>
      <c r="M18" s="37" t="s">
        <v>50</v>
      </c>
      <c r="N18" s="37" t="s">
        <v>135</v>
      </c>
      <c r="O18" s="38"/>
      <c r="P18" s="37" t="s">
        <v>133</v>
      </c>
      <c r="Q18" s="37" t="s">
        <v>77</v>
      </c>
      <c r="R18" s="75" t="s">
        <v>78</v>
      </c>
      <c r="S18" s="29"/>
      <c r="T18" s="39">
        <v>387.5</v>
      </c>
      <c r="U18" s="39" t="str">
        <f>"371,3217"</f>
        <v>371,3217</v>
      </c>
      <c r="V18" s="28" t="s">
        <v>381</v>
      </c>
    </row>
    <row r="20" spans="1:22" ht="18">
      <c r="B20" s="14" t="s">
        <v>155</v>
      </c>
      <c r="C20" s="15"/>
      <c r="D20" s="5"/>
      <c r="E20" s="5"/>
      <c r="F20" s="5"/>
    </row>
    <row r="21" spans="1:22">
      <c r="B21" s="169" t="s">
        <v>453</v>
      </c>
      <c r="C21" s="1"/>
      <c r="D21" s="5"/>
      <c r="E21" s="5"/>
      <c r="F21" s="5"/>
    </row>
    <row r="22" spans="1:22" ht="14">
      <c r="B22" s="16"/>
      <c r="C22" s="17" t="s">
        <v>454</v>
      </c>
      <c r="D22" s="5"/>
      <c r="E22" s="5"/>
      <c r="F22" s="5"/>
    </row>
    <row r="23" spans="1:22" ht="14">
      <c r="B23" s="18" t="s">
        <v>156</v>
      </c>
      <c r="C23" s="18" t="s">
        <v>157</v>
      </c>
      <c r="D23" s="90" t="s">
        <v>158</v>
      </c>
      <c r="E23" s="90" t="s">
        <v>305</v>
      </c>
      <c r="F23" s="18" t="s">
        <v>160</v>
      </c>
      <c r="R23" s="68"/>
      <c r="S23"/>
      <c r="T23" s="32"/>
      <c r="U23" s="32"/>
      <c r="V23"/>
    </row>
    <row r="24" spans="1:22">
      <c r="B24" s="20" t="s">
        <v>435</v>
      </c>
      <c r="C24" s="20" t="s">
        <v>431</v>
      </c>
      <c r="D24" s="20" t="s">
        <v>167</v>
      </c>
      <c r="E24" s="20" t="s">
        <v>193</v>
      </c>
      <c r="F24" s="20" t="s">
        <v>432</v>
      </c>
      <c r="R24" s="68"/>
      <c r="S24"/>
      <c r="T24" s="32"/>
      <c r="U24" s="32"/>
      <c r="V24"/>
    </row>
    <row r="25" spans="1:22">
      <c r="B25" s="20" t="s">
        <v>179</v>
      </c>
      <c r="C25" s="20" t="s">
        <v>431</v>
      </c>
      <c r="D25" s="20" t="s">
        <v>164</v>
      </c>
      <c r="E25" s="20" t="s">
        <v>194</v>
      </c>
      <c r="F25" s="20" t="s">
        <v>433</v>
      </c>
      <c r="R25" s="68"/>
      <c r="S25"/>
      <c r="T25" s="32"/>
      <c r="U25" s="32"/>
      <c r="V25"/>
    </row>
    <row r="26" spans="1:22">
      <c r="B26" s="20" t="s">
        <v>182</v>
      </c>
      <c r="C26" s="20" t="s">
        <v>431</v>
      </c>
      <c r="D26" s="20" t="s">
        <v>163</v>
      </c>
      <c r="E26" s="20" t="s">
        <v>195</v>
      </c>
      <c r="F26" s="20" t="s">
        <v>434</v>
      </c>
      <c r="R26" s="68"/>
      <c r="S26"/>
      <c r="T26" s="32"/>
      <c r="U26" s="32"/>
      <c r="V26"/>
    </row>
    <row r="27" spans="1:22">
      <c r="R27" s="68"/>
      <c r="S27"/>
      <c r="T27" s="32"/>
      <c r="U27" s="32"/>
      <c r="V27"/>
    </row>
    <row r="28" spans="1:22">
      <c r="R28" s="68"/>
      <c r="S28"/>
      <c r="T28" s="32"/>
      <c r="U28" s="32"/>
      <c r="V28"/>
    </row>
    <row r="29" spans="1:22">
      <c r="R29" s="68"/>
      <c r="S29"/>
      <c r="T29" s="32"/>
      <c r="U29" s="32"/>
      <c r="V29"/>
    </row>
    <row r="30" spans="1:22">
      <c r="R30" s="68"/>
      <c r="S30"/>
      <c r="T30" s="32"/>
      <c r="U30" s="32"/>
      <c r="V30"/>
    </row>
    <row r="31" spans="1:22">
      <c r="R31" s="68"/>
      <c r="S31"/>
      <c r="T31" s="32"/>
      <c r="U31" s="32"/>
      <c r="V31"/>
    </row>
    <row r="32" spans="1:22">
      <c r="R32" s="68"/>
      <c r="S32"/>
      <c r="T32" s="32"/>
      <c r="U32" s="32"/>
      <c r="V32"/>
    </row>
    <row r="33" spans="8:22">
      <c r="R33" s="68"/>
      <c r="S33"/>
      <c r="T33" s="32"/>
      <c r="U33" s="32"/>
      <c r="V33"/>
    </row>
    <row r="34" spans="8:22">
      <c r="R34" s="68"/>
      <c r="S34"/>
      <c r="T34" s="32"/>
      <c r="U34" s="32"/>
      <c r="V34"/>
    </row>
    <row r="35" spans="8:22">
      <c r="R35" s="68"/>
      <c r="S35"/>
      <c r="T35" s="32"/>
      <c r="U35" s="32"/>
      <c r="V35"/>
    </row>
    <row r="36" spans="8:22">
      <c r="R36" s="68"/>
      <c r="S36"/>
      <c r="T36" s="32"/>
      <c r="U36" s="32"/>
      <c r="V36"/>
    </row>
    <row r="37" spans="8:22">
      <c r="R37" s="68"/>
      <c r="S37"/>
      <c r="T37" s="32"/>
      <c r="U37" s="32"/>
      <c r="V37"/>
    </row>
    <row r="38" spans="8:22">
      <c r="R38" s="68"/>
      <c r="S38"/>
      <c r="T38" s="32"/>
      <c r="U38" s="32"/>
      <c r="V38"/>
    </row>
    <row r="39" spans="8:22">
      <c r="H39" s="23" t="s">
        <v>443</v>
      </c>
      <c r="R39" s="68"/>
      <c r="S39"/>
      <c r="T39" s="32"/>
      <c r="U39" s="32"/>
      <c r="V39"/>
    </row>
    <row r="40" spans="8:22">
      <c r="R40" s="68"/>
      <c r="S40"/>
      <c r="T40" s="32"/>
      <c r="U40" s="32"/>
      <c r="V40"/>
    </row>
    <row r="41" spans="8:22">
      <c r="R41" s="68"/>
      <c r="S41"/>
      <c r="T41" s="32"/>
      <c r="U41" s="32"/>
      <c r="V41"/>
    </row>
    <row r="42" spans="8:22">
      <c r="R42" s="68"/>
      <c r="S42"/>
      <c r="T42" s="32"/>
      <c r="U42" s="32"/>
      <c r="V42"/>
    </row>
    <row r="43" spans="8:22">
      <c r="R43" s="68"/>
      <c r="S43"/>
      <c r="T43" s="32"/>
      <c r="U43" s="32"/>
      <c r="V43"/>
    </row>
    <row r="44" spans="8:22">
      <c r="R44" s="68"/>
      <c r="S44"/>
      <c r="T44" s="32"/>
      <c r="U44" s="32"/>
      <c r="V44"/>
    </row>
    <row r="45" spans="8:22">
      <c r="R45" s="68"/>
      <c r="S45"/>
      <c r="T45" s="32"/>
      <c r="U45" s="32"/>
      <c r="V45"/>
    </row>
    <row r="46" spans="8:22">
      <c r="R46" s="68"/>
      <c r="S46"/>
      <c r="T46" s="32"/>
      <c r="U46" s="32"/>
      <c r="V46"/>
    </row>
    <row r="47" spans="8:22">
      <c r="R47" s="68"/>
      <c r="S47"/>
      <c r="T47" s="32"/>
      <c r="U47" s="32"/>
      <c r="V47"/>
    </row>
    <row r="48" spans="8:22">
      <c r="R48" s="68"/>
      <c r="S48"/>
      <c r="T48" s="32"/>
      <c r="U48" s="32"/>
      <c r="V48"/>
    </row>
    <row r="49" spans="18:22">
      <c r="R49" s="68"/>
      <c r="S49"/>
      <c r="T49" s="32"/>
      <c r="U49" s="32"/>
      <c r="V49"/>
    </row>
    <row r="50" spans="18:22">
      <c r="R50" s="68"/>
      <c r="S50"/>
      <c r="T50" s="32"/>
      <c r="U50" s="32"/>
      <c r="V50"/>
    </row>
    <row r="51" spans="18:22">
      <c r="R51" s="68"/>
      <c r="S51"/>
      <c r="T51" s="32"/>
      <c r="U51" s="32"/>
      <c r="V51"/>
    </row>
    <row r="52" spans="18:22">
      <c r="R52" s="68"/>
      <c r="S52"/>
      <c r="T52" s="32"/>
      <c r="U52" s="32"/>
      <c r="V52"/>
    </row>
    <row r="53" spans="18:22">
      <c r="R53" s="68"/>
      <c r="S53"/>
      <c r="T53" s="32"/>
      <c r="U53" s="32"/>
      <c r="V53"/>
    </row>
    <row r="54" spans="18:22">
      <c r="R54" s="68"/>
      <c r="S54"/>
      <c r="T54" s="32"/>
      <c r="U54" s="32"/>
      <c r="V54"/>
    </row>
    <row r="55" spans="18:22">
      <c r="R55" s="68"/>
      <c r="S55"/>
      <c r="T55" s="32"/>
      <c r="U55" s="32"/>
      <c r="V55"/>
    </row>
    <row r="56" spans="18:22">
      <c r="R56" s="68"/>
      <c r="S56"/>
      <c r="T56" s="32"/>
      <c r="U56" s="32"/>
      <c r="V56"/>
    </row>
    <row r="57" spans="18:22">
      <c r="R57" s="68"/>
      <c r="S57"/>
      <c r="T57" s="32"/>
      <c r="U57" s="32"/>
      <c r="V57"/>
    </row>
    <row r="58" spans="18:22">
      <c r="R58" s="68"/>
      <c r="S58"/>
      <c r="T58" s="32"/>
      <c r="U58" s="32"/>
      <c r="V58"/>
    </row>
    <row r="59" spans="18:22">
      <c r="R59" s="68"/>
      <c r="S59"/>
      <c r="T59" s="32"/>
      <c r="U59" s="32"/>
      <c r="V59"/>
    </row>
    <row r="60" spans="18:22">
      <c r="R60" s="68"/>
      <c r="S60"/>
      <c r="T60" s="32"/>
      <c r="U60" s="32"/>
      <c r="V60"/>
    </row>
    <row r="61" spans="18:22">
      <c r="R61" s="68"/>
      <c r="S61"/>
      <c r="T61" s="32"/>
      <c r="U61" s="32"/>
      <c r="V61"/>
    </row>
    <row r="62" spans="18:22">
      <c r="R62" s="68"/>
      <c r="S62"/>
      <c r="T62" s="32"/>
      <c r="U62" s="32"/>
      <c r="V62"/>
    </row>
    <row r="63" spans="18:22">
      <c r="R63" s="68"/>
      <c r="S63"/>
      <c r="T63" s="32"/>
      <c r="U63" s="32"/>
      <c r="V63"/>
    </row>
    <row r="64" spans="18:22">
      <c r="R64" s="68"/>
      <c r="S64"/>
      <c r="T64" s="32"/>
      <c r="U64" s="32"/>
      <c r="V64"/>
    </row>
    <row r="65" spans="18:22">
      <c r="R65" s="68"/>
      <c r="S65"/>
      <c r="T65" s="32"/>
      <c r="U65" s="32"/>
      <c r="V65"/>
    </row>
    <row r="66" spans="18:22">
      <c r="R66" s="68"/>
      <c r="S66"/>
      <c r="T66" s="32"/>
      <c r="U66" s="32"/>
      <c r="V66"/>
    </row>
    <row r="67" spans="18:22">
      <c r="R67" s="68"/>
      <c r="S67"/>
      <c r="T67" s="32"/>
      <c r="U67" s="32"/>
      <c r="V67"/>
    </row>
    <row r="68" spans="18:22">
      <c r="R68" s="68"/>
      <c r="S68"/>
      <c r="T68" s="32"/>
      <c r="U68" s="32"/>
      <c r="V68"/>
    </row>
    <row r="69" spans="18:22">
      <c r="R69" s="68"/>
      <c r="S69"/>
      <c r="T69" s="32"/>
      <c r="U69" s="32"/>
      <c r="V69"/>
    </row>
    <row r="70" spans="18:22">
      <c r="R70" s="68"/>
      <c r="S70"/>
      <c r="T70" s="32"/>
      <c r="U70" s="32"/>
      <c r="V70"/>
    </row>
    <row r="71" spans="18:22">
      <c r="R71" s="68"/>
      <c r="S71"/>
      <c r="T71" s="32"/>
      <c r="U71" s="32"/>
      <c r="V71"/>
    </row>
    <row r="72" spans="18:22">
      <c r="R72" s="68"/>
      <c r="S72"/>
      <c r="T72" s="32"/>
      <c r="U72" s="32"/>
      <c r="V72"/>
    </row>
    <row r="73" spans="18:22">
      <c r="R73" s="68"/>
      <c r="S73"/>
      <c r="T73" s="32"/>
      <c r="U73" s="32"/>
      <c r="V73"/>
    </row>
    <row r="74" spans="18:22">
      <c r="R74" s="68"/>
      <c r="S74"/>
      <c r="T74" s="32"/>
      <c r="U74" s="32"/>
      <c r="V74"/>
    </row>
    <row r="75" spans="18:22">
      <c r="R75" s="68"/>
      <c r="S75"/>
      <c r="T75" s="32"/>
      <c r="U75" s="32"/>
      <c r="V75"/>
    </row>
    <row r="76" spans="18:22">
      <c r="R76" s="68"/>
      <c r="S76"/>
      <c r="T76" s="32"/>
      <c r="U76" s="32"/>
      <c r="V76"/>
    </row>
    <row r="77" spans="18:22">
      <c r="R77" s="68"/>
      <c r="S77"/>
      <c r="T77" s="32"/>
      <c r="U77" s="32"/>
      <c r="V77"/>
    </row>
    <row r="78" spans="18:22">
      <c r="R78" s="68"/>
      <c r="S78"/>
      <c r="T78" s="32"/>
      <c r="U78" s="32"/>
      <c r="V78"/>
    </row>
    <row r="79" spans="18:22">
      <c r="R79" s="68"/>
      <c r="S79"/>
      <c r="T79" s="32"/>
      <c r="U79" s="32"/>
      <c r="V79"/>
    </row>
    <row r="80" spans="18:22">
      <c r="R80" s="68"/>
      <c r="S80"/>
      <c r="T80" s="32"/>
      <c r="U80" s="32"/>
      <c r="V80"/>
    </row>
    <row r="81" spans="18:22">
      <c r="R81" s="68"/>
      <c r="S81"/>
      <c r="T81" s="32"/>
      <c r="U81" s="32"/>
      <c r="V81"/>
    </row>
    <row r="82" spans="18:22">
      <c r="R82" s="68"/>
      <c r="S82"/>
      <c r="T82" s="32"/>
      <c r="U82" s="32"/>
      <c r="V82"/>
    </row>
    <row r="83" spans="18:22">
      <c r="R83" s="68"/>
      <c r="S83"/>
      <c r="T83" s="32"/>
      <c r="U83" s="32"/>
      <c r="V83"/>
    </row>
    <row r="84" spans="18:22">
      <c r="R84" s="68"/>
      <c r="S84"/>
      <c r="T84" s="32"/>
      <c r="U84" s="32"/>
      <c r="V84"/>
    </row>
    <row r="85" spans="18:22">
      <c r="R85" s="68"/>
      <c r="S85"/>
      <c r="T85" s="32"/>
      <c r="U85" s="32"/>
      <c r="V85"/>
    </row>
    <row r="86" spans="18:22">
      <c r="R86" s="68"/>
      <c r="S86"/>
      <c r="T86" s="32"/>
      <c r="U86" s="32"/>
      <c r="V86"/>
    </row>
    <row r="87" spans="18:22">
      <c r="R87" s="68"/>
      <c r="S87"/>
      <c r="T87" s="32"/>
      <c r="U87" s="32"/>
      <c r="V87"/>
    </row>
    <row r="88" spans="18:22">
      <c r="R88" s="68"/>
      <c r="S88"/>
      <c r="T88" s="32"/>
      <c r="U88" s="32"/>
      <c r="V88"/>
    </row>
    <row r="89" spans="18:22">
      <c r="R89" s="68"/>
      <c r="S89"/>
      <c r="T89" s="32"/>
      <c r="U89" s="32"/>
      <c r="V89"/>
    </row>
    <row r="90" spans="18:22">
      <c r="R90" s="68"/>
      <c r="S90"/>
      <c r="T90" s="32"/>
      <c r="U90" s="32"/>
      <c r="V90"/>
    </row>
    <row r="91" spans="18:22">
      <c r="R91" s="68"/>
      <c r="S91"/>
      <c r="T91" s="32"/>
      <c r="U91" s="32"/>
      <c r="V91"/>
    </row>
    <row r="92" spans="18:22">
      <c r="R92" s="68"/>
      <c r="S92"/>
      <c r="T92" s="32"/>
      <c r="U92" s="32"/>
      <c r="V92"/>
    </row>
    <row r="93" spans="18:22">
      <c r="R93" s="68"/>
      <c r="S93"/>
      <c r="T93" s="32"/>
      <c r="U93" s="32"/>
      <c r="V93"/>
    </row>
    <row r="94" spans="18:22">
      <c r="R94" s="68"/>
      <c r="S94"/>
      <c r="T94" s="32"/>
      <c r="U94" s="32"/>
      <c r="V94"/>
    </row>
    <row r="95" spans="18:22">
      <c r="R95" s="68"/>
      <c r="S95"/>
      <c r="T95" s="32"/>
      <c r="U95" s="32"/>
      <c r="V95"/>
    </row>
    <row r="96" spans="18:22">
      <c r="R96" s="68"/>
      <c r="S96"/>
      <c r="T96" s="32"/>
      <c r="U96" s="32"/>
      <c r="V96"/>
    </row>
    <row r="97" spans="18:22">
      <c r="R97" s="68"/>
      <c r="S97"/>
      <c r="T97" s="32"/>
      <c r="U97" s="32"/>
      <c r="V97"/>
    </row>
    <row r="98" spans="18:22">
      <c r="R98" s="68"/>
      <c r="S98"/>
      <c r="T98" s="32"/>
      <c r="U98" s="32"/>
      <c r="V98"/>
    </row>
    <row r="99" spans="18:22">
      <c r="R99" s="68"/>
      <c r="S99"/>
      <c r="T99" s="32"/>
      <c r="U99" s="32"/>
      <c r="V99"/>
    </row>
    <row r="100" spans="18:22">
      <c r="R100" s="68"/>
      <c r="S100"/>
      <c r="T100" s="32"/>
      <c r="U100" s="32"/>
      <c r="V100"/>
    </row>
    <row r="101" spans="18:22">
      <c r="R101" s="68"/>
      <c r="S101"/>
      <c r="T101" s="32"/>
      <c r="U101" s="32"/>
      <c r="V101"/>
    </row>
    <row r="102" spans="18:22">
      <c r="R102" s="68"/>
      <c r="S102"/>
      <c r="T102" s="32"/>
      <c r="U102" s="32"/>
      <c r="V102"/>
    </row>
    <row r="103" spans="18:22">
      <c r="R103" s="68"/>
      <c r="S103"/>
      <c r="T103" s="32"/>
      <c r="U103" s="32"/>
      <c r="V103"/>
    </row>
    <row r="104" spans="18:22">
      <c r="R104" s="68"/>
      <c r="S104"/>
      <c r="T104" s="32"/>
      <c r="U104" s="32"/>
      <c r="V104"/>
    </row>
    <row r="105" spans="18:22">
      <c r="R105" s="68"/>
      <c r="S105"/>
      <c r="T105" s="32"/>
      <c r="U105" s="32"/>
      <c r="V105"/>
    </row>
    <row r="106" spans="18:22">
      <c r="R106" s="68"/>
      <c r="S106"/>
      <c r="T106" s="32"/>
      <c r="U106" s="32"/>
      <c r="V106"/>
    </row>
    <row r="107" spans="18:22">
      <c r="R107" s="68"/>
      <c r="S107"/>
      <c r="T107" s="32"/>
      <c r="U107" s="32"/>
      <c r="V107"/>
    </row>
    <row r="108" spans="18:22">
      <c r="R108" s="68"/>
      <c r="S108"/>
      <c r="T108" s="32"/>
      <c r="U108" s="32"/>
      <c r="V108"/>
    </row>
    <row r="109" spans="18:22">
      <c r="R109" s="68"/>
      <c r="S109"/>
      <c r="T109" s="32"/>
      <c r="U109" s="32"/>
      <c r="V109"/>
    </row>
    <row r="110" spans="18:22">
      <c r="R110" s="68"/>
      <c r="S110"/>
      <c r="T110" s="32"/>
      <c r="U110" s="32"/>
      <c r="V110"/>
    </row>
    <row r="111" spans="18:22">
      <c r="R111" s="68"/>
      <c r="S111"/>
      <c r="T111" s="32"/>
      <c r="U111" s="32"/>
      <c r="V111"/>
    </row>
    <row r="112" spans="18:22">
      <c r="R112" s="68"/>
      <c r="S112"/>
      <c r="T112" s="32"/>
      <c r="U112" s="32"/>
      <c r="V112"/>
    </row>
    <row r="113" spans="18:22">
      <c r="R113" s="68"/>
      <c r="S113"/>
      <c r="T113" s="32"/>
      <c r="U113" s="32"/>
      <c r="V113"/>
    </row>
  </sheetData>
  <mergeCells count="19">
    <mergeCell ref="V3:V4"/>
    <mergeCell ref="B5:U5"/>
    <mergeCell ref="B8:U8"/>
    <mergeCell ref="B13:U13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  <mergeCell ref="A1:A2"/>
    <mergeCell ref="B16:U16"/>
    <mergeCell ref="T3:T4"/>
    <mergeCell ref="U3:U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1" sqref="B1:L2"/>
    </sheetView>
  </sheetViews>
  <sheetFormatPr baseColWidth="10" defaultColWidth="8.7109375" defaultRowHeight="13" x14ac:dyDescent="0"/>
  <cols>
    <col min="1" max="1" width="8.7109375" style="32"/>
    <col min="2" max="2" width="26" style="19" bestFit="1" customWidth="1"/>
    <col min="3" max="3" width="24" style="19" bestFit="1" customWidth="1"/>
    <col min="4" max="4" width="10.5703125" style="19" bestFit="1" customWidth="1"/>
    <col min="5" max="5" width="8.42578125" style="19" bestFit="1" customWidth="1"/>
    <col min="6" max="6" width="22.7109375" style="19" bestFit="1" customWidth="1"/>
    <col min="7" max="7" width="26" style="19" bestFit="1" customWidth="1"/>
    <col min="8" max="8" width="4.7109375" style="77" bestFit="1" customWidth="1"/>
    <col min="9" max="9" width="9.5703125" style="77" bestFit="1" customWidth="1"/>
    <col min="10" max="10" width="7.85546875" style="77" bestFit="1" customWidth="1"/>
    <col min="11" max="11" width="9.5703125" style="77" bestFit="1" customWidth="1"/>
    <col min="12" max="12" width="11.28515625" style="19" customWidth="1"/>
  </cols>
  <sheetData>
    <row r="1" spans="1:12" s="1" customFormat="1" ht="15" customHeight="1">
      <c r="A1" s="52"/>
      <c r="B1" s="123" t="s">
        <v>442</v>
      </c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s="1" customFormat="1" ht="130" customHeight="1" thickBot="1">
      <c r="A2" s="52"/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s="2" customFormat="1" ht="12.75" customHeight="1">
      <c r="A3" s="138" t="s">
        <v>301</v>
      </c>
      <c r="B3" s="144" t="s">
        <v>0</v>
      </c>
      <c r="C3" s="131" t="s">
        <v>11</v>
      </c>
      <c r="D3" s="134" t="s">
        <v>5</v>
      </c>
      <c r="E3" s="134" t="s">
        <v>232</v>
      </c>
      <c r="F3" s="134" t="s">
        <v>8</v>
      </c>
      <c r="G3" s="134" t="s">
        <v>10</v>
      </c>
      <c r="H3" s="134" t="s">
        <v>2</v>
      </c>
      <c r="I3" s="134"/>
      <c r="J3" s="134" t="s">
        <v>429</v>
      </c>
      <c r="K3" s="134" t="s">
        <v>7</v>
      </c>
      <c r="L3" s="135" t="s">
        <v>6</v>
      </c>
    </row>
    <row r="4" spans="1:12" s="2" customFormat="1" ht="21" customHeight="1" thickBot="1">
      <c r="A4" s="139"/>
      <c r="B4" s="145"/>
      <c r="C4" s="132"/>
      <c r="D4" s="132"/>
      <c r="E4" s="132"/>
      <c r="F4" s="132"/>
      <c r="G4" s="132"/>
      <c r="H4" s="3" t="s">
        <v>260</v>
      </c>
      <c r="I4" s="3" t="s">
        <v>261</v>
      </c>
      <c r="J4" s="132"/>
      <c r="K4" s="132"/>
      <c r="L4" s="136"/>
    </row>
    <row r="5" spans="1:12" ht="16">
      <c r="B5" s="120" t="s">
        <v>13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2">
      <c r="A6" s="32">
        <v>1</v>
      </c>
      <c r="B6" s="24" t="s">
        <v>14</v>
      </c>
      <c r="C6" s="24" t="s">
        <v>298</v>
      </c>
      <c r="D6" s="24" t="s">
        <v>319</v>
      </c>
      <c r="E6" s="24" t="str">
        <f>"1,1459"</f>
        <v>1,1459</v>
      </c>
      <c r="F6" s="24" t="s">
        <v>16</v>
      </c>
      <c r="G6" s="24" t="s">
        <v>17</v>
      </c>
      <c r="H6" s="72" t="s">
        <v>291</v>
      </c>
      <c r="I6" s="72" t="s">
        <v>440</v>
      </c>
      <c r="J6" s="72" t="s">
        <v>299</v>
      </c>
      <c r="K6" s="72" t="str">
        <f>"630,2450"</f>
        <v>630,2450</v>
      </c>
      <c r="L6" s="24" t="s">
        <v>311</v>
      </c>
    </row>
    <row r="7" spans="1:12">
      <c r="A7" s="32">
        <v>1</v>
      </c>
      <c r="B7" s="28" t="s">
        <v>21</v>
      </c>
      <c r="C7" s="28" t="s">
        <v>22</v>
      </c>
      <c r="D7" s="28" t="s">
        <v>320</v>
      </c>
      <c r="E7" s="28" t="str">
        <f>"1,1513"</f>
        <v>1,1513</v>
      </c>
      <c r="F7" s="28" t="s">
        <v>36</v>
      </c>
      <c r="G7" s="28" t="s">
        <v>17</v>
      </c>
      <c r="H7" s="39" t="s">
        <v>291</v>
      </c>
      <c r="I7" s="39" t="s">
        <v>441</v>
      </c>
      <c r="J7" s="39" t="s">
        <v>300</v>
      </c>
      <c r="K7" s="39" t="str">
        <f>"2014,7749"</f>
        <v>2014,7749</v>
      </c>
      <c r="L7" s="28" t="s">
        <v>430</v>
      </c>
    </row>
    <row r="9" spans="1:12">
      <c r="C9" s="77"/>
      <c r="D9" s="77"/>
      <c r="E9" s="77"/>
      <c r="F9" s="77"/>
      <c r="H9"/>
      <c r="I9"/>
      <c r="J9"/>
      <c r="K9"/>
      <c r="L9"/>
    </row>
    <row r="10" spans="1:12">
      <c r="C10" s="77"/>
      <c r="D10" s="77"/>
      <c r="E10" s="77"/>
      <c r="F10" s="77"/>
      <c r="H10"/>
      <c r="I10"/>
      <c r="J10"/>
      <c r="K10"/>
      <c r="L10"/>
    </row>
    <row r="11" spans="1:12">
      <c r="C11" s="77"/>
      <c r="D11" s="77"/>
      <c r="E11" s="77"/>
      <c r="F11" s="77"/>
      <c r="H11"/>
      <c r="I11"/>
      <c r="J11"/>
      <c r="K11"/>
      <c r="L11"/>
    </row>
    <row r="12" spans="1:12">
      <c r="C12" s="77"/>
      <c r="D12" s="77"/>
      <c r="E12" s="77"/>
      <c r="F12" s="77"/>
      <c r="H12"/>
      <c r="I12"/>
      <c r="J12"/>
      <c r="K12"/>
      <c r="L12"/>
    </row>
    <row r="13" spans="1:12">
      <c r="C13" s="77"/>
      <c r="D13" s="77"/>
      <c r="E13" s="77"/>
      <c r="F13" s="77"/>
      <c r="H13"/>
      <c r="I13"/>
      <c r="J13"/>
      <c r="K13"/>
      <c r="L13"/>
    </row>
    <row r="14" spans="1:12">
      <c r="C14" s="77"/>
      <c r="D14" s="77"/>
      <c r="E14" s="77"/>
      <c r="F14" s="77"/>
      <c r="H14"/>
      <c r="I14"/>
      <c r="J14"/>
      <c r="K14"/>
      <c r="L14"/>
    </row>
    <row r="15" spans="1:12">
      <c r="C15" s="77"/>
      <c r="D15" s="77"/>
      <c r="E15" s="77"/>
      <c r="F15" s="77"/>
      <c r="H15"/>
      <c r="I15"/>
      <c r="J15"/>
      <c r="K15"/>
      <c r="L15"/>
    </row>
    <row r="16" spans="1:12">
      <c r="C16" s="77"/>
      <c r="D16" s="77"/>
      <c r="E16" s="77"/>
      <c r="F16" s="77"/>
      <c r="H16"/>
      <c r="I16"/>
      <c r="J16"/>
      <c r="K16"/>
      <c r="L16"/>
    </row>
    <row r="17" spans="3:12">
      <c r="C17" s="77"/>
      <c r="D17" s="77"/>
      <c r="E17" s="77"/>
      <c r="F17" s="77"/>
      <c r="H17"/>
      <c r="I17"/>
      <c r="J17"/>
      <c r="K17"/>
      <c r="L17"/>
    </row>
    <row r="18" spans="3:12">
      <c r="C18" s="77"/>
      <c r="D18" s="77"/>
      <c r="E18" s="77"/>
      <c r="F18" s="77"/>
      <c r="H18"/>
      <c r="I18"/>
      <c r="J18"/>
      <c r="K18"/>
      <c r="L18"/>
    </row>
    <row r="19" spans="3:12">
      <c r="C19" s="77"/>
      <c r="D19" s="77"/>
      <c r="E19" s="77"/>
      <c r="F19" s="77"/>
      <c r="H19"/>
      <c r="I19"/>
      <c r="J19"/>
      <c r="K19"/>
      <c r="L19"/>
    </row>
    <row r="20" spans="3:12">
      <c r="C20" s="77"/>
      <c r="D20" s="77"/>
      <c r="E20" s="77"/>
      <c r="F20" s="77"/>
      <c r="H20"/>
      <c r="I20"/>
      <c r="J20"/>
      <c r="K20"/>
      <c r="L20"/>
    </row>
    <row r="21" spans="3:12">
      <c r="C21" s="77"/>
      <c r="D21" s="77"/>
      <c r="E21" s="77"/>
      <c r="F21" s="77"/>
      <c r="H21"/>
      <c r="I21"/>
      <c r="J21"/>
      <c r="K21"/>
      <c r="L21"/>
    </row>
    <row r="22" spans="3:12">
      <c r="C22" s="77"/>
      <c r="D22" s="77"/>
      <c r="E22" s="77"/>
      <c r="F22" s="77"/>
      <c r="H22"/>
      <c r="I22"/>
      <c r="J22"/>
      <c r="K22"/>
      <c r="L22"/>
    </row>
    <row r="23" spans="3:12">
      <c r="C23" s="77"/>
      <c r="D23" s="77"/>
      <c r="E23" s="77"/>
      <c r="F23" s="77"/>
      <c r="H23"/>
      <c r="I23"/>
      <c r="J23"/>
      <c r="K23"/>
      <c r="L23"/>
    </row>
    <row r="24" spans="3:12">
      <c r="C24" s="77"/>
      <c r="D24" s="77"/>
      <c r="E24" s="77"/>
      <c r="F24" s="77"/>
      <c r="H24"/>
      <c r="I24"/>
      <c r="J24"/>
      <c r="K24"/>
      <c r="L24"/>
    </row>
    <row r="25" spans="3:12">
      <c r="C25" s="77"/>
      <c r="D25" s="77"/>
      <c r="E25" s="77"/>
      <c r="F25" s="77"/>
      <c r="H25"/>
      <c r="I25"/>
      <c r="J25"/>
      <c r="K25"/>
      <c r="L25"/>
    </row>
    <row r="26" spans="3:12">
      <c r="C26" s="77"/>
      <c r="D26" s="77"/>
      <c r="E26" s="77"/>
      <c r="F26" s="77"/>
      <c r="H26"/>
      <c r="I26"/>
      <c r="J26"/>
      <c r="K26"/>
      <c r="L26"/>
    </row>
    <row r="27" spans="3:12">
      <c r="C27" s="77"/>
      <c r="D27" s="77"/>
      <c r="E27" s="77"/>
      <c r="F27" s="77"/>
      <c r="H27"/>
      <c r="I27"/>
      <c r="J27"/>
      <c r="K27"/>
      <c r="L27"/>
    </row>
  </sheetData>
  <mergeCells count="13">
    <mergeCell ref="A3:A4"/>
    <mergeCell ref="L3:L4"/>
    <mergeCell ref="B5:K5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F31" sqref="F31"/>
    </sheetView>
  </sheetViews>
  <sheetFormatPr baseColWidth="10" defaultColWidth="8.7109375" defaultRowHeight="13" x14ac:dyDescent="0"/>
  <cols>
    <col min="1" max="1" width="8.7109375" style="32"/>
    <col min="2" max="3" width="26" style="19" bestFit="1" customWidth="1"/>
    <col min="4" max="4" width="10.5703125" style="19" bestFit="1" customWidth="1"/>
    <col min="5" max="5" width="8.42578125" style="19" bestFit="1" customWidth="1"/>
    <col min="6" max="6" width="22.7109375" style="19" bestFit="1" customWidth="1"/>
    <col min="7" max="7" width="32.7109375" style="19" bestFit="1" customWidth="1"/>
    <col min="8" max="10" width="5.5703125" style="74" bestFit="1" customWidth="1"/>
    <col min="11" max="11" width="4.5703125" style="74" bestFit="1" customWidth="1"/>
    <col min="12" max="12" width="10" style="74" customWidth="1"/>
    <col min="13" max="13" width="8.5703125" style="74" bestFit="1" customWidth="1"/>
    <col min="14" max="14" width="15.42578125" style="19" bestFit="1" customWidth="1"/>
  </cols>
  <sheetData>
    <row r="1" spans="1:14" s="1" customFormat="1" ht="15" customHeight="1">
      <c r="A1" s="52"/>
      <c r="B1" s="123" t="s">
        <v>459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1" customFormat="1" ht="137" customHeight="1" thickBot="1">
      <c r="A2" s="52"/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2" customFormat="1" ht="12.75" customHeight="1">
      <c r="A3" s="121" t="s">
        <v>301</v>
      </c>
      <c r="B3" s="129" t="s">
        <v>0</v>
      </c>
      <c r="C3" s="131" t="s">
        <v>302</v>
      </c>
      <c r="D3" s="131" t="s">
        <v>303</v>
      </c>
      <c r="E3" s="134" t="s">
        <v>12</v>
      </c>
      <c r="F3" s="134" t="s">
        <v>8</v>
      </c>
      <c r="G3" s="134" t="s">
        <v>306</v>
      </c>
      <c r="H3" s="134" t="s">
        <v>3</v>
      </c>
      <c r="I3" s="134"/>
      <c r="J3" s="134"/>
      <c r="K3" s="134"/>
      <c r="L3" s="134" t="s">
        <v>305</v>
      </c>
      <c r="M3" s="134" t="s">
        <v>7</v>
      </c>
      <c r="N3" s="135" t="s">
        <v>6</v>
      </c>
    </row>
    <row r="4" spans="1:14" s="2" customFormat="1" ht="21" customHeight="1" thickBot="1">
      <c r="A4" s="122"/>
      <c r="B4" s="130"/>
      <c r="C4" s="132"/>
      <c r="D4" s="133"/>
      <c r="E4" s="132"/>
      <c r="F4" s="132"/>
      <c r="G4" s="132"/>
      <c r="H4" s="30">
        <v>1</v>
      </c>
      <c r="I4" s="30">
        <v>2</v>
      </c>
      <c r="J4" s="30">
        <v>3</v>
      </c>
      <c r="K4" s="30" t="s">
        <v>9</v>
      </c>
      <c r="L4" s="132"/>
      <c r="M4" s="132"/>
      <c r="N4" s="136"/>
    </row>
    <row r="5" spans="1:14" ht="16">
      <c r="B5" s="120" t="s">
        <v>223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4">
      <c r="A6" s="32">
        <v>1</v>
      </c>
      <c r="B6" s="20" t="s">
        <v>224</v>
      </c>
      <c r="C6" s="20" t="s">
        <v>225</v>
      </c>
      <c r="D6" s="20" t="s">
        <v>393</v>
      </c>
      <c r="E6" s="20" t="str">
        <f>"1,3305"</f>
        <v>1,3305</v>
      </c>
      <c r="F6" s="20" t="s">
        <v>105</v>
      </c>
      <c r="G6" s="20" t="s">
        <v>17</v>
      </c>
      <c r="H6" s="33" t="s">
        <v>62</v>
      </c>
      <c r="I6" s="45" t="s">
        <v>48</v>
      </c>
      <c r="J6" s="45" t="s">
        <v>48</v>
      </c>
      <c r="K6" s="35"/>
      <c r="L6" s="36">
        <v>92.5</v>
      </c>
      <c r="M6" s="36" t="str">
        <f>"123,0713"</f>
        <v>123,0713</v>
      </c>
      <c r="N6" s="20" t="s">
        <v>316</v>
      </c>
    </row>
    <row r="8" spans="1:14" ht="16">
      <c r="B8" s="137" t="s">
        <v>70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14">
      <c r="A9" s="32">
        <v>1</v>
      </c>
      <c r="B9" s="20" t="s">
        <v>206</v>
      </c>
      <c r="C9" s="20" t="s">
        <v>207</v>
      </c>
      <c r="D9" s="20" t="s">
        <v>394</v>
      </c>
      <c r="E9" s="20" t="str">
        <f>"0,6800"</f>
        <v>0,6800</v>
      </c>
      <c r="F9" s="20" t="s">
        <v>36</v>
      </c>
      <c r="G9" s="20" t="s">
        <v>388</v>
      </c>
      <c r="H9" s="33" t="s">
        <v>120</v>
      </c>
      <c r="I9" s="33" t="s">
        <v>122</v>
      </c>
      <c r="J9" s="33" t="s">
        <v>205</v>
      </c>
      <c r="K9" s="35"/>
      <c r="L9" s="36" t="s">
        <v>205</v>
      </c>
      <c r="M9" s="36" t="str">
        <f>"136,0000"</f>
        <v>136,0000</v>
      </c>
      <c r="N9" s="20" t="s">
        <v>304</v>
      </c>
    </row>
    <row r="11" spans="1:14" ht="16">
      <c r="B11" s="137" t="s">
        <v>138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4">
      <c r="A12" s="32">
        <v>1</v>
      </c>
      <c r="B12" s="20" t="s">
        <v>226</v>
      </c>
      <c r="C12" s="20" t="s">
        <v>227</v>
      </c>
      <c r="D12" s="20" t="s">
        <v>395</v>
      </c>
      <c r="E12" s="20" t="str">
        <f>"0,6032"</f>
        <v>0,6032</v>
      </c>
      <c r="F12" s="20" t="s">
        <v>23</v>
      </c>
      <c r="G12" s="20" t="s">
        <v>17</v>
      </c>
      <c r="H12" s="33" t="s">
        <v>122</v>
      </c>
      <c r="I12" s="33" t="s">
        <v>191</v>
      </c>
      <c r="J12" s="33" t="s">
        <v>188</v>
      </c>
      <c r="K12" s="35"/>
      <c r="L12" s="36" t="s">
        <v>188</v>
      </c>
      <c r="M12" s="36" t="str">
        <f>"126,6720"</f>
        <v>126,6720</v>
      </c>
      <c r="N12" s="20" t="s">
        <v>304</v>
      </c>
    </row>
    <row r="14" spans="1:14">
      <c r="I14" s="32"/>
      <c r="J14" s="32"/>
      <c r="K14" s="32"/>
      <c r="L14" s="32"/>
      <c r="M14" s="32"/>
      <c r="N14"/>
    </row>
    <row r="15" spans="1:14">
      <c r="I15" s="32"/>
      <c r="J15" s="32"/>
      <c r="K15" s="32"/>
      <c r="L15" s="32"/>
      <c r="M15" s="32"/>
      <c r="N15"/>
    </row>
    <row r="16" spans="1:14">
      <c r="I16" s="32"/>
      <c r="J16" s="32"/>
      <c r="K16" s="32"/>
      <c r="L16" s="32"/>
      <c r="M16" s="32"/>
      <c r="N16"/>
    </row>
    <row r="17" spans="6:14">
      <c r="I17" s="32"/>
      <c r="J17" s="32"/>
      <c r="K17" s="32"/>
      <c r="L17" s="32"/>
      <c r="M17" s="32"/>
      <c r="N17"/>
    </row>
    <row r="18" spans="6:14">
      <c r="I18" s="32"/>
      <c r="J18" s="32"/>
      <c r="K18" s="32"/>
      <c r="L18" s="32"/>
      <c r="M18" s="32"/>
      <c r="N18"/>
    </row>
    <row r="19" spans="6:14">
      <c r="I19" s="32"/>
      <c r="J19" s="32"/>
      <c r="K19" s="32"/>
      <c r="L19" s="32"/>
      <c r="M19" s="32"/>
      <c r="N19"/>
    </row>
    <row r="20" spans="6:14">
      <c r="I20" s="32"/>
      <c r="J20" s="32"/>
      <c r="K20" s="32"/>
      <c r="L20" s="32"/>
      <c r="M20" s="32"/>
      <c r="N20"/>
    </row>
    <row r="21" spans="6:14">
      <c r="I21" s="32"/>
      <c r="J21" s="32"/>
      <c r="K21" s="32"/>
      <c r="L21" s="32"/>
      <c r="M21" s="32"/>
      <c r="N21"/>
    </row>
    <row r="22" spans="6:14">
      <c r="I22" s="32"/>
      <c r="J22" s="32"/>
      <c r="K22" s="32"/>
      <c r="L22" s="32"/>
      <c r="M22" s="32"/>
      <c r="N22"/>
    </row>
    <row r="23" spans="6:14">
      <c r="I23" s="32"/>
      <c r="J23" s="32"/>
      <c r="K23" s="32"/>
      <c r="L23" s="32"/>
      <c r="M23" s="32"/>
      <c r="N23"/>
    </row>
    <row r="24" spans="6:14">
      <c r="I24" s="32"/>
      <c r="J24" s="32"/>
      <c r="K24" s="32"/>
      <c r="L24" s="32"/>
      <c r="M24" s="32"/>
      <c r="N24"/>
    </row>
    <row r="25" spans="6:14">
      <c r="I25" s="32"/>
      <c r="J25" s="32"/>
      <c r="K25" s="32"/>
      <c r="L25" s="32"/>
      <c r="M25" s="32"/>
      <c r="N25"/>
    </row>
    <row r="26" spans="6:14">
      <c r="I26" s="32"/>
      <c r="J26" s="32"/>
      <c r="K26" s="32"/>
      <c r="L26" s="32"/>
      <c r="M26" s="32"/>
      <c r="N26"/>
    </row>
    <row r="27" spans="6:14">
      <c r="F27" s="19" t="s">
        <v>454</v>
      </c>
      <c r="I27" s="32"/>
      <c r="J27" s="32"/>
      <c r="K27" s="32"/>
      <c r="L27" s="32"/>
      <c r="M27" s="32"/>
      <c r="N27"/>
    </row>
    <row r="28" spans="6:14">
      <c r="I28" s="32"/>
      <c r="J28" s="32"/>
      <c r="K28" s="32"/>
      <c r="L28" s="32"/>
      <c r="M28" s="32"/>
      <c r="N28"/>
    </row>
    <row r="29" spans="6:14">
      <c r="I29" s="32"/>
      <c r="J29" s="32"/>
      <c r="K29" s="32"/>
      <c r="L29" s="32"/>
      <c r="M29" s="32"/>
      <c r="N29"/>
    </row>
    <row r="30" spans="6:14">
      <c r="I30" s="32"/>
      <c r="J30" s="32"/>
      <c r="K30" s="32"/>
      <c r="L30" s="32"/>
      <c r="M30" s="32"/>
      <c r="N30"/>
    </row>
    <row r="31" spans="6:14">
      <c r="I31" s="32"/>
      <c r="J31" s="32"/>
      <c r="K31" s="32"/>
      <c r="L31" s="32"/>
      <c r="M31" s="32"/>
      <c r="N31"/>
    </row>
    <row r="32" spans="6:14">
      <c r="I32" s="32"/>
      <c r="J32" s="32"/>
      <c r="K32" s="32"/>
      <c r="L32" s="32"/>
      <c r="M32" s="32"/>
      <c r="N32"/>
    </row>
    <row r="33" spans="6:14">
      <c r="I33" s="32"/>
      <c r="J33" s="32"/>
      <c r="K33" s="32"/>
      <c r="L33" s="32"/>
      <c r="M33" s="32"/>
      <c r="N33"/>
    </row>
    <row r="34" spans="6:14">
      <c r="I34" s="32"/>
      <c r="J34" s="32"/>
      <c r="K34" s="32"/>
      <c r="L34" s="32"/>
      <c r="M34" s="32"/>
      <c r="N34"/>
    </row>
    <row r="35" spans="6:14">
      <c r="I35" s="32"/>
      <c r="J35" s="32"/>
      <c r="K35" s="32"/>
      <c r="L35" s="32"/>
      <c r="M35" s="32"/>
      <c r="N35"/>
    </row>
    <row r="36" spans="6:14">
      <c r="F36" s="19" t="s">
        <v>454</v>
      </c>
      <c r="I36" s="32"/>
      <c r="J36" s="32"/>
      <c r="K36" s="32"/>
      <c r="L36" s="32"/>
      <c r="M36" s="32"/>
      <c r="N36"/>
    </row>
    <row r="37" spans="6:14">
      <c r="I37" s="32"/>
      <c r="J37" s="32"/>
      <c r="K37" s="32"/>
      <c r="L37" s="32"/>
      <c r="M37" s="32"/>
      <c r="N37"/>
    </row>
    <row r="38" spans="6:14">
      <c r="I38" s="32"/>
      <c r="J38" s="32"/>
      <c r="K38" s="32"/>
      <c r="L38" s="32"/>
      <c r="M38" s="32"/>
      <c r="N38"/>
    </row>
    <row r="39" spans="6:14">
      <c r="I39" s="32"/>
      <c r="J39" s="32"/>
      <c r="K39" s="32"/>
      <c r="L39" s="32"/>
      <c r="M39" s="32"/>
      <c r="N39"/>
    </row>
    <row r="40" spans="6:14">
      <c r="I40" s="32"/>
      <c r="J40" s="32"/>
      <c r="K40" s="32"/>
      <c r="L40" s="32"/>
      <c r="M40" s="32"/>
      <c r="N40"/>
    </row>
    <row r="41" spans="6:14">
      <c r="I41" s="32"/>
      <c r="J41" s="32"/>
      <c r="K41" s="32"/>
      <c r="L41" s="32"/>
      <c r="M41" s="32"/>
      <c r="N41"/>
    </row>
    <row r="42" spans="6:14">
      <c r="I42" s="32"/>
      <c r="J42" s="32"/>
      <c r="K42" s="32"/>
      <c r="L42" s="32"/>
      <c r="M42" s="32"/>
      <c r="N42"/>
    </row>
    <row r="43" spans="6:14">
      <c r="I43" s="32"/>
      <c r="J43" s="32"/>
      <c r="K43" s="32"/>
      <c r="L43" s="32"/>
      <c r="M43" s="32"/>
      <c r="N43"/>
    </row>
    <row r="44" spans="6:14">
      <c r="I44" s="32"/>
      <c r="J44" s="32"/>
      <c r="K44" s="32"/>
      <c r="L44" s="32"/>
      <c r="M44" s="32"/>
      <c r="N44"/>
    </row>
    <row r="45" spans="6:14">
      <c r="I45" s="32"/>
      <c r="J45" s="32"/>
      <c r="K45" s="32"/>
      <c r="L45" s="32"/>
      <c r="M45" s="32"/>
      <c r="N45"/>
    </row>
    <row r="46" spans="6:14">
      <c r="I46" s="32"/>
      <c r="J46" s="32"/>
      <c r="K46" s="32"/>
      <c r="L46" s="32"/>
      <c r="M46" s="32"/>
      <c r="N46"/>
    </row>
  </sheetData>
  <mergeCells count="15"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17" sqref="G17"/>
    </sheetView>
  </sheetViews>
  <sheetFormatPr baseColWidth="10" defaultColWidth="8.7109375" defaultRowHeight="13" x14ac:dyDescent="0"/>
  <cols>
    <col min="1" max="1" width="8.7109375" style="52"/>
    <col min="2" max="2" width="28.28515625" style="4" bestFit="1" customWidth="1"/>
    <col min="3" max="3" width="21.42578125" style="1" bestFit="1" customWidth="1"/>
    <col min="4" max="4" width="10.5703125" style="5" bestFit="1" customWidth="1"/>
    <col min="5" max="5" width="22.7109375" style="5" bestFit="1" customWidth="1"/>
    <col min="6" max="6" width="26" style="5" bestFit="1" customWidth="1"/>
    <col min="7" max="9" width="4.5703125" style="1" bestFit="1" customWidth="1"/>
    <col min="10" max="10" width="4.7109375" style="1" customWidth="1"/>
    <col min="11" max="11" width="11.5703125" style="4" customWidth="1"/>
    <col min="12" max="12" width="19" style="5" bestFit="1" customWidth="1"/>
    <col min="13" max="16384" width="8.7109375" style="1"/>
  </cols>
  <sheetData>
    <row r="1" spans="1:12" ht="15" customHeight="1">
      <c r="B1" s="123" t="s">
        <v>447</v>
      </c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38" customHeight="1" thickBot="1"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s="2" customFormat="1" ht="12.75" customHeight="1">
      <c r="A3" s="134" t="s">
        <v>301</v>
      </c>
      <c r="B3" s="129" t="s">
        <v>0</v>
      </c>
      <c r="C3" s="131" t="s">
        <v>302</v>
      </c>
      <c r="D3" s="131" t="s">
        <v>303</v>
      </c>
      <c r="E3" s="134" t="s">
        <v>8</v>
      </c>
      <c r="F3" s="134" t="s">
        <v>306</v>
      </c>
      <c r="G3" s="153" t="s">
        <v>3</v>
      </c>
      <c r="H3" s="153"/>
      <c r="I3" s="153"/>
      <c r="J3" s="144"/>
      <c r="K3" s="140" t="s">
        <v>305</v>
      </c>
      <c r="L3" s="135" t="s">
        <v>6</v>
      </c>
    </row>
    <row r="4" spans="1:12" s="2" customFormat="1" ht="32.25" customHeight="1" thickBot="1">
      <c r="A4" s="132"/>
      <c r="B4" s="130"/>
      <c r="C4" s="132"/>
      <c r="D4" s="133"/>
      <c r="E4" s="132"/>
      <c r="F4" s="132"/>
      <c r="G4" s="3" t="s">
        <v>307</v>
      </c>
      <c r="H4" s="3" t="s">
        <v>308</v>
      </c>
      <c r="I4" s="3" t="s">
        <v>309</v>
      </c>
      <c r="J4" s="3" t="s">
        <v>310</v>
      </c>
      <c r="K4" s="141"/>
      <c r="L4" s="136"/>
    </row>
    <row r="5" spans="1:12" ht="16">
      <c r="B5" s="157" t="s">
        <v>233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1:12">
      <c r="A6" s="52" t="s">
        <v>307</v>
      </c>
      <c r="B6" s="50" t="s">
        <v>234</v>
      </c>
      <c r="C6" s="10" t="s">
        <v>235</v>
      </c>
      <c r="D6" s="10" t="s">
        <v>202</v>
      </c>
      <c r="E6" s="10" t="s">
        <v>36</v>
      </c>
      <c r="F6" s="10" t="s">
        <v>17</v>
      </c>
      <c r="G6" s="33" t="s">
        <v>237</v>
      </c>
      <c r="H6" s="64" t="s">
        <v>238</v>
      </c>
      <c r="I6" s="33" t="s">
        <v>238</v>
      </c>
      <c r="J6" s="11"/>
      <c r="K6" s="57" t="s">
        <v>379</v>
      </c>
      <c r="L6" s="10" t="s">
        <v>304</v>
      </c>
    </row>
    <row r="8" spans="1:12" ht="16">
      <c r="B8" s="156" t="s">
        <v>98</v>
      </c>
      <c r="C8" s="156"/>
      <c r="D8" s="156"/>
      <c r="E8" s="156"/>
      <c r="F8" s="156"/>
      <c r="G8" s="156"/>
      <c r="H8" s="156"/>
      <c r="I8" s="156"/>
      <c r="J8" s="156"/>
      <c r="K8" s="156"/>
    </row>
    <row r="9" spans="1:12">
      <c r="A9" s="52" t="s">
        <v>307</v>
      </c>
      <c r="B9" s="50" t="s">
        <v>239</v>
      </c>
      <c r="C9" s="10" t="s">
        <v>240</v>
      </c>
      <c r="D9" s="10" t="s">
        <v>378</v>
      </c>
      <c r="E9" s="10" t="s">
        <v>36</v>
      </c>
      <c r="F9" s="10" t="s">
        <v>376</v>
      </c>
      <c r="G9" s="33" t="s">
        <v>241</v>
      </c>
      <c r="H9" s="33" t="s">
        <v>242</v>
      </c>
      <c r="I9" s="33" t="s">
        <v>243</v>
      </c>
      <c r="J9" s="11"/>
      <c r="K9" s="57" t="s">
        <v>380</v>
      </c>
      <c r="L9" s="10" t="s">
        <v>377</v>
      </c>
    </row>
    <row r="11" spans="1:12" ht="16">
      <c r="E11" s="13"/>
    </row>
    <row r="12" spans="1:12" ht="16">
      <c r="E12" s="13"/>
    </row>
    <row r="13" spans="1:12" ht="16">
      <c r="E13" s="13"/>
    </row>
    <row r="14" spans="1:12" ht="16">
      <c r="E14" s="13"/>
    </row>
    <row r="15" spans="1:12" ht="16">
      <c r="E15" s="13"/>
    </row>
    <row r="16" spans="1:12" ht="16">
      <c r="E16" s="13"/>
    </row>
    <row r="17" spans="2:12">
      <c r="B17" s="5"/>
      <c r="E17" s="1"/>
      <c r="F17" s="1"/>
      <c r="H17" s="5"/>
      <c r="K17" s="1"/>
      <c r="L17" s="1"/>
    </row>
    <row r="18" spans="2:12">
      <c r="B18" s="5"/>
      <c r="E18" s="1"/>
      <c r="F18" s="1"/>
      <c r="H18" s="5"/>
      <c r="K18" s="1"/>
      <c r="L18" s="1"/>
    </row>
    <row r="19" spans="2:12">
      <c r="B19" s="5"/>
      <c r="E19" s="1"/>
      <c r="F19" s="1"/>
      <c r="H19" s="5"/>
      <c r="K19" s="1"/>
      <c r="L19" s="1"/>
    </row>
    <row r="20" spans="2:12">
      <c r="B20" s="5"/>
      <c r="E20" s="1"/>
      <c r="F20" s="1"/>
      <c r="H20" s="5"/>
      <c r="K20" s="1"/>
      <c r="L20" s="1"/>
    </row>
    <row r="21" spans="2:12">
      <c r="B21" s="5"/>
      <c r="E21" s="1"/>
      <c r="F21" s="1"/>
      <c r="H21" s="5"/>
      <c r="K21" s="1"/>
      <c r="L21" s="1"/>
    </row>
    <row r="22" spans="2:12">
      <c r="B22" s="5"/>
      <c r="E22" s="1"/>
      <c r="F22" s="1"/>
      <c r="H22" s="5"/>
      <c r="K22" s="1"/>
      <c r="L22" s="1"/>
    </row>
    <row r="23" spans="2:12">
      <c r="B23" s="5"/>
      <c r="E23" s="1"/>
      <c r="F23" s="1"/>
      <c r="H23" s="5"/>
      <c r="K23" s="1"/>
      <c r="L23" s="1"/>
    </row>
    <row r="24" spans="2:12">
      <c r="B24" s="5"/>
      <c r="E24" s="1"/>
      <c r="F24" s="1"/>
      <c r="H24" s="5"/>
      <c r="K24" s="1"/>
      <c r="L24" s="1"/>
    </row>
    <row r="25" spans="2:12">
      <c r="B25" s="5"/>
      <c r="E25" s="1"/>
      <c r="F25" s="1"/>
      <c r="H25" s="5"/>
      <c r="K25" s="1"/>
      <c r="L25" s="1"/>
    </row>
    <row r="26" spans="2:12">
      <c r="B26" s="5"/>
      <c r="E26" s="1"/>
      <c r="F26" s="1"/>
      <c r="H26" s="5"/>
      <c r="K26" s="1"/>
      <c r="L26" s="1"/>
    </row>
    <row r="27" spans="2:12">
      <c r="B27" s="5"/>
      <c r="E27" s="1"/>
      <c r="F27" s="1"/>
      <c r="H27" s="5"/>
      <c r="K27" s="1"/>
      <c r="L27" s="1"/>
    </row>
  </sheetData>
  <mergeCells count="12">
    <mergeCell ref="A3:A4"/>
    <mergeCell ref="L3:L4"/>
    <mergeCell ref="B5:K5"/>
    <mergeCell ref="B8:K8"/>
    <mergeCell ref="B1:L2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B1" sqref="B1:K2"/>
    </sheetView>
  </sheetViews>
  <sheetFormatPr baseColWidth="10" defaultColWidth="8.7109375" defaultRowHeight="13" x14ac:dyDescent="0"/>
  <cols>
    <col min="1" max="1" width="8.7109375" style="32"/>
    <col min="2" max="2" width="26" style="19" bestFit="1" customWidth="1"/>
    <col min="3" max="3" width="24.28515625" style="19" bestFit="1" customWidth="1"/>
    <col min="4" max="4" width="10.5703125" style="19" bestFit="1" customWidth="1"/>
    <col min="5" max="5" width="22.7109375" style="19" bestFit="1" customWidth="1"/>
    <col min="6" max="6" width="26.85546875" style="19" bestFit="1" customWidth="1"/>
    <col min="7" max="9" width="5.5703125" style="74" bestFit="1" customWidth="1"/>
    <col min="10" max="10" width="11.28515625" style="74" customWidth="1"/>
    <col min="11" max="11" width="15.42578125" style="19" bestFit="1" customWidth="1"/>
  </cols>
  <sheetData>
    <row r="1" spans="1:11" s="1" customFormat="1" ht="15" customHeight="1">
      <c r="A1" s="52"/>
      <c r="B1" s="123" t="s">
        <v>446</v>
      </c>
      <c r="C1" s="124"/>
      <c r="D1" s="124"/>
      <c r="E1" s="124"/>
      <c r="F1" s="124"/>
      <c r="G1" s="124"/>
      <c r="H1" s="124"/>
      <c r="I1" s="124"/>
      <c r="J1" s="124"/>
      <c r="K1" s="125"/>
    </row>
    <row r="2" spans="1:11" s="1" customFormat="1" ht="135" customHeight="1" thickBot="1">
      <c r="A2" s="52"/>
      <c r="B2" s="126"/>
      <c r="C2" s="127"/>
      <c r="D2" s="127"/>
      <c r="E2" s="127"/>
      <c r="F2" s="127"/>
      <c r="G2" s="127"/>
      <c r="H2" s="127"/>
      <c r="I2" s="127"/>
      <c r="J2" s="127"/>
      <c r="K2" s="128"/>
    </row>
    <row r="3" spans="1:11" s="2" customFormat="1" ht="19" customHeight="1">
      <c r="A3" s="134" t="s">
        <v>301</v>
      </c>
      <c r="B3" s="129" t="s">
        <v>0</v>
      </c>
      <c r="C3" s="131" t="s">
        <v>302</v>
      </c>
      <c r="D3" s="131" t="s">
        <v>303</v>
      </c>
      <c r="E3" s="134" t="s">
        <v>8</v>
      </c>
      <c r="F3" s="134" t="s">
        <v>306</v>
      </c>
      <c r="G3" s="153" t="s">
        <v>3</v>
      </c>
      <c r="H3" s="153"/>
      <c r="I3" s="153"/>
      <c r="J3" s="144"/>
      <c r="K3" s="135" t="s">
        <v>6</v>
      </c>
    </row>
    <row r="4" spans="1:11" s="2" customFormat="1" ht="23" customHeight="1" thickBot="1">
      <c r="A4" s="132"/>
      <c r="B4" s="130"/>
      <c r="C4" s="132"/>
      <c r="D4" s="133"/>
      <c r="E4" s="132"/>
      <c r="F4" s="132"/>
      <c r="G4" s="3" t="s">
        <v>307</v>
      </c>
      <c r="H4" s="3" t="s">
        <v>308</v>
      </c>
      <c r="I4" s="3" t="s">
        <v>309</v>
      </c>
      <c r="J4" s="3" t="s">
        <v>305</v>
      </c>
      <c r="K4" s="136"/>
    </row>
    <row r="5" spans="1:11" ht="16">
      <c r="B5" s="161" t="s">
        <v>57</v>
      </c>
      <c r="C5" s="161"/>
      <c r="D5" s="161"/>
      <c r="E5" s="161"/>
      <c r="F5" s="161"/>
      <c r="G5" s="161"/>
      <c r="H5" s="161"/>
      <c r="I5" s="161"/>
      <c r="J5" s="161"/>
    </row>
    <row r="6" spans="1:11">
      <c r="A6" s="32">
        <v>1</v>
      </c>
      <c r="B6" s="20" t="s">
        <v>245</v>
      </c>
      <c r="C6" s="20" t="s">
        <v>246</v>
      </c>
      <c r="D6" s="20" t="s">
        <v>383</v>
      </c>
      <c r="E6" s="20" t="s">
        <v>105</v>
      </c>
      <c r="F6" s="20" t="s">
        <v>17</v>
      </c>
      <c r="G6" s="33" t="s">
        <v>25</v>
      </c>
      <c r="H6" s="45" t="s">
        <v>26</v>
      </c>
      <c r="I6" s="45" t="s">
        <v>26</v>
      </c>
      <c r="J6" s="36" t="s">
        <v>25</v>
      </c>
      <c r="K6" s="20" t="s">
        <v>316</v>
      </c>
    </row>
    <row r="8" spans="1:11" ht="16">
      <c r="B8" s="137" t="s">
        <v>247</v>
      </c>
      <c r="C8" s="137"/>
      <c r="D8" s="137"/>
      <c r="E8" s="137"/>
      <c r="F8" s="137"/>
      <c r="G8" s="137"/>
      <c r="H8" s="137"/>
      <c r="I8" s="137"/>
      <c r="J8" s="137"/>
    </row>
    <row r="9" spans="1:11">
      <c r="A9" s="32">
        <v>1</v>
      </c>
      <c r="B9" s="20" t="s">
        <v>81</v>
      </c>
      <c r="C9" s="20" t="s">
        <v>248</v>
      </c>
      <c r="D9" s="20" t="s">
        <v>384</v>
      </c>
      <c r="E9" s="20" t="s">
        <v>36</v>
      </c>
      <c r="F9" s="20" t="s">
        <v>249</v>
      </c>
      <c r="G9" s="33" t="s">
        <v>61</v>
      </c>
      <c r="H9" s="33" t="s">
        <v>48</v>
      </c>
      <c r="I9" s="33" t="s">
        <v>49</v>
      </c>
      <c r="J9" s="36" t="s">
        <v>49</v>
      </c>
      <c r="K9" s="20" t="s">
        <v>381</v>
      </c>
    </row>
    <row r="11" spans="1:11" ht="16">
      <c r="B11" s="137" t="s">
        <v>98</v>
      </c>
      <c r="C11" s="137"/>
      <c r="D11" s="137"/>
      <c r="E11" s="137"/>
      <c r="F11" s="137"/>
      <c r="G11" s="137"/>
      <c r="H11" s="137"/>
      <c r="I11" s="137"/>
      <c r="J11" s="137"/>
    </row>
    <row r="12" spans="1:11">
      <c r="A12" s="32">
        <v>1</v>
      </c>
      <c r="B12" s="24" t="s">
        <v>250</v>
      </c>
      <c r="C12" s="24" t="s">
        <v>251</v>
      </c>
      <c r="D12" s="24" t="s">
        <v>385</v>
      </c>
      <c r="E12" s="24" t="s">
        <v>36</v>
      </c>
      <c r="F12" s="24" t="s">
        <v>249</v>
      </c>
      <c r="G12" s="61" t="s">
        <v>49</v>
      </c>
      <c r="H12" s="61" t="s">
        <v>50</v>
      </c>
      <c r="I12" s="76" t="s">
        <v>133</v>
      </c>
      <c r="J12" s="104" t="s">
        <v>50</v>
      </c>
      <c r="K12" s="24" t="s">
        <v>381</v>
      </c>
    </row>
    <row r="13" spans="1:11">
      <c r="A13" s="32">
        <v>2</v>
      </c>
      <c r="B13" s="28" t="s">
        <v>228</v>
      </c>
      <c r="C13" s="28" t="s">
        <v>229</v>
      </c>
      <c r="D13" s="28" t="s">
        <v>386</v>
      </c>
      <c r="E13" s="28" t="s">
        <v>36</v>
      </c>
      <c r="F13" s="28" t="s">
        <v>17</v>
      </c>
      <c r="G13" s="37" t="s">
        <v>69</v>
      </c>
      <c r="H13" s="37" t="s">
        <v>48</v>
      </c>
      <c r="I13" s="75" t="s">
        <v>133</v>
      </c>
      <c r="J13" s="106" t="s">
        <v>48</v>
      </c>
      <c r="K13" s="28" t="s">
        <v>381</v>
      </c>
    </row>
    <row r="15" spans="1:11" ht="16">
      <c r="B15" s="137" t="s">
        <v>117</v>
      </c>
      <c r="C15" s="137"/>
      <c r="D15" s="137"/>
      <c r="E15" s="137"/>
      <c r="F15" s="137"/>
      <c r="G15" s="137"/>
      <c r="H15" s="137"/>
      <c r="I15" s="137"/>
      <c r="J15" s="137"/>
    </row>
    <row r="16" spans="1:11">
      <c r="A16" s="32">
        <v>1</v>
      </c>
      <c r="B16" s="20" t="s">
        <v>252</v>
      </c>
      <c r="C16" s="20" t="s">
        <v>253</v>
      </c>
      <c r="D16" s="20" t="s">
        <v>48</v>
      </c>
      <c r="E16" s="20" t="s">
        <v>36</v>
      </c>
      <c r="F16" s="20" t="s">
        <v>17</v>
      </c>
      <c r="G16" s="33" t="s">
        <v>94</v>
      </c>
      <c r="H16" s="33" t="s">
        <v>129</v>
      </c>
      <c r="I16" s="33" t="s">
        <v>113</v>
      </c>
      <c r="J16" s="36" t="s">
        <v>113</v>
      </c>
      <c r="K16" s="20" t="s">
        <v>108</v>
      </c>
    </row>
    <row r="18" spans="1:11" ht="16">
      <c r="B18" s="137" t="s">
        <v>138</v>
      </c>
      <c r="C18" s="137"/>
      <c r="D18" s="137"/>
      <c r="E18" s="137"/>
      <c r="F18" s="137"/>
      <c r="G18" s="137"/>
      <c r="H18" s="137"/>
      <c r="I18" s="137"/>
      <c r="J18" s="137"/>
    </row>
    <row r="19" spans="1:11">
      <c r="A19" s="32">
        <v>1</v>
      </c>
      <c r="B19" s="24" t="s">
        <v>254</v>
      </c>
      <c r="C19" s="24" t="s">
        <v>255</v>
      </c>
      <c r="D19" s="24" t="s">
        <v>49</v>
      </c>
      <c r="E19" s="24" t="s">
        <v>105</v>
      </c>
      <c r="F19" s="24" t="s">
        <v>17</v>
      </c>
      <c r="G19" s="61" t="s">
        <v>78</v>
      </c>
      <c r="H19" s="61" t="s">
        <v>94</v>
      </c>
      <c r="I19" s="76" t="s">
        <v>111</v>
      </c>
      <c r="J19" s="104" t="s">
        <v>94</v>
      </c>
      <c r="K19" s="24" t="s">
        <v>382</v>
      </c>
    </row>
    <row r="20" spans="1:11">
      <c r="B20" s="28" t="s">
        <v>144</v>
      </c>
      <c r="C20" s="28" t="s">
        <v>145</v>
      </c>
      <c r="D20" s="28" t="s">
        <v>49</v>
      </c>
      <c r="E20" s="28" t="s">
        <v>105</v>
      </c>
      <c r="F20" s="28" t="s">
        <v>17</v>
      </c>
      <c r="G20" s="75" t="s">
        <v>78</v>
      </c>
      <c r="H20" s="75" t="s">
        <v>78</v>
      </c>
      <c r="I20" s="75" t="s">
        <v>78</v>
      </c>
      <c r="J20" s="106" t="s">
        <v>236</v>
      </c>
      <c r="K20" s="28" t="s">
        <v>381</v>
      </c>
    </row>
    <row r="22" spans="1:11" ht="16">
      <c r="B22" s="137" t="s">
        <v>256</v>
      </c>
      <c r="C22" s="137"/>
      <c r="D22" s="137"/>
      <c r="E22" s="137"/>
      <c r="F22" s="137"/>
      <c r="G22" s="137"/>
      <c r="H22" s="137"/>
      <c r="I22" s="137"/>
      <c r="J22" s="137"/>
    </row>
    <row r="23" spans="1:11">
      <c r="A23" s="32">
        <v>1</v>
      </c>
      <c r="B23" s="20" t="s">
        <v>257</v>
      </c>
      <c r="C23" s="20" t="s">
        <v>258</v>
      </c>
      <c r="D23" s="20" t="s">
        <v>387</v>
      </c>
      <c r="E23" s="20" t="s">
        <v>36</v>
      </c>
      <c r="F23" s="20" t="s">
        <v>249</v>
      </c>
      <c r="G23" s="33" t="s">
        <v>133</v>
      </c>
      <c r="H23" s="45" t="s">
        <v>76</v>
      </c>
      <c r="I23" s="45" t="s">
        <v>76</v>
      </c>
      <c r="J23" s="36" t="s">
        <v>133</v>
      </c>
      <c r="K23" s="20" t="s">
        <v>381</v>
      </c>
    </row>
    <row r="25" spans="1:11" ht="16">
      <c r="E25" s="22"/>
    </row>
    <row r="26" spans="1:11" ht="16">
      <c r="E26" s="22"/>
    </row>
    <row r="27" spans="1:11" ht="16">
      <c r="E27" s="22"/>
    </row>
    <row r="28" spans="1:11" ht="16">
      <c r="E28" s="22"/>
    </row>
    <row r="29" spans="1:11" ht="16">
      <c r="E29" s="22"/>
    </row>
    <row r="30" spans="1:11" ht="16">
      <c r="E30" s="22"/>
    </row>
    <row r="31" spans="1:11" ht="16">
      <c r="E31" s="22"/>
    </row>
    <row r="32" spans="1:11">
      <c r="H32" s="32"/>
      <c r="I32" s="32"/>
      <c r="J32" s="32"/>
      <c r="K32"/>
    </row>
    <row r="33" spans="8:11">
      <c r="H33" s="32"/>
      <c r="I33" s="32"/>
      <c r="J33" s="32"/>
      <c r="K33"/>
    </row>
    <row r="34" spans="8:11">
      <c r="H34" s="32"/>
      <c r="I34" s="32"/>
      <c r="J34" s="32"/>
      <c r="K34"/>
    </row>
    <row r="35" spans="8:11">
      <c r="H35" s="32"/>
      <c r="I35" s="32"/>
      <c r="J35" s="32"/>
      <c r="K35"/>
    </row>
    <row r="36" spans="8:11">
      <c r="H36" s="32"/>
      <c r="I36" s="32"/>
      <c r="J36" s="32"/>
      <c r="K36"/>
    </row>
    <row r="37" spans="8:11">
      <c r="H37" s="32"/>
      <c r="I37" s="32"/>
      <c r="J37" s="32"/>
      <c r="K37"/>
    </row>
    <row r="38" spans="8:11">
      <c r="H38" s="32"/>
      <c r="I38" s="32"/>
      <c r="J38" s="32"/>
      <c r="K38"/>
    </row>
    <row r="39" spans="8:11">
      <c r="H39" s="32"/>
      <c r="I39" s="32"/>
      <c r="J39" s="32"/>
      <c r="K39"/>
    </row>
    <row r="40" spans="8:11">
      <c r="H40" s="32"/>
      <c r="I40" s="32"/>
      <c r="J40" s="32"/>
      <c r="K40"/>
    </row>
    <row r="41" spans="8:11">
      <c r="H41" s="32"/>
      <c r="I41" s="32"/>
      <c r="J41" s="32"/>
      <c r="K41"/>
    </row>
    <row r="42" spans="8:11">
      <c r="H42" s="32"/>
      <c r="I42" s="32"/>
      <c r="J42" s="32"/>
      <c r="K42"/>
    </row>
    <row r="43" spans="8:11">
      <c r="H43" s="32"/>
      <c r="I43" s="32"/>
      <c r="J43" s="32"/>
      <c r="K43"/>
    </row>
    <row r="44" spans="8:11">
      <c r="H44" s="32"/>
      <c r="I44" s="32"/>
      <c r="J44" s="32"/>
      <c r="K44"/>
    </row>
    <row r="45" spans="8:11">
      <c r="H45" s="32"/>
      <c r="I45" s="32"/>
      <c r="J45" s="32"/>
      <c r="K45"/>
    </row>
    <row r="46" spans="8:11">
      <c r="H46" s="32"/>
      <c r="I46" s="32"/>
      <c r="J46" s="32"/>
      <c r="K46"/>
    </row>
    <row r="47" spans="8:11">
      <c r="H47" s="32"/>
      <c r="I47" s="32"/>
      <c r="J47" s="32"/>
      <c r="K47"/>
    </row>
    <row r="48" spans="8:11">
      <c r="H48" s="32"/>
      <c r="I48" s="32"/>
      <c r="J48" s="32"/>
      <c r="K48"/>
    </row>
    <row r="49" spans="8:11">
      <c r="H49" s="32"/>
      <c r="I49" s="32"/>
      <c r="J49" s="32"/>
      <c r="K49"/>
    </row>
    <row r="50" spans="8:11">
      <c r="H50" s="32"/>
      <c r="I50" s="32"/>
      <c r="J50" s="32"/>
      <c r="K50"/>
    </row>
    <row r="51" spans="8:11">
      <c r="H51" s="32"/>
      <c r="I51" s="32"/>
      <c r="J51" s="32"/>
      <c r="K51"/>
    </row>
    <row r="52" spans="8:11">
      <c r="H52" s="32"/>
      <c r="I52" s="32"/>
      <c r="J52" s="32"/>
      <c r="K52"/>
    </row>
    <row r="53" spans="8:11">
      <c r="H53" s="32"/>
      <c r="I53" s="32"/>
      <c r="J53" s="32"/>
      <c r="K53"/>
    </row>
    <row r="54" spans="8:11">
      <c r="H54" s="32"/>
      <c r="I54" s="32"/>
      <c r="J54" s="32"/>
      <c r="K54"/>
    </row>
    <row r="55" spans="8:11">
      <c r="H55" s="32"/>
      <c r="I55" s="32"/>
      <c r="J55" s="32"/>
      <c r="K55"/>
    </row>
    <row r="56" spans="8:11">
      <c r="H56" s="32"/>
      <c r="I56" s="32"/>
      <c r="J56" s="32"/>
      <c r="K56"/>
    </row>
  </sheetData>
  <mergeCells count="15">
    <mergeCell ref="B22:J22"/>
    <mergeCell ref="K3:K4"/>
    <mergeCell ref="B5:J5"/>
    <mergeCell ref="B8:J8"/>
    <mergeCell ref="B11:J11"/>
    <mergeCell ref="B15:J15"/>
    <mergeCell ref="B18:J18"/>
    <mergeCell ref="F3:F4"/>
    <mergeCell ref="G3:J3"/>
    <mergeCell ref="A3:A4"/>
    <mergeCell ref="B1:K2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F32" sqref="F32"/>
    </sheetView>
  </sheetViews>
  <sheetFormatPr baseColWidth="10" defaultColWidth="8.7109375" defaultRowHeight="13" x14ac:dyDescent="0"/>
  <cols>
    <col min="2" max="2" width="26" style="19" bestFit="1" customWidth="1"/>
    <col min="3" max="3" width="28.7109375" style="19" customWidth="1"/>
    <col min="4" max="4" width="10.5703125" style="19" bestFit="1" customWidth="1"/>
    <col min="5" max="5" width="22.7109375" style="19" bestFit="1" customWidth="1"/>
    <col min="6" max="6" width="26.85546875" style="19" bestFit="1" customWidth="1"/>
    <col min="7" max="9" width="4.5703125" style="19" bestFit="1" customWidth="1"/>
    <col min="10" max="10" width="4.5703125" style="19" customWidth="1"/>
    <col min="11" max="11" width="11.85546875" style="19" customWidth="1"/>
    <col min="12" max="12" width="15.42578125" style="19" bestFit="1" customWidth="1"/>
  </cols>
  <sheetData>
    <row r="1" spans="1:12" s="1" customFormat="1" ht="15" customHeight="1">
      <c r="B1" s="123" t="s">
        <v>445</v>
      </c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s="1" customFormat="1" ht="130" customHeight="1" thickBot="1">
      <c r="A2" s="31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s="2" customFormat="1" ht="12.75" customHeight="1">
      <c r="A3" s="134" t="s">
        <v>301</v>
      </c>
      <c r="B3" s="129" t="s">
        <v>0</v>
      </c>
      <c r="C3" s="131" t="s">
        <v>302</v>
      </c>
      <c r="D3" s="131" t="s">
        <v>303</v>
      </c>
      <c r="E3" s="134" t="s">
        <v>8</v>
      </c>
      <c r="F3" s="134" t="s">
        <v>306</v>
      </c>
      <c r="G3" s="153" t="s">
        <v>3</v>
      </c>
      <c r="H3" s="153"/>
      <c r="I3" s="153"/>
      <c r="J3" s="144"/>
      <c r="K3" s="140" t="s">
        <v>305</v>
      </c>
      <c r="L3" s="135" t="s">
        <v>6</v>
      </c>
    </row>
    <row r="4" spans="1:12" s="2" customFormat="1" ht="22.5" customHeight="1" thickBot="1">
      <c r="A4" s="132"/>
      <c r="B4" s="130"/>
      <c r="C4" s="132"/>
      <c r="D4" s="133"/>
      <c r="E4" s="132"/>
      <c r="F4" s="132"/>
      <c r="G4" s="3" t="s">
        <v>307</v>
      </c>
      <c r="H4" s="3" t="s">
        <v>308</v>
      </c>
      <c r="I4" s="3" t="s">
        <v>309</v>
      </c>
      <c r="J4" s="3" t="s">
        <v>310</v>
      </c>
      <c r="K4" s="141"/>
      <c r="L4" s="136"/>
    </row>
    <row r="5" spans="1:12" ht="16">
      <c r="B5" s="120" t="s">
        <v>98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2">
      <c r="A6" s="32">
        <v>1</v>
      </c>
      <c r="B6" s="20" t="s">
        <v>250</v>
      </c>
      <c r="C6" s="20" t="s">
        <v>251</v>
      </c>
      <c r="D6" s="42">
        <v>82.3</v>
      </c>
      <c r="E6" s="20" t="s">
        <v>36</v>
      </c>
      <c r="F6" s="20" t="s">
        <v>249</v>
      </c>
      <c r="G6" s="33" t="s">
        <v>32</v>
      </c>
      <c r="H6" s="34" t="s">
        <v>25</v>
      </c>
      <c r="I6" s="34" t="s">
        <v>25</v>
      </c>
      <c r="J6" s="35"/>
      <c r="K6" s="36" t="s">
        <v>32</v>
      </c>
      <c r="L6" s="20" t="s">
        <v>304</v>
      </c>
    </row>
    <row r="8" spans="1:12" ht="16">
      <c r="B8" s="162" t="s">
        <v>256</v>
      </c>
      <c r="C8" s="162"/>
      <c r="D8" s="162"/>
      <c r="E8" s="162"/>
      <c r="F8" s="162"/>
      <c r="G8" s="162"/>
      <c r="H8" s="162"/>
      <c r="I8" s="162"/>
      <c r="J8" s="162"/>
      <c r="K8" s="162"/>
    </row>
    <row r="9" spans="1:12">
      <c r="A9" s="32">
        <v>1</v>
      </c>
      <c r="B9" s="20" t="s">
        <v>257</v>
      </c>
      <c r="C9" s="20" t="s">
        <v>258</v>
      </c>
      <c r="D9" s="43">
        <v>108.3</v>
      </c>
      <c r="E9" s="20" t="s">
        <v>36</v>
      </c>
      <c r="F9" s="20" t="s">
        <v>249</v>
      </c>
      <c r="G9" s="33" t="s">
        <v>69</v>
      </c>
      <c r="H9" s="34" t="s">
        <v>26</v>
      </c>
      <c r="I9" s="33" t="s">
        <v>26</v>
      </c>
      <c r="J9" s="35"/>
      <c r="K9" s="36">
        <v>67.5</v>
      </c>
      <c r="L9" s="20" t="s">
        <v>304</v>
      </c>
    </row>
    <row r="11" spans="1:12" ht="16">
      <c r="E11" s="22"/>
    </row>
    <row r="12" spans="1:12" ht="16">
      <c r="E12" s="22"/>
    </row>
    <row r="13" spans="1:12" ht="16">
      <c r="E13" s="22"/>
    </row>
    <row r="14" spans="1:12" ht="16">
      <c r="E14" s="22"/>
      <c r="F14" s="40"/>
    </row>
    <row r="15" spans="1:12" ht="16">
      <c r="E15" s="22"/>
    </row>
    <row r="16" spans="1:12" ht="16">
      <c r="E16" s="22"/>
    </row>
    <row r="17" spans="8:12">
      <c r="H17"/>
      <c r="I17"/>
      <c r="J17"/>
      <c r="K17"/>
      <c r="L17"/>
    </row>
    <row r="18" spans="8:12">
      <c r="H18"/>
      <c r="I18"/>
      <c r="J18"/>
      <c r="K18"/>
      <c r="L18"/>
    </row>
    <row r="19" spans="8:12">
      <c r="H19"/>
      <c r="I19"/>
      <c r="J19"/>
      <c r="K19"/>
      <c r="L19"/>
    </row>
    <row r="20" spans="8:12">
      <c r="H20"/>
      <c r="I20"/>
      <c r="J20"/>
      <c r="K20"/>
      <c r="L20"/>
    </row>
    <row r="21" spans="8:12">
      <c r="H21"/>
      <c r="I21"/>
      <c r="J21"/>
      <c r="K21"/>
      <c r="L21"/>
    </row>
    <row r="22" spans="8:12">
      <c r="H22"/>
      <c r="I22"/>
      <c r="J22"/>
      <c r="K22"/>
      <c r="L22"/>
    </row>
    <row r="23" spans="8:12">
      <c r="H23"/>
      <c r="I23"/>
      <c r="J23"/>
      <c r="K23"/>
      <c r="L23"/>
    </row>
    <row r="24" spans="8:12">
      <c r="H24"/>
      <c r="I24"/>
      <c r="J24"/>
      <c r="K24"/>
      <c r="L24"/>
    </row>
    <row r="25" spans="8:12">
      <c r="H25"/>
      <c r="I25"/>
      <c r="J25"/>
      <c r="K25"/>
      <c r="L25"/>
    </row>
    <row r="26" spans="8:12">
      <c r="H26"/>
      <c r="I26"/>
      <c r="J26"/>
      <c r="K26"/>
      <c r="L26"/>
    </row>
    <row r="27" spans="8:12">
      <c r="H27"/>
      <c r="I27"/>
      <c r="J27"/>
      <c r="K27"/>
      <c r="L27"/>
    </row>
    <row r="28" spans="8:12">
      <c r="H28"/>
      <c r="I28"/>
      <c r="J28"/>
      <c r="K28"/>
      <c r="L28"/>
    </row>
    <row r="29" spans="8:12">
      <c r="H29"/>
      <c r="I29"/>
      <c r="J29"/>
      <c r="K29"/>
      <c r="L29"/>
    </row>
  </sheetData>
  <mergeCells count="12">
    <mergeCell ref="A3:A4"/>
    <mergeCell ref="L3:L4"/>
    <mergeCell ref="B5:K5"/>
    <mergeCell ref="B8:K8"/>
    <mergeCell ref="B1:L2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A3" sqref="A3:V4"/>
    </sheetView>
  </sheetViews>
  <sheetFormatPr baseColWidth="10" defaultColWidth="8.7109375" defaultRowHeight="13" x14ac:dyDescent="0"/>
  <cols>
    <col min="1" max="1" width="8.7109375" style="32"/>
    <col min="2" max="2" width="17.5703125" style="19" customWidth="1"/>
    <col min="3" max="3" width="25.42578125" style="19" customWidth="1"/>
    <col min="4" max="4" width="10.5703125" style="19" bestFit="1" customWidth="1"/>
    <col min="5" max="5" width="8.42578125" style="19" bestFit="1" customWidth="1"/>
    <col min="6" max="6" width="12.5703125" style="19" customWidth="1"/>
    <col min="7" max="7" width="31.28515625" style="19" customWidth="1"/>
    <col min="8" max="10" width="5.5703125" style="74" bestFit="1" customWidth="1"/>
    <col min="11" max="11" width="4.5703125" style="74" bestFit="1" customWidth="1"/>
    <col min="12" max="14" width="5.5703125" style="74" bestFit="1" customWidth="1"/>
    <col min="15" max="15" width="4.5703125" style="74" bestFit="1" customWidth="1"/>
    <col min="16" max="18" width="5.5703125" style="74" bestFit="1" customWidth="1"/>
    <col min="19" max="19" width="4.5703125" style="74" bestFit="1" customWidth="1"/>
    <col min="20" max="20" width="7.85546875" style="85" bestFit="1" customWidth="1"/>
    <col min="21" max="21" width="8.5703125" style="74" bestFit="1" customWidth="1"/>
    <col min="22" max="22" width="15.42578125" style="19" bestFit="1" customWidth="1"/>
  </cols>
  <sheetData>
    <row r="1" spans="1:22" s="1" customFormat="1" ht="15" customHeight="1">
      <c r="A1" s="52"/>
      <c r="B1" s="123" t="s">
        <v>458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2" spans="1:22" s="1" customFormat="1" ht="131" customHeight="1" thickBot="1">
      <c r="A2" s="52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</row>
    <row r="3" spans="1:22" s="2" customFormat="1" ht="12.75" customHeight="1">
      <c r="A3" s="150" t="s">
        <v>301</v>
      </c>
      <c r="B3" s="144" t="s">
        <v>0</v>
      </c>
      <c r="C3" s="131" t="s">
        <v>302</v>
      </c>
      <c r="D3" s="131" t="s">
        <v>303</v>
      </c>
      <c r="E3" s="134" t="s">
        <v>12</v>
      </c>
      <c r="F3" s="134" t="s">
        <v>8</v>
      </c>
      <c r="G3" s="134" t="s">
        <v>306</v>
      </c>
      <c r="H3" s="134" t="s">
        <v>1</v>
      </c>
      <c r="I3" s="134"/>
      <c r="J3" s="134"/>
      <c r="K3" s="134"/>
      <c r="L3" s="134" t="s">
        <v>2</v>
      </c>
      <c r="M3" s="134"/>
      <c r="N3" s="134"/>
      <c r="O3" s="134"/>
      <c r="P3" s="134" t="s">
        <v>3</v>
      </c>
      <c r="Q3" s="134"/>
      <c r="R3" s="134"/>
      <c r="S3" s="134"/>
      <c r="T3" s="140" t="s">
        <v>4</v>
      </c>
      <c r="U3" s="134" t="s">
        <v>7</v>
      </c>
      <c r="V3" s="135" t="s">
        <v>6</v>
      </c>
    </row>
    <row r="4" spans="1:22" s="2" customFormat="1" ht="21" customHeight="1" thickBot="1">
      <c r="A4" s="151"/>
      <c r="B4" s="145"/>
      <c r="C4" s="132"/>
      <c r="D4" s="133"/>
      <c r="E4" s="132"/>
      <c r="F4" s="132"/>
      <c r="G4" s="132"/>
      <c r="H4" s="100">
        <v>1</v>
      </c>
      <c r="I4" s="100">
        <v>2</v>
      </c>
      <c r="J4" s="100">
        <v>3</v>
      </c>
      <c r="K4" s="100" t="s">
        <v>9</v>
      </c>
      <c r="L4" s="100">
        <v>1</v>
      </c>
      <c r="M4" s="100">
        <v>2</v>
      </c>
      <c r="N4" s="100">
        <v>3</v>
      </c>
      <c r="O4" s="100" t="s">
        <v>9</v>
      </c>
      <c r="P4" s="100">
        <v>1</v>
      </c>
      <c r="Q4" s="100">
        <v>2</v>
      </c>
      <c r="R4" s="100">
        <v>3</v>
      </c>
      <c r="S4" s="100" t="s">
        <v>9</v>
      </c>
      <c r="T4" s="141"/>
      <c r="U4" s="132"/>
      <c r="V4" s="136"/>
    </row>
    <row r="5" spans="1:22" ht="16">
      <c r="B5" s="162" t="s">
        <v>27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22">
      <c r="A6" s="32">
        <v>1</v>
      </c>
      <c r="B6" s="20" t="s">
        <v>199</v>
      </c>
      <c r="C6" s="20" t="s">
        <v>200</v>
      </c>
      <c r="D6" s="20" t="s">
        <v>396</v>
      </c>
      <c r="E6" s="20" t="str">
        <f>"0,8189"</f>
        <v>0,8189</v>
      </c>
      <c r="F6" s="20" t="s">
        <v>36</v>
      </c>
      <c r="G6" s="20" t="s">
        <v>201</v>
      </c>
      <c r="H6" s="33" t="s">
        <v>202</v>
      </c>
      <c r="I6" s="33" t="s">
        <v>61</v>
      </c>
      <c r="J6" s="33" t="s">
        <v>48</v>
      </c>
      <c r="K6" s="35"/>
      <c r="L6" s="33" t="s">
        <v>43</v>
      </c>
      <c r="M6" s="33" t="s">
        <v>175</v>
      </c>
      <c r="N6" s="35"/>
      <c r="O6" s="35"/>
      <c r="P6" s="33" t="s">
        <v>49</v>
      </c>
      <c r="Q6" s="33" t="s">
        <v>50</v>
      </c>
      <c r="R6" s="33" t="s">
        <v>86</v>
      </c>
      <c r="S6" s="35"/>
      <c r="T6" s="41" t="s">
        <v>222</v>
      </c>
      <c r="U6" s="36" t="str">
        <f>"262,0480"</f>
        <v>262,0480</v>
      </c>
      <c r="V6" s="20" t="s">
        <v>381</v>
      </c>
    </row>
    <row r="8" spans="1:22" ht="16">
      <c r="B8" s="137" t="s">
        <v>70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</row>
    <row r="9" spans="1:22">
      <c r="A9" s="32">
        <v>1</v>
      </c>
      <c r="B9" s="24" t="s">
        <v>203</v>
      </c>
      <c r="C9" s="24" t="s">
        <v>204</v>
      </c>
      <c r="D9" s="24" t="s">
        <v>332</v>
      </c>
      <c r="E9" s="24" t="str">
        <f>"0,6704"</f>
        <v>0,6704</v>
      </c>
      <c r="F9" s="24" t="s">
        <v>36</v>
      </c>
      <c r="G9" s="24" t="s">
        <v>17</v>
      </c>
      <c r="H9" s="61" t="s">
        <v>76</v>
      </c>
      <c r="I9" s="61" t="s">
        <v>78</v>
      </c>
      <c r="J9" s="61" t="s">
        <v>129</v>
      </c>
      <c r="K9" s="73"/>
      <c r="L9" s="61" t="s">
        <v>56</v>
      </c>
      <c r="M9" s="76" t="s">
        <v>135</v>
      </c>
      <c r="N9" s="61" t="s">
        <v>102</v>
      </c>
      <c r="O9" s="73"/>
      <c r="P9" s="61" t="s">
        <v>111</v>
      </c>
      <c r="Q9" s="61" t="s">
        <v>141</v>
      </c>
      <c r="R9" s="76" t="s">
        <v>205</v>
      </c>
      <c r="S9" s="73"/>
      <c r="T9" s="82">
        <v>465</v>
      </c>
      <c r="U9" s="104" t="str">
        <f>"311,7360"</f>
        <v>311,7360</v>
      </c>
      <c r="V9" s="24" t="s">
        <v>381</v>
      </c>
    </row>
    <row r="10" spans="1:22">
      <c r="A10" s="32">
        <v>1</v>
      </c>
      <c r="B10" s="26" t="s">
        <v>206</v>
      </c>
      <c r="C10" s="26" t="s">
        <v>207</v>
      </c>
      <c r="D10" s="26" t="s">
        <v>394</v>
      </c>
      <c r="E10" s="26" t="str">
        <f>"0,6800"</f>
        <v>0,6800</v>
      </c>
      <c r="F10" s="26" t="s">
        <v>36</v>
      </c>
      <c r="G10" s="26" t="s">
        <v>388</v>
      </c>
      <c r="H10" s="65" t="s">
        <v>129</v>
      </c>
      <c r="I10" s="88" t="s">
        <v>113</v>
      </c>
      <c r="J10" s="88" t="s">
        <v>113</v>
      </c>
      <c r="K10" s="86"/>
      <c r="L10" s="65" t="s">
        <v>208</v>
      </c>
      <c r="M10" s="86"/>
      <c r="N10" s="86"/>
      <c r="O10" s="86"/>
      <c r="P10" s="65" t="s">
        <v>120</v>
      </c>
      <c r="Q10" s="65" t="s">
        <v>122</v>
      </c>
      <c r="R10" s="65" t="s">
        <v>205</v>
      </c>
      <c r="S10" s="86"/>
      <c r="T10" s="83">
        <v>460</v>
      </c>
      <c r="U10" s="105" t="str">
        <f>"312,8000"</f>
        <v>312,8000</v>
      </c>
      <c r="V10" s="26" t="s">
        <v>381</v>
      </c>
    </row>
    <row r="11" spans="1:22">
      <c r="A11" s="32">
        <v>2</v>
      </c>
      <c r="B11" s="26" t="s">
        <v>184</v>
      </c>
      <c r="C11" s="26" t="s">
        <v>185</v>
      </c>
      <c r="D11" s="26" t="s">
        <v>397</v>
      </c>
      <c r="E11" s="26" t="str">
        <f>"0,6719"</f>
        <v>0,6719</v>
      </c>
      <c r="F11" s="26" t="s">
        <v>36</v>
      </c>
      <c r="G11" s="26" t="s">
        <v>17</v>
      </c>
      <c r="H11" s="65" t="s">
        <v>111</v>
      </c>
      <c r="I11" s="65" t="s">
        <v>113</v>
      </c>
      <c r="J11" s="88" t="s">
        <v>125</v>
      </c>
      <c r="K11" s="86"/>
      <c r="L11" s="65" t="s">
        <v>73</v>
      </c>
      <c r="M11" s="88" t="s">
        <v>90</v>
      </c>
      <c r="N11" s="88" t="s">
        <v>90</v>
      </c>
      <c r="O11" s="86"/>
      <c r="P11" s="65" t="s">
        <v>111</v>
      </c>
      <c r="Q11" s="65" t="s">
        <v>113</v>
      </c>
      <c r="R11" s="65" t="s">
        <v>125</v>
      </c>
      <c r="S11" s="86"/>
      <c r="T11" s="83">
        <v>455</v>
      </c>
      <c r="U11" s="105" t="str">
        <f>"305,7145"</f>
        <v>305,7145</v>
      </c>
      <c r="V11" s="26" t="s">
        <v>381</v>
      </c>
    </row>
    <row r="12" spans="1:22">
      <c r="A12" s="32">
        <v>1</v>
      </c>
      <c r="B12" s="28" t="s">
        <v>184</v>
      </c>
      <c r="C12" s="28" t="s">
        <v>186</v>
      </c>
      <c r="D12" s="28" t="s">
        <v>397</v>
      </c>
      <c r="E12" s="28" t="str">
        <f>"0,6719"</f>
        <v>0,6719</v>
      </c>
      <c r="F12" s="28" t="s">
        <v>36</v>
      </c>
      <c r="G12" s="28" t="s">
        <v>17</v>
      </c>
      <c r="H12" s="37" t="s">
        <v>111</v>
      </c>
      <c r="I12" s="37" t="s">
        <v>113</v>
      </c>
      <c r="J12" s="75" t="s">
        <v>125</v>
      </c>
      <c r="K12" s="38"/>
      <c r="L12" s="37" t="s">
        <v>73</v>
      </c>
      <c r="M12" s="75" t="s">
        <v>90</v>
      </c>
      <c r="N12" s="75" t="s">
        <v>90</v>
      </c>
      <c r="O12" s="38"/>
      <c r="P12" s="37" t="s">
        <v>111</v>
      </c>
      <c r="Q12" s="37" t="s">
        <v>113</v>
      </c>
      <c r="R12" s="37" t="s">
        <v>125</v>
      </c>
      <c r="S12" s="38"/>
      <c r="T12" s="84">
        <v>455</v>
      </c>
      <c r="U12" s="106" t="str">
        <f>"305,7145"</f>
        <v>305,7145</v>
      </c>
      <c r="V12" s="28" t="s">
        <v>381</v>
      </c>
    </row>
    <row r="13" spans="1:22">
      <c r="I13" s="87"/>
    </row>
    <row r="14" spans="1:22" ht="16">
      <c r="B14" s="137" t="s">
        <v>98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</row>
    <row r="15" spans="1:22">
      <c r="A15" s="32">
        <v>1</v>
      </c>
      <c r="B15" s="20" t="s">
        <v>209</v>
      </c>
      <c r="C15" s="20" t="s">
        <v>210</v>
      </c>
      <c r="D15" s="20" t="s">
        <v>398</v>
      </c>
      <c r="E15" s="20" t="str">
        <f>"0,6455"</f>
        <v>0,6455</v>
      </c>
      <c r="F15" s="20" t="s">
        <v>36</v>
      </c>
      <c r="G15" s="20" t="s">
        <v>17</v>
      </c>
      <c r="H15" s="33" t="s">
        <v>121</v>
      </c>
      <c r="I15" s="33" t="s">
        <v>188</v>
      </c>
      <c r="J15" s="45" t="s">
        <v>149</v>
      </c>
      <c r="K15" s="35"/>
      <c r="L15" s="33" t="s">
        <v>49</v>
      </c>
      <c r="M15" s="33" t="s">
        <v>50</v>
      </c>
      <c r="N15" s="33" t="s">
        <v>86</v>
      </c>
      <c r="O15" s="35"/>
      <c r="P15" s="33" t="s">
        <v>188</v>
      </c>
      <c r="Q15" s="33" t="s">
        <v>211</v>
      </c>
      <c r="R15" s="33" t="s">
        <v>212</v>
      </c>
      <c r="S15" s="35"/>
      <c r="T15" s="41">
        <v>590</v>
      </c>
      <c r="U15" s="36" t="str">
        <f>"380,8450"</f>
        <v>380,8450</v>
      </c>
      <c r="V15" s="20" t="s">
        <v>381</v>
      </c>
    </row>
    <row r="17" spans="1:22" ht="16">
      <c r="B17" s="137" t="s">
        <v>117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</row>
    <row r="18" spans="1:22">
      <c r="A18" s="32">
        <v>1</v>
      </c>
      <c r="B18" s="24" t="s">
        <v>213</v>
      </c>
      <c r="C18" s="24" t="s">
        <v>214</v>
      </c>
      <c r="D18" s="24" t="s">
        <v>399</v>
      </c>
      <c r="E18" s="24" t="str">
        <f>"0,6152"</f>
        <v>0,6152</v>
      </c>
      <c r="F18" s="24" t="s">
        <v>36</v>
      </c>
      <c r="G18" s="24" t="s">
        <v>215</v>
      </c>
      <c r="H18" s="61" t="s">
        <v>129</v>
      </c>
      <c r="I18" s="61" t="s">
        <v>216</v>
      </c>
      <c r="J18" s="61" t="s">
        <v>120</v>
      </c>
      <c r="K18" s="73"/>
      <c r="L18" s="61" t="s">
        <v>49</v>
      </c>
      <c r="M18" s="61" t="s">
        <v>217</v>
      </c>
      <c r="N18" s="76" t="s">
        <v>102</v>
      </c>
      <c r="O18" s="73"/>
      <c r="P18" s="61" t="s">
        <v>205</v>
      </c>
      <c r="Q18" s="61" t="s">
        <v>218</v>
      </c>
      <c r="R18" s="76" t="s">
        <v>219</v>
      </c>
      <c r="S18" s="73"/>
      <c r="T18" s="82">
        <v>517.5</v>
      </c>
      <c r="U18" s="104" t="str">
        <f>"318,3660"</f>
        <v>318,3660</v>
      </c>
      <c r="V18" s="24" t="s">
        <v>381</v>
      </c>
    </row>
    <row r="19" spans="1:22">
      <c r="A19" s="32">
        <v>1</v>
      </c>
      <c r="B19" s="28" t="s">
        <v>131</v>
      </c>
      <c r="C19" s="28" t="s">
        <v>132</v>
      </c>
      <c r="D19" s="28" t="s">
        <v>343</v>
      </c>
      <c r="E19" s="28" t="str">
        <f>"0,6266"</f>
        <v>0,6266</v>
      </c>
      <c r="F19" s="28" t="s">
        <v>36</v>
      </c>
      <c r="G19" s="28" t="s">
        <v>318</v>
      </c>
      <c r="H19" s="37" t="s">
        <v>111</v>
      </c>
      <c r="I19" s="37" t="s">
        <v>113</v>
      </c>
      <c r="J19" s="37" t="s">
        <v>125</v>
      </c>
      <c r="K19" s="38"/>
      <c r="L19" s="37" t="s">
        <v>56</v>
      </c>
      <c r="M19" s="37" t="s">
        <v>102</v>
      </c>
      <c r="N19" s="37" t="s">
        <v>133</v>
      </c>
      <c r="O19" s="38"/>
      <c r="P19" s="37" t="s">
        <v>125</v>
      </c>
      <c r="Q19" s="37" t="s">
        <v>121</v>
      </c>
      <c r="R19" s="37" t="s">
        <v>205</v>
      </c>
      <c r="S19" s="38"/>
      <c r="T19" s="84">
        <v>510</v>
      </c>
      <c r="U19" s="106" t="str">
        <f>"338,7400"</f>
        <v>338,7400</v>
      </c>
      <c r="V19" s="28" t="s">
        <v>381</v>
      </c>
    </row>
    <row r="21" spans="1:22" ht="16">
      <c r="B21" s="137" t="s">
        <v>146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</row>
    <row r="22" spans="1:22">
      <c r="A22" s="32">
        <v>1</v>
      </c>
      <c r="B22" s="20" t="s">
        <v>220</v>
      </c>
      <c r="C22" s="20" t="s">
        <v>221</v>
      </c>
      <c r="D22" s="20" t="s">
        <v>400</v>
      </c>
      <c r="E22" s="20" t="str">
        <f>"0,5817"</f>
        <v>0,5817</v>
      </c>
      <c r="F22" s="20" t="s">
        <v>36</v>
      </c>
      <c r="G22" s="20" t="s">
        <v>401</v>
      </c>
      <c r="H22" s="33" t="s">
        <v>125</v>
      </c>
      <c r="I22" s="33" t="s">
        <v>121</v>
      </c>
      <c r="J22" s="33" t="s">
        <v>205</v>
      </c>
      <c r="K22" s="35"/>
      <c r="L22" s="33" t="s">
        <v>76</v>
      </c>
      <c r="M22" s="45" t="s">
        <v>78</v>
      </c>
      <c r="N22" s="33" t="s">
        <v>78</v>
      </c>
      <c r="O22" s="35"/>
      <c r="P22" s="33" t="s">
        <v>205</v>
      </c>
      <c r="Q22" s="33" t="s">
        <v>149</v>
      </c>
      <c r="R22" s="33" t="s">
        <v>150</v>
      </c>
      <c r="S22" s="35"/>
      <c r="T22" s="41">
        <v>575</v>
      </c>
      <c r="U22" s="36" t="str">
        <f>"334,4775"</f>
        <v>334,4775</v>
      </c>
      <c r="V22" s="20" t="s">
        <v>381</v>
      </c>
    </row>
    <row r="24" spans="1:22">
      <c r="A24" s="19"/>
      <c r="Q24" s="32"/>
      <c r="R24" s="32"/>
      <c r="S24" s="32"/>
      <c r="U24" s="32"/>
      <c r="V24"/>
    </row>
    <row r="25" spans="1:22">
      <c r="A25" s="19"/>
      <c r="Q25" s="32"/>
      <c r="R25" s="32"/>
      <c r="S25" s="32"/>
      <c r="U25" s="32"/>
      <c r="V25"/>
    </row>
    <row r="26" spans="1:22">
      <c r="A26" s="19"/>
      <c r="Q26" s="32"/>
      <c r="R26" s="32"/>
      <c r="S26" s="32"/>
      <c r="U26" s="32"/>
      <c r="V26"/>
    </row>
    <row r="27" spans="1:22">
      <c r="A27" s="19"/>
      <c r="Q27" s="32"/>
      <c r="R27" s="32"/>
      <c r="S27" s="32"/>
      <c r="U27" s="32"/>
      <c r="V27"/>
    </row>
    <row r="28" spans="1:22">
      <c r="A28" s="19"/>
      <c r="Q28" s="32"/>
      <c r="R28" s="32"/>
      <c r="S28" s="32"/>
      <c r="U28" s="32"/>
      <c r="V28"/>
    </row>
    <row r="29" spans="1:22">
      <c r="A29" s="19"/>
      <c r="Q29" s="32"/>
      <c r="R29" s="32"/>
      <c r="S29" s="32"/>
      <c r="U29" s="32"/>
      <c r="V29"/>
    </row>
    <row r="30" spans="1:22">
      <c r="A30" s="19"/>
      <c r="Q30" s="32"/>
      <c r="R30" s="32"/>
      <c r="S30" s="32"/>
      <c r="U30" s="32"/>
      <c r="V30"/>
    </row>
    <row r="31" spans="1:22">
      <c r="A31" s="19"/>
      <c r="G31" s="19" t="s">
        <v>443</v>
      </c>
      <c r="Q31" s="32"/>
      <c r="R31" s="32"/>
      <c r="S31" s="32"/>
      <c r="U31" s="32"/>
      <c r="V31"/>
    </row>
    <row r="32" spans="1:22">
      <c r="A32" s="19"/>
      <c r="Q32" s="32"/>
      <c r="R32" s="32"/>
      <c r="S32" s="32"/>
      <c r="U32" s="32"/>
      <c r="V32"/>
    </row>
    <row r="33" spans="1:22">
      <c r="A33" s="19"/>
      <c r="Q33" s="32"/>
      <c r="R33" s="32"/>
      <c r="S33" s="32"/>
      <c r="U33" s="32"/>
      <c r="V33"/>
    </row>
    <row r="34" spans="1:22">
      <c r="A34" s="19"/>
      <c r="Q34" s="32"/>
      <c r="R34" s="32"/>
      <c r="S34" s="32"/>
      <c r="U34" s="32"/>
      <c r="V34"/>
    </row>
    <row r="35" spans="1:22">
      <c r="A35" s="19"/>
      <c r="Q35" s="32"/>
      <c r="R35" s="32"/>
      <c r="S35" s="32"/>
      <c r="U35" s="32"/>
      <c r="V35"/>
    </row>
    <row r="36" spans="1:22">
      <c r="A36" s="19"/>
      <c r="Q36" s="32"/>
      <c r="R36" s="32"/>
      <c r="S36" s="32"/>
      <c r="U36" s="32"/>
      <c r="V36"/>
    </row>
    <row r="37" spans="1:22">
      <c r="A37" s="19"/>
      <c r="Q37" s="32"/>
      <c r="R37" s="32"/>
      <c r="S37" s="32"/>
      <c r="U37" s="32"/>
      <c r="V37"/>
    </row>
    <row r="38" spans="1:22">
      <c r="A38" s="19"/>
      <c r="Q38" s="32"/>
      <c r="R38" s="32"/>
      <c r="S38" s="32"/>
      <c r="U38" s="32"/>
      <c r="V38"/>
    </row>
    <row r="39" spans="1:22">
      <c r="A39" s="19"/>
      <c r="Q39" s="32"/>
      <c r="R39" s="32"/>
      <c r="S39" s="32"/>
      <c r="U39" s="32"/>
      <c r="V39"/>
    </row>
    <row r="40" spans="1:22">
      <c r="A40" s="19"/>
      <c r="Q40" s="32"/>
      <c r="R40" s="32"/>
      <c r="S40" s="32"/>
      <c r="U40" s="32"/>
      <c r="V40"/>
    </row>
    <row r="41" spans="1:22">
      <c r="A41" s="19"/>
      <c r="Q41" s="32"/>
      <c r="R41" s="32"/>
      <c r="S41" s="32"/>
      <c r="U41" s="32"/>
      <c r="V41"/>
    </row>
    <row r="42" spans="1:22">
      <c r="A42" s="19"/>
      <c r="Q42" s="32"/>
      <c r="R42" s="32"/>
      <c r="S42" s="32"/>
      <c r="U42" s="32"/>
      <c r="V42"/>
    </row>
    <row r="43" spans="1:22">
      <c r="A43" s="19"/>
      <c r="Q43" s="32"/>
      <c r="R43" s="32"/>
      <c r="S43" s="32"/>
      <c r="U43" s="32"/>
      <c r="V43"/>
    </row>
    <row r="44" spans="1:22">
      <c r="A44" s="19"/>
      <c r="Q44" s="32"/>
      <c r="R44" s="32"/>
      <c r="S44" s="32"/>
      <c r="U44" s="32"/>
      <c r="V44"/>
    </row>
    <row r="45" spans="1:22">
      <c r="A45" s="19"/>
      <c r="Q45" s="32"/>
      <c r="R45" s="32"/>
      <c r="S45" s="32"/>
      <c r="U45" s="32"/>
      <c r="V45"/>
    </row>
    <row r="46" spans="1:22">
      <c r="A46" s="19"/>
      <c r="Q46" s="32"/>
      <c r="R46" s="32"/>
      <c r="S46" s="32"/>
      <c r="U46" s="32"/>
      <c r="V46"/>
    </row>
    <row r="47" spans="1:22">
      <c r="A47" s="19"/>
      <c r="Q47" s="32"/>
      <c r="R47" s="32"/>
      <c r="S47" s="32"/>
      <c r="U47" s="32"/>
      <c r="V47"/>
    </row>
    <row r="48" spans="1:22">
      <c r="A48" s="19"/>
      <c r="Q48" s="32"/>
      <c r="R48" s="32"/>
      <c r="S48" s="32"/>
      <c r="U48" s="32"/>
      <c r="V48"/>
    </row>
    <row r="49" spans="1:22">
      <c r="A49" s="19"/>
      <c r="Q49" s="32"/>
      <c r="R49" s="32"/>
      <c r="S49" s="32"/>
      <c r="U49" s="32"/>
      <c r="V49"/>
    </row>
    <row r="50" spans="1:22">
      <c r="A50" s="19"/>
      <c r="Q50" s="32"/>
      <c r="R50" s="32"/>
      <c r="S50" s="32"/>
      <c r="U50" s="32"/>
      <c r="V50"/>
    </row>
    <row r="51" spans="1:22">
      <c r="A51" s="19"/>
      <c r="Q51" s="32"/>
      <c r="R51" s="32"/>
      <c r="S51" s="32"/>
      <c r="U51" s="32"/>
      <c r="V51"/>
    </row>
    <row r="52" spans="1:22">
      <c r="A52" s="19"/>
      <c r="Q52" s="32"/>
      <c r="R52" s="32"/>
      <c r="S52" s="32"/>
      <c r="U52" s="32"/>
      <c r="V52"/>
    </row>
    <row r="53" spans="1:22">
      <c r="A53" s="19"/>
      <c r="Q53" s="32"/>
      <c r="R53" s="32"/>
      <c r="S53" s="32"/>
      <c r="U53" s="32"/>
      <c r="V53"/>
    </row>
    <row r="54" spans="1:22">
      <c r="A54" s="19"/>
      <c r="Q54" s="32"/>
      <c r="R54" s="32"/>
      <c r="S54" s="32"/>
      <c r="U54" s="32"/>
      <c r="V54"/>
    </row>
    <row r="55" spans="1:22">
      <c r="A55" s="19"/>
      <c r="Q55" s="32"/>
      <c r="R55" s="32"/>
      <c r="S55" s="32"/>
      <c r="U55" s="32"/>
      <c r="V55"/>
    </row>
    <row r="56" spans="1:22">
      <c r="A56" s="19"/>
      <c r="Q56" s="32"/>
      <c r="R56" s="32"/>
      <c r="S56" s="32"/>
      <c r="U56" s="32"/>
      <c r="V56"/>
    </row>
  </sheetData>
  <mergeCells count="19">
    <mergeCell ref="V3:V4"/>
    <mergeCell ref="B5:U5"/>
    <mergeCell ref="B8:U8"/>
    <mergeCell ref="B14:U1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  <mergeCell ref="B17:U17"/>
    <mergeCell ref="B21:U21"/>
    <mergeCell ref="T3:T4"/>
    <mergeCell ref="U3:U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D39" sqref="D39"/>
    </sheetView>
  </sheetViews>
  <sheetFormatPr baseColWidth="10" defaultColWidth="8.7109375" defaultRowHeight="13" x14ac:dyDescent="0"/>
  <cols>
    <col min="1" max="1" width="8.7109375" style="32"/>
    <col min="2" max="2" width="26" style="19" bestFit="1" customWidth="1"/>
    <col min="3" max="3" width="26.85546875" style="19" bestFit="1" customWidth="1"/>
    <col min="4" max="4" width="10.140625" style="19" customWidth="1"/>
    <col min="5" max="5" width="8.42578125" style="19" bestFit="1" customWidth="1"/>
    <col min="6" max="6" width="22.7109375" style="19" bestFit="1" customWidth="1"/>
    <col min="7" max="7" width="26" style="19" bestFit="1" customWidth="1"/>
    <col min="8" max="10" width="5.5703125" style="74" bestFit="1" customWidth="1"/>
    <col min="11" max="11" width="4.5703125" style="74" bestFit="1" customWidth="1"/>
    <col min="12" max="12" width="11.7109375" style="74" customWidth="1"/>
    <col min="13" max="13" width="8.5703125" style="74" bestFit="1" customWidth="1"/>
    <col min="14" max="14" width="15.42578125" style="19" bestFit="1" customWidth="1"/>
  </cols>
  <sheetData>
    <row r="1" spans="1:14" s="1" customFormat="1" ht="15" customHeight="1">
      <c r="A1" s="52"/>
      <c r="B1" s="123" t="s">
        <v>462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1" customFormat="1" ht="146" customHeight="1" thickBot="1">
      <c r="A2" s="52"/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2" customFormat="1" ht="12.75" customHeight="1">
      <c r="A3" s="121" t="s">
        <v>301</v>
      </c>
      <c r="B3" s="129" t="s">
        <v>0</v>
      </c>
      <c r="C3" s="131" t="s">
        <v>302</v>
      </c>
      <c r="D3" s="131" t="s">
        <v>303</v>
      </c>
      <c r="E3" s="134" t="s">
        <v>12</v>
      </c>
      <c r="F3" s="134" t="s">
        <v>8</v>
      </c>
      <c r="G3" s="134" t="s">
        <v>306</v>
      </c>
      <c r="H3" s="134" t="s">
        <v>1</v>
      </c>
      <c r="I3" s="134"/>
      <c r="J3" s="134"/>
      <c r="K3" s="134"/>
      <c r="L3" s="134" t="s">
        <v>305</v>
      </c>
      <c r="M3" s="134" t="s">
        <v>7</v>
      </c>
      <c r="N3" s="135" t="s">
        <v>6</v>
      </c>
    </row>
    <row r="4" spans="1:14" s="2" customFormat="1" ht="21" customHeight="1" thickBot="1">
      <c r="A4" s="122"/>
      <c r="B4" s="130"/>
      <c r="C4" s="132"/>
      <c r="D4" s="133"/>
      <c r="E4" s="132"/>
      <c r="F4" s="132"/>
      <c r="G4" s="132"/>
      <c r="H4" s="30">
        <v>1</v>
      </c>
      <c r="I4" s="30">
        <v>2</v>
      </c>
      <c r="J4" s="30">
        <v>3</v>
      </c>
      <c r="K4" s="30" t="s">
        <v>9</v>
      </c>
      <c r="L4" s="132"/>
      <c r="M4" s="132"/>
      <c r="N4" s="136"/>
    </row>
    <row r="5" spans="1:14" ht="16">
      <c r="B5" s="120" t="s">
        <v>98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4">
      <c r="A6" s="32">
        <v>1</v>
      </c>
      <c r="B6" s="24" t="s">
        <v>228</v>
      </c>
      <c r="C6" s="24" t="s">
        <v>229</v>
      </c>
      <c r="D6" s="24" t="s">
        <v>386</v>
      </c>
      <c r="E6" s="24" t="str">
        <f>"0,6528"</f>
        <v>0,6528</v>
      </c>
      <c r="F6" s="24" t="s">
        <v>36</v>
      </c>
      <c r="G6" s="24" t="s">
        <v>17</v>
      </c>
      <c r="H6" s="61" t="s">
        <v>50</v>
      </c>
      <c r="I6" s="61" t="s">
        <v>76</v>
      </c>
      <c r="J6" s="61" t="s">
        <v>111</v>
      </c>
      <c r="K6" s="73"/>
      <c r="L6" s="72" t="s">
        <v>111</v>
      </c>
      <c r="M6" s="72" t="str">
        <f>"104,4480"</f>
        <v>104,4480</v>
      </c>
      <c r="N6" s="24" t="s">
        <v>304</v>
      </c>
    </row>
    <row r="7" spans="1:14">
      <c r="A7" s="32">
        <v>1</v>
      </c>
      <c r="B7" s="28" t="s">
        <v>114</v>
      </c>
      <c r="C7" s="28" t="s">
        <v>115</v>
      </c>
      <c r="D7" s="28" t="s">
        <v>339</v>
      </c>
      <c r="E7" s="28" t="str">
        <f>"0,6619"</f>
        <v>0,6619</v>
      </c>
      <c r="F7" s="28" t="s">
        <v>36</v>
      </c>
      <c r="G7" s="28" t="s">
        <v>17</v>
      </c>
      <c r="H7" s="37" t="s">
        <v>202</v>
      </c>
      <c r="I7" s="37" t="s">
        <v>48</v>
      </c>
      <c r="J7" s="37" t="s">
        <v>49</v>
      </c>
      <c r="K7" s="38"/>
      <c r="L7" s="39" t="s">
        <v>49</v>
      </c>
      <c r="M7" s="39" t="str">
        <f>"92,6859"</f>
        <v>92,6859</v>
      </c>
      <c r="N7" s="28" t="s">
        <v>304</v>
      </c>
    </row>
    <row r="8" spans="1:14">
      <c r="J8" s="32"/>
      <c r="K8" s="32"/>
      <c r="L8" s="32"/>
      <c r="M8" s="32"/>
      <c r="N8"/>
    </row>
    <row r="9" spans="1:14">
      <c r="J9" s="32"/>
      <c r="K9" s="32"/>
      <c r="L9" s="32"/>
      <c r="M9" s="32"/>
      <c r="N9"/>
    </row>
    <row r="10" spans="1:14">
      <c r="J10" s="32"/>
      <c r="K10" s="32"/>
      <c r="L10" s="32"/>
      <c r="M10" s="32"/>
      <c r="N10"/>
    </row>
    <row r="11" spans="1:14">
      <c r="J11" s="32"/>
      <c r="K11" s="32"/>
      <c r="L11" s="32"/>
      <c r="M11" s="32"/>
      <c r="N11"/>
    </row>
    <row r="12" spans="1:14">
      <c r="J12" s="32"/>
      <c r="K12" s="32"/>
      <c r="L12" s="32"/>
      <c r="M12" s="32"/>
      <c r="N12"/>
    </row>
    <row r="13" spans="1:14">
      <c r="J13" s="32"/>
      <c r="K13" s="32"/>
      <c r="L13" s="32"/>
      <c r="M13" s="32"/>
      <c r="N13"/>
    </row>
    <row r="14" spans="1:14">
      <c r="J14" s="32"/>
      <c r="K14" s="32"/>
      <c r="L14" s="32"/>
      <c r="M14" s="32"/>
      <c r="N14"/>
    </row>
    <row r="15" spans="1:14">
      <c r="J15" s="32"/>
      <c r="K15" s="32"/>
      <c r="L15" s="32" t="s">
        <v>461</v>
      </c>
      <c r="M15" s="32"/>
      <c r="N15"/>
    </row>
    <row r="16" spans="1:14">
      <c r="J16" s="32"/>
      <c r="K16" s="32"/>
      <c r="L16" s="32"/>
      <c r="M16" s="32"/>
      <c r="N16"/>
    </row>
    <row r="17" spans="7:14">
      <c r="J17" s="32"/>
      <c r="K17" s="32"/>
      <c r="L17" s="32"/>
      <c r="M17" s="32"/>
      <c r="N17"/>
    </row>
    <row r="18" spans="7:14">
      <c r="J18" s="32"/>
      <c r="K18" s="32"/>
      <c r="L18" s="32"/>
      <c r="M18" s="32"/>
      <c r="N18"/>
    </row>
    <row r="19" spans="7:14">
      <c r="J19" s="32"/>
      <c r="K19" s="32"/>
      <c r="L19" s="32"/>
      <c r="M19" s="32"/>
      <c r="N19"/>
    </row>
    <row r="20" spans="7:14">
      <c r="J20" s="32"/>
      <c r="K20" s="32"/>
      <c r="L20" s="32"/>
      <c r="M20" s="32"/>
      <c r="N20"/>
    </row>
    <row r="21" spans="7:14">
      <c r="G21" s="19" t="s">
        <v>454</v>
      </c>
      <c r="J21" s="32"/>
      <c r="K21" s="32"/>
      <c r="L21" s="32"/>
      <c r="M21" s="32"/>
      <c r="N21"/>
    </row>
    <row r="22" spans="7:14">
      <c r="J22" s="32"/>
      <c r="K22" s="32"/>
      <c r="L22" s="32"/>
      <c r="M22" s="32"/>
      <c r="N22"/>
    </row>
    <row r="23" spans="7:14">
      <c r="J23" s="32"/>
      <c r="K23" s="32"/>
      <c r="L23" s="32"/>
      <c r="M23" s="32"/>
      <c r="N23"/>
    </row>
    <row r="24" spans="7:14">
      <c r="J24" s="32"/>
      <c r="K24" s="32"/>
      <c r="L24" s="32"/>
      <c r="M24" s="32"/>
      <c r="N24"/>
    </row>
    <row r="25" spans="7:14">
      <c r="J25" s="32"/>
      <c r="K25" s="32"/>
      <c r="L25" s="32"/>
      <c r="M25" s="32"/>
      <c r="N25"/>
    </row>
    <row r="26" spans="7:14">
      <c r="J26" s="32"/>
      <c r="K26" s="32"/>
      <c r="L26" s="32"/>
      <c r="M26" s="32"/>
      <c r="N26"/>
    </row>
    <row r="27" spans="7:14">
      <c r="J27" s="32"/>
      <c r="K27" s="32"/>
      <c r="L27" s="32"/>
      <c r="M27" s="32"/>
      <c r="N27"/>
    </row>
    <row r="28" spans="7:14">
      <c r="G28" s="19" t="s">
        <v>443</v>
      </c>
      <c r="J28" s="32"/>
      <c r="K28" s="32"/>
      <c r="L28" s="32"/>
      <c r="M28" s="32"/>
      <c r="N28"/>
    </row>
  </sheetData>
  <mergeCells count="13"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J18" sqref="J18"/>
    </sheetView>
  </sheetViews>
  <sheetFormatPr baseColWidth="10" defaultColWidth="8.7109375" defaultRowHeight="13" x14ac:dyDescent="0"/>
  <cols>
    <col min="2" max="2" width="22.140625" style="19" customWidth="1"/>
    <col min="3" max="3" width="26.28515625" style="19" customWidth="1"/>
    <col min="4" max="4" width="10.5703125" style="19" customWidth="1"/>
    <col min="5" max="5" width="8.42578125" style="19" bestFit="1" customWidth="1"/>
    <col min="6" max="6" width="16.7109375" style="19" customWidth="1"/>
    <col min="7" max="7" width="22" style="19" customWidth="1"/>
    <col min="8" max="10" width="5.5703125" style="19" bestFit="1" customWidth="1"/>
    <col min="11" max="11" width="4.5703125" style="19" bestFit="1" customWidth="1"/>
    <col min="12" max="12" width="12.140625" style="19" customWidth="1"/>
    <col min="13" max="13" width="8.5703125" style="19" bestFit="1" customWidth="1"/>
    <col min="14" max="14" width="15.42578125" style="19" bestFit="1" customWidth="1"/>
  </cols>
  <sheetData>
    <row r="1" spans="1:14" s="1" customFormat="1" ht="15" customHeight="1">
      <c r="B1" s="123" t="s">
        <v>460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1" customFormat="1" ht="136" customHeight="1" thickBot="1"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2" customFormat="1" ht="12.75" customHeight="1">
      <c r="A3" s="121" t="s">
        <v>301</v>
      </c>
      <c r="B3" s="129" t="s">
        <v>0</v>
      </c>
      <c r="C3" s="131" t="s">
        <v>302</v>
      </c>
      <c r="D3" s="131" t="s">
        <v>303</v>
      </c>
      <c r="E3" s="134" t="s">
        <v>12</v>
      </c>
      <c r="F3" s="134" t="s">
        <v>8</v>
      </c>
      <c r="G3" s="134" t="s">
        <v>306</v>
      </c>
      <c r="H3" s="134" t="s">
        <v>1</v>
      </c>
      <c r="I3" s="134"/>
      <c r="J3" s="134"/>
      <c r="K3" s="134"/>
      <c r="L3" s="134" t="s">
        <v>305</v>
      </c>
      <c r="M3" s="134" t="s">
        <v>7</v>
      </c>
      <c r="N3" s="135" t="s">
        <v>6</v>
      </c>
    </row>
    <row r="4" spans="1:14" s="2" customFormat="1" ht="21.75" customHeight="1" thickBot="1">
      <c r="A4" s="122"/>
      <c r="B4" s="130"/>
      <c r="C4" s="132"/>
      <c r="D4" s="133"/>
      <c r="E4" s="132"/>
      <c r="F4" s="132"/>
      <c r="G4" s="132"/>
      <c r="H4" s="3">
        <v>1</v>
      </c>
      <c r="I4" s="3">
        <v>2</v>
      </c>
      <c r="J4" s="3">
        <v>3</v>
      </c>
      <c r="K4" s="3" t="s">
        <v>9</v>
      </c>
      <c r="L4" s="132"/>
      <c r="M4" s="132"/>
      <c r="N4" s="136"/>
    </row>
    <row r="5" spans="1:14" ht="16">
      <c r="B5" s="120" t="s">
        <v>98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4">
      <c r="A6" s="32">
        <v>1</v>
      </c>
      <c r="B6" s="20" t="s">
        <v>230</v>
      </c>
      <c r="C6" s="20" t="s">
        <v>231</v>
      </c>
      <c r="D6" s="20" t="s">
        <v>392</v>
      </c>
      <c r="E6" s="20" t="str">
        <f>"0,6395"</f>
        <v>0,6395</v>
      </c>
      <c r="F6" s="20" t="s">
        <v>36</v>
      </c>
      <c r="G6" s="20" t="s">
        <v>17</v>
      </c>
      <c r="H6" s="33" t="s">
        <v>78</v>
      </c>
      <c r="I6" s="33" t="s">
        <v>111</v>
      </c>
      <c r="J6" s="45" t="s">
        <v>113</v>
      </c>
      <c r="K6" s="35"/>
      <c r="L6" s="36" t="s">
        <v>111</v>
      </c>
      <c r="M6" s="20" t="str">
        <f>"102,3200"</f>
        <v>102,3200</v>
      </c>
      <c r="N6" s="20" t="s">
        <v>304</v>
      </c>
    </row>
    <row r="8" spans="1:14">
      <c r="I8"/>
      <c r="J8"/>
      <c r="K8"/>
      <c r="L8"/>
      <c r="M8"/>
      <c r="N8"/>
    </row>
    <row r="9" spans="1:14">
      <c r="I9"/>
      <c r="J9"/>
      <c r="K9"/>
      <c r="L9"/>
      <c r="M9"/>
      <c r="N9"/>
    </row>
    <row r="10" spans="1:14">
      <c r="I10"/>
      <c r="J10"/>
      <c r="K10"/>
      <c r="L10"/>
      <c r="M10"/>
      <c r="N10"/>
    </row>
    <row r="11" spans="1:14">
      <c r="I11"/>
      <c r="J11"/>
      <c r="K11"/>
      <c r="L11"/>
      <c r="M11"/>
      <c r="N11"/>
    </row>
    <row r="12" spans="1:14">
      <c r="I12"/>
      <c r="J12"/>
      <c r="K12"/>
      <c r="L12"/>
      <c r="M12"/>
      <c r="N12"/>
    </row>
    <row r="13" spans="1:14">
      <c r="I13"/>
      <c r="J13"/>
      <c r="K13"/>
      <c r="L13"/>
      <c r="M13"/>
      <c r="N13"/>
    </row>
    <row r="14" spans="1:14">
      <c r="I14"/>
      <c r="J14"/>
      <c r="K14"/>
      <c r="L14"/>
      <c r="M14"/>
      <c r="N14"/>
    </row>
    <row r="15" spans="1:14">
      <c r="I15"/>
      <c r="J15"/>
      <c r="K15"/>
      <c r="L15"/>
      <c r="M15"/>
      <c r="N15"/>
    </row>
    <row r="16" spans="1:14">
      <c r="I16"/>
      <c r="J16"/>
      <c r="K16"/>
      <c r="L16"/>
      <c r="M16"/>
      <c r="N16"/>
    </row>
    <row r="17" spans="5:14">
      <c r="I17"/>
      <c r="J17"/>
      <c r="K17"/>
      <c r="L17"/>
      <c r="M17"/>
      <c r="N17"/>
    </row>
    <row r="18" spans="5:14">
      <c r="I18"/>
      <c r="J18"/>
      <c r="K18"/>
      <c r="L18"/>
      <c r="M18"/>
      <c r="N18"/>
    </row>
    <row r="19" spans="5:14">
      <c r="E19" s="19" t="s">
        <v>454</v>
      </c>
      <c r="I19"/>
      <c r="J19"/>
      <c r="K19"/>
      <c r="L19"/>
      <c r="M19"/>
      <c r="N19"/>
    </row>
    <row r="20" spans="5:14">
      <c r="G20" s="19" t="s">
        <v>454</v>
      </c>
      <c r="I20"/>
      <c r="J20"/>
      <c r="K20"/>
      <c r="L20"/>
      <c r="M20"/>
      <c r="N20"/>
    </row>
    <row r="21" spans="5:14">
      <c r="I21"/>
      <c r="J21"/>
      <c r="K21"/>
      <c r="L21"/>
      <c r="M21"/>
      <c r="N21"/>
    </row>
    <row r="22" spans="5:14">
      <c r="I22"/>
      <c r="J22"/>
      <c r="K22"/>
      <c r="L22"/>
      <c r="M22"/>
      <c r="N22"/>
    </row>
    <row r="23" spans="5:14">
      <c r="I23"/>
      <c r="J23"/>
      <c r="K23"/>
      <c r="L23"/>
      <c r="M23"/>
      <c r="N23"/>
    </row>
    <row r="27" spans="5:14">
      <c r="F27" s="19" t="s">
        <v>454</v>
      </c>
    </row>
  </sheetData>
  <mergeCells count="13"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G31" sqref="G31"/>
    </sheetView>
  </sheetViews>
  <sheetFormatPr baseColWidth="10" defaultColWidth="8.7109375" defaultRowHeight="13" x14ac:dyDescent="0"/>
  <cols>
    <col min="1" max="1" width="6.7109375" customWidth="1"/>
    <col min="2" max="2" width="15.5703125" style="19" customWidth="1"/>
    <col min="3" max="3" width="24.140625" style="19" customWidth="1"/>
    <col min="4" max="4" width="10.5703125" style="19" bestFit="1" customWidth="1"/>
    <col min="5" max="5" width="8.42578125" style="19" bestFit="1" customWidth="1"/>
    <col min="6" max="6" width="18.5703125" style="19" customWidth="1"/>
    <col min="7" max="7" width="23.85546875" style="19" customWidth="1"/>
    <col min="8" max="10" width="5.5703125" style="19" bestFit="1" customWidth="1"/>
    <col min="11" max="11" width="4.5703125" style="19" bestFit="1" customWidth="1"/>
    <col min="12" max="12" width="11.7109375" style="19" customWidth="1"/>
    <col min="13" max="13" width="8.5703125" style="19" bestFit="1" customWidth="1"/>
    <col min="14" max="14" width="15.42578125" style="19" bestFit="1" customWidth="1"/>
  </cols>
  <sheetData>
    <row r="1" spans="1:14" s="1" customFormat="1" ht="15" customHeight="1">
      <c r="B1" s="123" t="s">
        <v>455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1" customFormat="1" ht="131" customHeight="1" thickBot="1"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2" customFormat="1" ht="12.75" customHeight="1">
      <c r="A3" s="134" t="s">
        <v>301</v>
      </c>
      <c r="B3" s="129" t="s">
        <v>0</v>
      </c>
      <c r="C3" s="131" t="s">
        <v>302</v>
      </c>
      <c r="D3" s="131" t="s">
        <v>303</v>
      </c>
      <c r="E3" s="134" t="s">
        <v>12</v>
      </c>
      <c r="F3" s="134" t="s">
        <v>8</v>
      </c>
      <c r="G3" s="134" t="s">
        <v>306</v>
      </c>
      <c r="H3" s="134" t="s">
        <v>2</v>
      </c>
      <c r="I3" s="134"/>
      <c r="J3" s="134"/>
      <c r="K3" s="134"/>
      <c r="L3" s="134" t="s">
        <v>305</v>
      </c>
      <c r="M3" s="134" t="s">
        <v>7</v>
      </c>
      <c r="N3" s="135" t="s">
        <v>6</v>
      </c>
    </row>
    <row r="4" spans="1:14" s="2" customFormat="1" ht="20.25" customHeight="1" thickBot="1">
      <c r="A4" s="132"/>
      <c r="B4" s="130"/>
      <c r="C4" s="132"/>
      <c r="D4" s="133"/>
      <c r="E4" s="132"/>
      <c r="F4" s="132"/>
      <c r="G4" s="132"/>
      <c r="H4" s="3">
        <v>1</v>
      </c>
      <c r="I4" s="3">
        <v>2</v>
      </c>
      <c r="J4" s="3">
        <v>3</v>
      </c>
      <c r="K4" s="3" t="s">
        <v>9</v>
      </c>
      <c r="L4" s="132"/>
      <c r="M4" s="132"/>
      <c r="N4" s="136"/>
    </row>
    <row r="5" spans="1:14" ht="16">
      <c r="B5" s="120" t="s">
        <v>70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4">
      <c r="A6" s="32">
        <v>1</v>
      </c>
      <c r="B6" s="20" t="s">
        <v>81</v>
      </c>
      <c r="C6" s="20" t="s">
        <v>82</v>
      </c>
      <c r="D6" s="44">
        <v>81.2</v>
      </c>
      <c r="E6" s="20" t="str">
        <f>"0,6764"</f>
        <v>0,6764</v>
      </c>
      <c r="F6" s="20" t="s">
        <v>16</v>
      </c>
      <c r="G6" s="20" t="s">
        <v>17</v>
      </c>
      <c r="H6" s="33" t="s">
        <v>129</v>
      </c>
      <c r="I6" s="45" t="s">
        <v>141</v>
      </c>
      <c r="J6" s="33" t="s">
        <v>141</v>
      </c>
      <c r="K6" s="35"/>
      <c r="L6" s="41">
        <v>175</v>
      </c>
      <c r="M6" s="36" t="str">
        <f>"118,3700"</f>
        <v>118,3700</v>
      </c>
      <c r="N6" s="20" t="s">
        <v>304</v>
      </c>
    </row>
    <row r="8" spans="1:14" ht="16">
      <c r="F8" s="22"/>
    </row>
    <row r="9" spans="1:14" ht="16">
      <c r="F9" s="22"/>
    </row>
    <row r="10" spans="1:14" ht="16">
      <c r="F10" s="22"/>
    </row>
    <row r="11" spans="1:14" ht="16">
      <c r="F11" s="22"/>
    </row>
    <row r="12" spans="1:14" ht="16">
      <c r="F12" s="22"/>
    </row>
    <row r="13" spans="1:14" ht="16">
      <c r="F13" s="22"/>
    </row>
    <row r="14" spans="1:14" ht="16">
      <c r="F14" s="22"/>
    </row>
    <row r="15" spans="1:14">
      <c r="I15"/>
      <c r="J15"/>
      <c r="K15"/>
      <c r="L15"/>
      <c r="M15"/>
      <c r="N15"/>
    </row>
    <row r="16" spans="1:14">
      <c r="G16" s="19" t="s">
        <v>443</v>
      </c>
      <c r="I16"/>
      <c r="J16"/>
      <c r="K16"/>
      <c r="L16"/>
      <c r="M16"/>
      <c r="N16"/>
    </row>
    <row r="17" spans="7:14">
      <c r="I17"/>
      <c r="J17"/>
      <c r="K17"/>
      <c r="L17"/>
      <c r="M17"/>
      <c r="N17"/>
    </row>
    <row r="18" spans="7:14">
      <c r="I18"/>
      <c r="J18"/>
      <c r="K18"/>
      <c r="L18"/>
      <c r="M18"/>
      <c r="N18"/>
    </row>
    <row r="19" spans="7:14">
      <c r="I19"/>
      <c r="J19"/>
      <c r="K19"/>
      <c r="L19"/>
      <c r="M19"/>
      <c r="N19"/>
    </row>
    <row r="20" spans="7:14">
      <c r="I20"/>
      <c r="J20"/>
      <c r="K20"/>
      <c r="L20"/>
      <c r="M20"/>
      <c r="N20"/>
    </row>
    <row r="21" spans="7:14">
      <c r="I21"/>
      <c r="J21"/>
      <c r="K21"/>
      <c r="L21"/>
      <c r="M21"/>
      <c r="N21"/>
    </row>
    <row r="22" spans="7:14">
      <c r="I22"/>
      <c r="J22"/>
      <c r="K22"/>
      <c r="L22"/>
      <c r="M22"/>
      <c r="N22"/>
    </row>
    <row r="23" spans="7:14">
      <c r="I23"/>
      <c r="J23"/>
      <c r="K23"/>
      <c r="L23"/>
      <c r="M23"/>
      <c r="N23"/>
    </row>
    <row r="24" spans="7:14">
      <c r="I24"/>
      <c r="J24"/>
      <c r="K24"/>
      <c r="L24"/>
      <c r="M24"/>
      <c r="N24"/>
    </row>
    <row r="25" spans="7:14">
      <c r="G25" s="19" t="s">
        <v>454</v>
      </c>
    </row>
  </sheetData>
  <mergeCells count="13"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N85"/>
  <sheetViews>
    <sheetView tabSelected="1" topLeftCell="H1" workbookViewId="0">
      <selection activeCell="O6" sqref="O6"/>
    </sheetView>
  </sheetViews>
  <sheetFormatPr baseColWidth="10" defaultColWidth="8.7109375" defaultRowHeight="13" x14ac:dyDescent="0"/>
  <cols>
    <col min="1" max="1" width="7.140625" style="52" customWidth="1"/>
    <col min="2" max="2" width="18" style="4" customWidth="1"/>
    <col min="3" max="3" width="25" style="1" customWidth="1"/>
    <col min="4" max="4" width="10.5703125" style="5" bestFit="1" customWidth="1"/>
    <col min="5" max="5" width="11.42578125" style="5" customWidth="1"/>
    <col min="6" max="6" width="15" style="5" customWidth="1"/>
    <col min="7" max="7" width="28" style="5" customWidth="1"/>
    <col min="8" max="8" width="6.5703125" style="52" bestFit="1" customWidth="1"/>
    <col min="9" max="10" width="5.5703125" style="52" bestFit="1" customWidth="1"/>
    <col min="11" max="11" width="4.5703125" style="52" bestFit="1" customWidth="1"/>
    <col min="12" max="12" width="9.140625" style="52" customWidth="1"/>
    <col min="13" max="13" width="8.5703125" style="52" bestFit="1" customWidth="1"/>
    <col min="14" max="14" width="13.42578125" style="5" customWidth="1"/>
    <col min="15" max="16384" width="8.7109375" style="1"/>
  </cols>
  <sheetData>
    <row r="1" spans="1:14" ht="15" customHeight="1">
      <c r="B1" s="123" t="s">
        <v>449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ht="140" customHeight="1" thickBot="1"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2" customFormat="1" ht="12.75" customHeight="1">
      <c r="A3" s="134" t="s">
        <v>301</v>
      </c>
      <c r="B3" s="129" t="s">
        <v>0</v>
      </c>
      <c r="C3" s="131" t="s">
        <v>302</v>
      </c>
      <c r="D3" s="131" t="s">
        <v>303</v>
      </c>
      <c r="E3" s="134" t="s">
        <v>12</v>
      </c>
      <c r="F3" s="134" t="s">
        <v>8</v>
      </c>
      <c r="G3" s="134" t="s">
        <v>306</v>
      </c>
      <c r="H3" s="134" t="s">
        <v>2</v>
      </c>
      <c r="I3" s="134"/>
      <c r="J3" s="134"/>
      <c r="K3" s="134"/>
      <c r="L3" s="134" t="s">
        <v>305</v>
      </c>
      <c r="M3" s="134" t="s">
        <v>7</v>
      </c>
      <c r="N3" s="135" t="s">
        <v>6</v>
      </c>
    </row>
    <row r="4" spans="1:14" s="2" customFormat="1" ht="21" customHeight="1" thickBot="1">
      <c r="A4" s="132"/>
      <c r="B4" s="130"/>
      <c r="C4" s="132"/>
      <c r="D4" s="133"/>
      <c r="E4" s="132"/>
      <c r="F4" s="132"/>
      <c r="G4" s="132"/>
      <c r="H4" s="3">
        <v>1</v>
      </c>
      <c r="I4" s="3">
        <v>2</v>
      </c>
      <c r="J4" s="3">
        <v>3</v>
      </c>
      <c r="K4" s="3" t="s">
        <v>9</v>
      </c>
      <c r="L4" s="132"/>
      <c r="M4" s="132"/>
      <c r="N4" s="136"/>
    </row>
    <row r="5" spans="1:14" ht="16">
      <c r="B5" s="157" t="s">
        <v>13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4">
      <c r="A6" s="52" t="s">
        <v>307</v>
      </c>
      <c r="B6" s="47" t="s">
        <v>14</v>
      </c>
      <c r="C6" s="6" t="s">
        <v>15</v>
      </c>
      <c r="D6" s="6" t="s">
        <v>319</v>
      </c>
      <c r="E6" s="6" t="str">
        <f>"1,2885"</f>
        <v>1,2885</v>
      </c>
      <c r="F6" s="6" t="s">
        <v>16</v>
      </c>
      <c r="G6" s="6" t="s">
        <v>17</v>
      </c>
      <c r="H6" s="61" t="s">
        <v>18</v>
      </c>
      <c r="I6" s="62" t="s">
        <v>19</v>
      </c>
      <c r="J6" s="62" t="s">
        <v>20</v>
      </c>
      <c r="K6" s="54"/>
      <c r="L6" s="53" t="s">
        <v>350</v>
      </c>
      <c r="M6" s="53" t="str">
        <f>"35,4337"</f>
        <v>35,4337</v>
      </c>
      <c r="N6" s="6" t="s">
        <v>311</v>
      </c>
    </row>
    <row r="7" spans="1:14">
      <c r="A7" s="52" t="s">
        <v>307</v>
      </c>
      <c r="B7" s="49" t="s">
        <v>21</v>
      </c>
      <c r="C7" s="7" t="s">
        <v>22</v>
      </c>
      <c r="D7" s="7" t="s">
        <v>320</v>
      </c>
      <c r="E7" s="7" t="str">
        <f>"1,2944"</f>
        <v>1,2944</v>
      </c>
      <c r="F7" s="7" t="s">
        <v>23</v>
      </c>
      <c r="G7" s="7" t="s">
        <v>17</v>
      </c>
      <c r="H7" s="37" t="s">
        <v>24</v>
      </c>
      <c r="I7" s="37" t="s">
        <v>25</v>
      </c>
      <c r="J7" s="63" t="s">
        <v>26</v>
      </c>
      <c r="K7" s="56"/>
      <c r="L7" s="55" t="s">
        <v>351</v>
      </c>
      <c r="M7" s="55" t="str">
        <f>"84,1360"</f>
        <v>84,1360</v>
      </c>
      <c r="N7" s="7" t="s">
        <v>312</v>
      </c>
    </row>
    <row r="9" spans="1:14" ht="16">
      <c r="B9" s="156" t="s">
        <v>27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4">
      <c r="A10" s="52" t="s">
        <v>307</v>
      </c>
      <c r="B10" s="47" t="s">
        <v>28</v>
      </c>
      <c r="C10" s="6" t="s">
        <v>29</v>
      </c>
      <c r="D10" s="6" t="s">
        <v>30</v>
      </c>
      <c r="E10" s="6" t="str">
        <f>"1,0779"</f>
        <v>1,0779</v>
      </c>
      <c r="F10" s="6" t="s">
        <v>16</v>
      </c>
      <c r="G10" s="6" t="s">
        <v>17</v>
      </c>
      <c r="H10" s="61" t="s">
        <v>31</v>
      </c>
      <c r="I10" s="62" t="s">
        <v>32</v>
      </c>
      <c r="J10" s="61" t="s">
        <v>32</v>
      </c>
      <c r="K10" s="54"/>
      <c r="L10" s="53" t="s">
        <v>352</v>
      </c>
      <c r="M10" s="53" t="str">
        <f>"59,2845"</f>
        <v>59,2845</v>
      </c>
      <c r="N10" s="6" t="s">
        <v>313</v>
      </c>
    </row>
    <row r="11" spans="1:14">
      <c r="A11" s="52" t="s">
        <v>308</v>
      </c>
      <c r="B11" s="49" t="s">
        <v>33</v>
      </c>
      <c r="C11" s="7" t="s">
        <v>34</v>
      </c>
      <c r="D11" s="7" t="s">
        <v>35</v>
      </c>
      <c r="E11" s="7" t="str">
        <f>"1,0601"</f>
        <v>1,0601</v>
      </c>
      <c r="F11" s="7" t="s">
        <v>36</v>
      </c>
      <c r="G11" s="7" t="s">
        <v>450</v>
      </c>
      <c r="H11" s="37" t="s">
        <v>37</v>
      </c>
      <c r="I11" s="37" t="s">
        <v>31</v>
      </c>
      <c r="J11" s="37" t="s">
        <v>38</v>
      </c>
      <c r="K11" s="56"/>
      <c r="L11" s="55" t="s">
        <v>353</v>
      </c>
      <c r="M11" s="55" t="str">
        <f>"50,3547"</f>
        <v>50,3547</v>
      </c>
      <c r="N11" s="7" t="s">
        <v>304</v>
      </c>
    </row>
    <row r="12" spans="1:14">
      <c r="C12" s="5"/>
    </row>
    <row r="13" spans="1:14" ht="16">
      <c r="B13" s="156" t="s">
        <v>39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4">
      <c r="A14" s="52" t="s">
        <v>307</v>
      </c>
      <c r="B14" s="50" t="s">
        <v>40</v>
      </c>
      <c r="C14" s="10" t="s">
        <v>41</v>
      </c>
      <c r="D14" s="10" t="s">
        <v>321</v>
      </c>
      <c r="E14" s="10" t="str">
        <f>"0,9715"</f>
        <v>0,9715</v>
      </c>
      <c r="F14" s="10" t="s">
        <v>16</v>
      </c>
      <c r="G14" s="10" t="s">
        <v>17</v>
      </c>
      <c r="H14" s="33" t="s">
        <v>42</v>
      </c>
      <c r="I14" s="33" t="s">
        <v>43</v>
      </c>
      <c r="J14" s="64" t="s">
        <v>44</v>
      </c>
      <c r="K14" s="58"/>
      <c r="L14" s="57" t="s">
        <v>354</v>
      </c>
      <c r="M14" s="57" t="str">
        <f>"72,8625"</f>
        <v>72,8625</v>
      </c>
      <c r="N14" s="10" t="s">
        <v>304</v>
      </c>
    </row>
    <row r="16" spans="1:14" ht="16">
      <c r="B16" s="156" t="s">
        <v>443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14">
      <c r="A17" s="52" t="s">
        <v>307</v>
      </c>
      <c r="B17" s="47" t="s">
        <v>46</v>
      </c>
      <c r="C17" s="6" t="s">
        <v>47</v>
      </c>
      <c r="D17" s="6" t="s">
        <v>322</v>
      </c>
      <c r="E17" s="6" t="str">
        <f>"0,8542"</f>
        <v>0,8542</v>
      </c>
      <c r="F17" s="6" t="s">
        <v>16</v>
      </c>
      <c r="G17" s="6" t="s">
        <v>17</v>
      </c>
      <c r="H17" s="61" t="s">
        <v>48</v>
      </c>
      <c r="I17" s="61" t="s">
        <v>49</v>
      </c>
      <c r="J17" s="61" t="s">
        <v>50</v>
      </c>
      <c r="K17" s="54"/>
      <c r="L17" s="53" t="s">
        <v>355</v>
      </c>
      <c r="M17" s="53" t="str">
        <f>"102,5040"</f>
        <v>102,5040</v>
      </c>
      <c r="N17" s="6" t="s">
        <v>304</v>
      </c>
    </row>
    <row r="18" spans="1:14">
      <c r="A18" s="52" t="s">
        <v>308</v>
      </c>
      <c r="B18" s="48" t="s">
        <v>51</v>
      </c>
      <c r="C18" s="12" t="s">
        <v>52</v>
      </c>
      <c r="D18" s="12" t="s">
        <v>323</v>
      </c>
      <c r="E18" s="12" t="str">
        <f>"0,9041"</f>
        <v>0,9041</v>
      </c>
      <c r="F18" s="12" t="s">
        <v>36</v>
      </c>
      <c r="G18" s="12" t="s">
        <v>17</v>
      </c>
      <c r="H18" s="66" t="s">
        <v>25</v>
      </c>
      <c r="I18" s="65" t="s">
        <v>26</v>
      </c>
      <c r="J18" s="65" t="s">
        <v>42</v>
      </c>
      <c r="K18" s="59"/>
      <c r="L18" s="60" t="s">
        <v>356</v>
      </c>
      <c r="M18" s="60" t="str">
        <f>"63,2870"</f>
        <v>63,2870</v>
      </c>
      <c r="N18" s="12" t="s">
        <v>304</v>
      </c>
    </row>
    <row r="19" spans="1:14">
      <c r="A19" s="52" t="s">
        <v>307</v>
      </c>
      <c r="B19" s="49" t="s">
        <v>46</v>
      </c>
      <c r="C19" s="7" t="s">
        <v>53</v>
      </c>
      <c r="D19" s="7" t="s">
        <v>322</v>
      </c>
      <c r="E19" s="7" t="str">
        <f>"0,8542"</f>
        <v>0,8542</v>
      </c>
      <c r="F19" s="7" t="s">
        <v>16</v>
      </c>
      <c r="G19" s="7" t="s">
        <v>17</v>
      </c>
      <c r="H19" s="37" t="s">
        <v>48</v>
      </c>
      <c r="I19" s="37" t="s">
        <v>49</v>
      </c>
      <c r="J19" s="37" t="s">
        <v>50</v>
      </c>
      <c r="K19" s="56"/>
      <c r="L19" s="55" t="s">
        <v>355</v>
      </c>
      <c r="M19" s="55" t="str">
        <f>"102,5040"</f>
        <v>102,5040</v>
      </c>
      <c r="N19" s="7" t="s">
        <v>304</v>
      </c>
    </row>
    <row r="21" spans="1:14" ht="16">
      <c r="B21" s="156" t="s">
        <v>27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1:14">
      <c r="A22" s="52" t="s">
        <v>307</v>
      </c>
      <c r="B22" s="50" t="s">
        <v>54</v>
      </c>
      <c r="C22" s="10" t="s">
        <v>55</v>
      </c>
      <c r="D22" s="10" t="s">
        <v>324</v>
      </c>
      <c r="E22" s="10" t="str">
        <f>"0,7852"</f>
        <v>0,7852</v>
      </c>
      <c r="F22" s="10" t="s">
        <v>36</v>
      </c>
      <c r="G22" s="10" t="s">
        <v>452</v>
      </c>
      <c r="H22" s="64" t="s">
        <v>49</v>
      </c>
      <c r="I22" s="33" t="s">
        <v>56</v>
      </c>
      <c r="J22" s="64" t="s">
        <v>50</v>
      </c>
      <c r="K22" s="58"/>
      <c r="L22" s="57" t="s">
        <v>357</v>
      </c>
      <c r="M22" s="57" t="str">
        <f>"90,2980"</f>
        <v>90,2980</v>
      </c>
      <c r="N22" s="10" t="s">
        <v>314</v>
      </c>
    </row>
    <row r="24" spans="1:14" ht="16">
      <c r="B24" s="156" t="s">
        <v>57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1:14">
      <c r="A25" s="52" t="s">
        <v>307</v>
      </c>
      <c r="B25" s="47" t="s">
        <v>58</v>
      </c>
      <c r="C25" s="6" t="s">
        <v>59</v>
      </c>
      <c r="D25" s="6" t="s">
        <v>325</v>
      </c>
      <c r="E25" s="6" t="str">
        <f>"0,7469"</f>
        <v>0,7469</v>
      </c>
      <c r="F25" s="6" t="s">
        <v>36</v>
      </c>
      <c r="G25" s="6" t="s">
        <v>17</v>
      </c>
      <c r="H25" s="62" t="s">
        <v>60</v>
      </c>
      <c r="I25" s="62" t="s">
        <v>61</v>
      </c>
      <c r="J25" s="61" t="s">
        <v>62</v>
      </c>
      <c r="K25" s="54"/>
      <c r="L25" s="53" t="s">
        <v>358</v>
      </c>
      <c r="M25" s="53" t="str">
        <f>"69,0883"</f>
        <v>69,0883</v>
      </c>
      <c r="N25" s="6" t="s">
        <v>304</v>
      </c>
    </row>
    <row r="26" spans="1:14">
      <c r="A26" s="52" t="s">
        <v>307</v>
      </c>
      <c r="B26" s="48" t="s">
        <v>63</v>
      </c>
      <c r="C26" s="12" t="s">
        <v>64</v>
      </c>
      <c r="D26" s="12" t="s">
        <v>326</v>
      </c>
      <c r="E26" s="12" t="str">
        <f>"0,7271"</f>
        <v>0,7271</v>
      </c>
      <c r="F26" s="12" t="s">
        <v>23</v>
      </c>
      <c r="G26" s="12" t="s">
        <v>17</v>
      </c>
      <c r="H26" s="65" t="s">
        <v>48</v>
      </c>
      <c r="I26" s="59"/>
      <c r="J26" s="59"/>
      <c r="K26" s="59"/>
      <c r="L26" s="60" t="s">
        <v>359</v>
      </c>
      <c r="M26" s="60" t="str">
        <f>"72,7100"</f>
        <v>72,7100</v>
      </c>
      <c r="N26" s="12" t="s">
        <v>312</v>
      </c>
    </row>
    <row r="27" spans="1:14">
      <c r="A27" s="52" t="s">
        <v>307</v>
      </c>
      <c r="B27" s="48" t="s">
        <v>65</v>
      </c>
      <c r="C27" s="12" t="s">
        <v>66</v>
      </c>
      <c r="D27" s="12" t="s">
        <v>43</v>
      </c>
      <c r="E27" s="12" t="str">
        <f>"0,7126"</f>
        <v>0,7126</v>
      </c>
      <c r="F27" s="12" t="s">
        <v>36</v>
      </c>
      <c r="G27" s="12" t="s">
        <v>17</v>
      </c>
      <c r="H27" s="65" t="s">
        <v>49</v>
      </c>
      <c r="I27" s="65" t="s">
        <v>56</v>
      </c>
      <c r="J27" s="66" t="s">
        <v>50</v>
      </c>
      <c r="K27" s="59"/>
      <c r="L27" s="60" t="s">
        <v>357</v>
      </c>
      <c r="M27" s="60" t="str">
        <f>"94,2413"</f>
        <v>94,2413</v>
      </c>
      <c r="N27" s="12" t="s">
        <v>304</v>
      </c>
    </row>
    <row r="28" spans="1:14">
      <c r="A28" s="52" t="s">
        <v>307</v>
      </c>
      <c r="B28" s="49" t="s">
        <v>67</v>
      </c>
      <c r="C28" s="7" t="s">
        <v>68</v>
      </c>
      <c r="D28" s="7" t="s">
        <v>327</v>
      </c>
      <c r="E28" s="7" t="str">
        <f>"0,7228"</f>
        <v>0,7228</v>
      </c>
      <c r="F28" s="7" t="s">
        <v>36</v>
      </c>
      <c r="G28" s="7" t="s">
        <v>17</v>
      </c>
      <c r="H28" s="37" t="s">
        <v>69</v>
      </c>
      <c r="I28" s="37" t="s">
        <v>25</v>
      </c>
      <c r="J28" s="37" t="s">
        <v>42</v>
      </c>
      <c r="K28" s="56"/>
      <c r="L28" s="55" t="s">
        <v>356</v>
      </c>
      <c r="M28" s="55" t="str">
        <f>"100,1801"</f>
        <v>100,1801</v>
      </c>
      <c r="N28" s="7" t="s">
        <v>304</v>
      </c>
    </row>
    <row r="30" spans="1:14" ht="16">
      <c r="B30" s="156" t="s">
        <v>70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</row>
    <row r="31" spans="1:14">
      <c r="A31" s="52" t="s">
        <v>307</v>
      </c>
      <c r="B31" s="47" t="s">
        <v>71</v>
      </c>
      <c r="C31" s="6" t="s">
        <v>72</v>
      </c>
      <c r="D31" s="6" t="s">
        <v>328</v>
      </c>
      <c r="E31" s="6" t="str">
        <f>"0,6893"</f>
        <v>0,6893</v>
      </c>
      <c r="F31" s="6" t="s">
        <v>36</v>
      </c>
      <c r="G31" s="6" t="s">
        <v>17</v>
      </c>
      <c r="H31" s="61" t="s">
        <v>73</v>
      </c>
      <c r="I31" s="61" t="s">
        <v>49</v>
      </c>
      <c r="J31" s="61" t="s">
        <v>56</v>
      </c>
      <c r="K31" s="54"/>
      <c r="L31" s="53" t="s">
        <v>357</v>
      </c>
      <c r="M31" s="53" t="str">
        <f>"79,2695"</f>
        <v>79,2695</v>
      </c>
      <c r="N31" s="6" t="s">
        <v>304</v>
      </c>
    </row>
    <row r="32" spans="1:14">
      <c r="A32" s="52" t="s">
        <v>307</v>
      </c>
      <c r="B32" s="48" t="s">
        <v>74</v>
      </c>
      <c r="C32" s="12" t="s">
        <v>75</v>
      </c>
      <c r="D32" s="12" t="s">
        <v>329</v>
      </c>
      <c r="E32" s="12" t="str">
        <f>"0,6981"</f>
        <v>0,6981</v>
      </c>
      <c r="F32" s="12" t="s">
        <v>23</v>
      </c>
      <c r="G32" s="12" t="s">
        <v>17</v>
      </c>
      <c r="H32" s="65" t="s">
        <v>76</v>
      </c>
      <c r="I32" s="65" t="s">
        <v>77</v>
      </c>
      <c r="J32" s="65" t="s">
        <v>78</v>
      </c>
      <c r="K32" s="59"/>
      <c r="L32" s="60" t="s">
        <v>360</v>
      </c>
      <c r="M32" s="60" t="str">
        <f>"104,7150"</f>
        <v>104,7150</v>
      </c>
      <c r="N32" s="12" t="s">
        <v>304</v>
      </c>
    </row>
    <row r="33" spans="1:14">
      <c r="A33" s="52" t="s">
        <v>308</v>
      </c>
      <c r="B33" s="48" t="s">
        <v>79</v>
      </c>
      <c r="C33" s="12" t="s">
        <v>80</v>
      </c>
      <c r="D33" s="12" t="s">
        <v>330</v>
      </c>
      <c r="E33" s="12" t="str">
        <f>"0,6779"</f>
        <v>0,6779</v>
      </c>
      <c r="F33" s="12" t="s">
        <v>36</v>
      </c>
      <c r="G33" s="12" t="s">
        <v>451</v>
      </c>
      <c r="H33" s="65" t="s">
        <v>76</v>
      </c>
      <c r="I33" s="65" t="s">
        <v>77</v>
      </c>
      <c r="J33" s="66" t="s">
        <v>78</v>
      </c>
      <c r="K33" s="59"/>
      <c r="L33" s="60" t="s">
        <v>361</v>
      </c>
      <c r="M33" s="60" t="str">
        <f>"98,2955"</f>
        <v>98,2955</v>
      </c>
      <c r="N33" s="12" t="s">
        <v>315</v>
      </c>
    </row>
    <row r="34" spans="1:14">
      <c r="A34" s="52" t="s">
        <v>309</v>
      </c>
      <c r="B34" s="48" t="s">
        <v>81</v>
      </c>
      <c r="C34" s="12" t="s">
        <v>82</v>
      </c>
      <c r="D34" s="12" t="s">
        <v>331</v>
      </c>
      <c r="E34" s="12" t="str">
        <f>"0,6764"</f>
        <v>0,6764</v>
      </c>
      <c r="F34" s="12" t="s">
        <v>16</v>
      </c>
      <c r="G34" s="12" t="s">
        <v>17</v>
      </c>
      <c r="H34" s="65" t="s">
        <v>76</v>
      </c>
      <c r="I34" s="65" t="s">
        <v>77</v>
      </c>
      <c r="J34" s="66" t="s">
        <v>83</v>
      </c>
      <c r="K34" s="59"/>
      <c r="L34" s="60" t="s">
        <v>361</v>
      </c>
      <c r="M34" s="60" t="str">
        <f>"98,0780"</f>
        <v>98,0780</v>
      </c>
      <c r="N34" s="12" t="s">
        <v>304</v>
      </c>
    </row>
    <row r="35" spans="1:14">
      <c r="A35" s="52" t="s">
        <v>437</v>
      </c>
      <c r="B35" s="48" t="s">
        <v>84</v>
      </c>
      <c r="C35" s="12" t="s">
        <v>85</v>
      </c>
      <c r="D35" s="12" t="s">
        <v>332</v>
      </c>
      <c r="E35" s="12" t="str">
        <f>"0,6704"</f>
        <v>0,6704</v>
      </c>
      <c r="F35" s="12" t="s">
        <v>36</v>
      </c>
      <c r="G35" s="12" t="s">
        <v>17</v>
      </c>
      <c r="H35" s="65" t="s">
        <v>86</v>
      </c>
      <c r="I35" s="65" t="s">
        <v>87</v>
      </c>
      <c r="J35" s="66" t="s">
        <v>83</v>
      </c>
      <c r="K35" s="59"/>
      <c r="L35" s="60" t="s">
        <v>362</v>
      </c>
      <c r="M35" s="60" t="str">
        <f>"95,5320"</f>
        <v>95,5320</v>
      </c>
      <c r="N35" s="12" t="s">
        <v>304</v>
      </c>
    </row>
    <row r="36" spans="1:14">
      <c r="A36" s="52" t="s">
        <v>438</v>
      </c>
      <c r="B36" s="48" t="s">
        <v>88</v>
      </c>
      <c r="C36" s="12" t="s">
        <v>89</v>
      </c>
      <c r="D36" s="12" t="s">
        <v>333</v>
      </c>
      <c r="E36" s="12" t="str">
        <f>"0,6724"</f>
        <v>0,6724</v>
      </c>
      <c r="F36" s="12" t="s">
        <v>36</v>
      </c>
      <c r="G36" s="12" t="s">
        <v>17</v>
      </c>
      <c r="H36" s="65" t="s">
        <v>90</v>
      </c>
      <c r="I36" s="65" t="s">
        <v>56</v>
      </c>
      <c r="J36" s="66" t="s">
        <v>91</v>
      </c>
      <c r="K36" s="59"/>
      <c r="L36" s="60" t="s">
        <v>357</v>
      </c>
      <c r="M36" s="60" t="str">
        <f>"77,3260"</f>
        <v>77,3260</v>
      </c>
      <c r="N36" s="12" t="s">
        <v>304</v>
      </c>
    </row>
    <row r="37" spans="1:14">
      <c r="A37" s="52" t="s">
        <v>307</v>
      </c>
      <c r="B37" s="48" t="s">
        <v>92</v>
      </c>
      <c r="C37" s="12" t="s">
        <v>93</v>
      </c>
      <c r="D37" s="12" t="s">
        <v>334</v>
      </c>
      <c r="E37" s="12" t="str">
        <f>"0,7080"</f>
        <v>0,7080</v>
      </c>
      <c r="F37" s="12" t="s">
        <v>36</v>
      </c>
      <c r="G37" s="12" t="s">
        <v>17</v>
      </c>
      <c r="H37" s="65" t="s">
        <v>77</v>
      </c>
      <c r="I37" s="65" t="s">
        <v>94</v>
      </c>
      <c r="J37" s="65" t="s">
        <v>95</v>
      </c>
      <c r="K37" s="59"/>
      <c r="L37" s="60" t="s">
        <v>363</v>
      </c>
      <c r="M37" s="60" t="str">
        <f>"115,6253"</f>
        <v>115,6253</v>
      </c>
      <c r="N37" s="12" t="s">
        <v>304</v>
      </c>
    </row>
    <row r="38" spans="1:14">
      <c r="A38" s="52" t="s">
        <v>308</v>
      </c>
      <c r="B38" s="49" t="s">
        <v>96</v>
      </c>
      <c r="C38" s="7" t="s">
        <v>97</v>
      </c>
      <c r="D38" s="7" t="s">
        <v>335</v>
      </c>
      <c r="E38" s="7" t="str">
        <f>"0,6822"</f>
        <v>0,6822</v>
      </c>
      <c r="F38" s="7" t="s">
        <v>36</v>
      </c>
      <c r="G38" s="7" t="s">
        <v>17</v>
      </c>
      <c r="H38" s="37" t="s">
        <v>86</v>
      </c>
      <c r="I38" s="37" t="s">
        <v>87</v>
      </c>
      <c r="J38" s="37" t="s">
        <v>78</v>
      </c>
      <c r="K38" s="56"/>
      <c r="L38" s="55" t="s">
        <v>360</v>
      </c>
      <c r="M38" s="55" t="str">
        <f>"105,1952"</f>
        <v>105,1952</v>
      </c>
      <c r="N38" s="7" t="s">
        <v>304</v>
      </c>
    </row>
    <row r="40" spans="1:14" ht="16">
      <c r="B40" s="156" t="s">
        <v>98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</row>
    <row r="41" spans="1:14">
      <c r="A41" s="52" t="s">
        <v>307</v>
      </c>
      <c r="B41" s="47" t="s">
        <v>99</v>
      </c>
      <c r="C41" s="6" t="s">
        <v>100</v>
      </c>
      <c r="D41" s="6" t="s">
        <v>336</v>
      </c>
      <c r="E41" s="6" t="str">
        <f>"0,6519"</f>
        <v>0,6519</v>
      </c>
      <c r="F41" s="6" t="s">
        <v>36</v>
      </c>
      <c r="G41" s="6" t="s">
        <v>101</v>
      </c>
      <c r="H41" s="61" t="s">
        <v>50</v>
      </c>
      <c r="I41" s="61" t="s">
        <v>102</v>
      </c>
      <c r="J41" s="61" t="s">
        <v>91</v>
      </c>
      <c r="K41" s="54"/>
      <c r="L41" s="53" t="s">
        <v>364</v>
      </c>
      <c r="M41" s="53" t="str">
        <f>"83,1172"</f>
        <v>83,1172</v>
      </c>
      <c r="N41" s="6" t="s">
        <v>304</v>
      </c>
    </row>
    <row r="42" spans="1:14">
      <c r="A42" s="52" t="s">
        <v>307</v>
      </c>
      <c r="B42" s="48" t="s">
        <v>103</v>
      </c>
      <c r="C42" s="12" t="s">
        <v>104</v>
      </c>
      <c r="D42" s="12" t="s">
        <v>337</v>
      </c>
      <c r="E42" s="12" t="str">
        <f>"0,6487"</f>
        <v>0,6487</v>
      </c>
      <c r="F42" s="12" t="s">
        <v>105</v>
      </c>
      <c r="G42" s="12" t="s">
        <v>17</v>
      </c>
      <c r="H42" s="65" t="s">
        <v>106</v>
      </c>
      <c r="I42" s="65" t="s">
        <v>107</v>
      </c>
      <c r="J42" s="66" t="s">
        <v>95</v>
      </c>
      <c r="K42" s="59"/>
      <c r="L42" s="60" t="s">
        <v>365</v>
      </c>
      <c r="M42" s="60" t="str">
        <f>"102,1702"</f>
        <v>102,1702</v>
      </c>
      <c r="N42" s="12" t="s">
        <v>316</v>
      </c>
    </row>
    <row r="43" spans="1:14">
      <c r="A43" s="52" t="s">
        <v>308</v>
      </c>
      <c r="B43" s="48" t="s">
        <v>109</v>
      </c>
      <c r="C43" s="12" t="s">
        <v>110</v>
      </c>
      <c r="D43" s="12" t="s">
        <v>338</v>
      </c>
      <c r="E43" s="12" t="str">
        <f>"0,6592"</f>
        <v>0,6592</v>
      </c>
      <c r="F43" s="12" t="s">
        <v>36</v>
      </c>
      <c r="G43" s="12" t="s">
        <v>317</v>
      </c>
      <c r="H43" s="66" t="s">
        <v>111</v>
      </c>
      <c r="I43" s="66" t="s">
        <v>112</v>
      </c>
      <c r="J43" s="66" t="s">
        <v>113</v>
      </c>
      <c r="K43" s="59"/>
      <c r="L43" s="60" t="s">
        <v>436</v>
      </c>
      <c r="M43" s="60" t="s">
        <v>436</v>
      </c>
      <c r="N43" s="12" t="s">
        <v>304</v>
      </c>
    </row>
    <row r="44" spans="1:14">
      <c r="A44" s="52" t="s">
        <v>307</v>
      </c>
      <c r="B44" s="49" t="s">
        <v>114</v>
      </c>
      <c r="C44" s="7" t="s">
        <v>115</v>
      </c>
      <c r="D44" s="7" t="s">
        <v>339</v>
      </c>
      <c r="E44" s="7" t="str">
        <f>"0,6619"</f>
        <v>0,6619</v>
      </c>
      <c r="F44" s="7" t="s">
        <v>36</v>
      </c>
      <c r="G44" s="7" t="s">
        <v>17</v>
      </c>
      <c r="H44" s="37" t="s">
        <v>50</v>
      </c>
      <c r="I44" s="63" t="s">
        <v>91</v>
      </c>
      <c r="J44" s="63" t="s">
        <v>116</v>
      </c>
      <c r="K44" s="56"/>
      <c r="L44" s="55" t="s">
        <v>355</v>
      </c>
      <c r="M44" s="55" t="str">
        <f>"101,1118"</f>
        <v>101,1118</v>
      </c>
      <c r="N44" s="7" t="s">
        <v>304</v>
      </c>
    </row>
    <row r="45" spans="1:14">
      <c r="I45" s="67"/>
    </row>
    <row r="46" spans="1:14" ht="16">
      <c r="B46" s="156" t="s">
        <v>117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</row>
    <row r="47" spans="1:14">
      <c r="A47" s="52" t="s">
        <v>307</v>
      </c>
      <c r="B47" s="47" t="s">
        <v>118</v>
      </c>
      <c r="C47" s="6" t="s">
        <v>119</v>
      </c>
      <c r="D47" s="6" t="s">
        <v>340</v>
      </c>
      <c r="E47" s="6" t="str">
        <f>"0,6126"</f>
        <v>0,6126</v>
      </c>
      <c r="F47" s="6" t="s">
        <v>16</v>
      </c>
      <c r="G47" s="6" t="s">
        <v>17</v>
      </c>
      <c r="H47" s="61" t="s">
        <v>120</v>
      </c>
      <c r="I47" s="61" t="s">
        <v>121</v>
      </c>
      <c r="J47" s="61" t="s">
        <v>122</v>
      </c>
      <c r="K47" s="54"/>
      <c r="L47" s="53" t="s">
        <v>366</v>
      </c>
      <c r="M47" s="101" t="str">
        <f>"119,4570"</f>
        <v>119,4570</v>
      </c>
      <c r="N47" s="6" t="s">
        <v>304</v>
      </c>
    </row>
    <row r="48" spans="1:14">
      <c r="A48" s="52" t="s">
        <v>308</v>
      </c>
      <c r="B48" s="48" t="s">
        <v>123</v>
      </c>
      <c r="C48" s="12" t="s">
        <v>124</v>
      </c>
      <c r="D48" s="12" t="s">
        <v>341</v>
      </c>
      <c r="E48" s="12" t="str">
        <f>"0,6096"</f>
        <v>0,6096</v>
      </c>
      <c r="F48" s="12" t="s">
        <v>36</v>
      </c>
      <c r="G48" s="12" t="s">
        <v>17</v>
      </c>
      <c r="H48" s="65" t="s">
        <v>113</v>
      </c>
      <c r="I48" s="65" t="s">
        <v>125</v>
      </c>
      <c r="J48" s="65" t="s">
        <v>126</v>
      </c>
      <c r="K48" s="59"/>
      <c r="L48" s="60" t="s">
        <v>367</v>
      </c>
      <c r="M48" s="102" t="str">
        <f>"114,3000"</f>
        <v>114,3000</v>
      </c>
      <c r="N48" s="12" t="s">
        <v>304</v>
      </c>
    </row>
    <row r="49" spans="1:14">
      <c r="A49" s="52" t="s">
        <v>309</v>
      </c>
      <c r="B49" s="48" t="s">
        <v>127</v>
      </c>
      <c r="C49" s="12" t="s">
        <v>128</v>
      </c>
      <c r="D49" s="12" t="s">
        <v>342</v>
      </c>
      <c r="E49" s="12" t="str">
        <f>"0,6123"</f>
        <v>0,6123</v>
      </c>
      <c r="F49" s="12" t="s">
        <v>36</v>
      </c>
      <c r="G49" s="12" t="s">
        <v>17</v>
      </c>
      <c r="H49" s="65" t="s">
        <v>78</v>
      </c>
      <c r="I49" s="65" t="s">
        <v>111</v>
      </c>
      <c r="J49" s="66" t="s">
        <v>129</v>
      </c>
      <c r="K49" s="59"/>
      <c r="L49" s="60" t="s">
        <v>368</v>
      </c>
      <c r="M49" s="102" t="str">
        <f>"97,9680"</f>
        <v>97,9680</v>
      </c>
      <c r="N49" s="12" t="s">
        <v>304</v>
      </c>
    </row>
    <row r="50" spans="1:14">
      <c r="A50" s="52" t="s">
        <v>307</v>
      </c>
      <c r="B50" s="48" t="s">
        <v>123</v>
      </c>
      <c r="C50" s="12" t="s">
        <v>130</v>
      </c>
      <c r="D50" s="12" t="s">
        <v>341</v>
      </c>
      <c r="E50" s="12" t="str">
        <f>"0,6096"</f>
        <v>0,6096</v>
      </c>
      <c r="F50" s="12" t="s">
        <v>36</v>
      </c>
      <c r="G50" s="12" t="s">
        <v>17</v>
      </c>
      <c r="H50" s="65" t="s">
        <v>113</v>
      </c>
      <c r="I50" s="65" t="s">
        <v>125</v>
      </c>
      <c r="J50" s="65" t="s">
        <v>126</v>
      </c>
      <c r="K50" s="59"/>
      <c r="L50" s="60" t="s">
        <v>367</v>
      </c>
      <c r="M50" s="102" t="str">
        <f>"119,3292"</f>
        <v>119,3292</v>
      </c>
      <c r="N50" s="12" t="s">
        <v>304</v>
      </c>
    </row>
    <row r="51" spans="1:14">
      <c r="A51" s="52" t="s">
        <v>307</v>
      </c>
      <c r="B51" s="48" t="s">
        <v>131</v>
      </c>
      <c r="C51" s="12" t="s">
        <v>132</v>
      </c>
      <c r="D51" s="12" t="s">
        <v>343</v>
      </c>
      <c r="E51" s="12" t="str">
        <f>"0,6266"</f>
        <v>0,6266</v>
      </c>
      <c r="F51" s="12" t="s">
        <v>36</v>
      </c>
      <c r="G51" s="12" t="s">
        <v>451</v>
      </c>
      <c r="H51" s="65" t="s">
        <v>50</v>
      </c>
      <c r="I51" s="65" t="s">
        <v>102</v>
      </c>
      <c r="J51" s="65" t="s">
        <v>133</v>
      </c>
      <c r="K51" s="59"/>
      <c r="L51" s="60" t="s">
        <v>369</v>
      </c>
      <c r="M51" s="102" t="str">
        <f>"86,3455"</f>
        <v>86,3455</v>
      </c>
      <c r="N51" s="12" t="s">
        <v>304</v>
      </c>
    </row>
    <row r="52" spans="1:14">
      <c r="A52" s="52" t="s">
        <v>308</v>
      </c>
      <c r="B52" s="48" t="s">
        <v>439</v>
      </c>
      <c r="C52" s="12" t="s">
        <v>134</v>
      </c>
      <c r="D52" s="12" t="s">
        <v>344</v>
      </c>
      <c r="E52" s="12" t="str">
        <f>"0,6254"</f>
        <v>0,6254</v>
      </c>
      <c r="F52" s="12" t="s">
        <v>36</v>
      </c>
      <c r="G52" s="12" t="s">
        <v>17</v>
      </c>
      <c r="H52" s="65" t="s">
        <v>56</v>
      </c>
      <c r="I52" s="65" t="s">
        <v>135</v>
      </c>
      <c r="J52" s="65" t="s">
        <v>91</v>
      </c>
      <c r="K52" s="59"/>
      <c r="L52" s="60" t="s">
        <v>364</v>
      </c>
      <c r="M52" s="102" t="str">
        <f>"85,9581"</f>
        <v>85,9581</v>
      </c>
      <c r="N52" s="12" t="s">
        <v>304</v>
      </c>
    </row>
    <row r="53" spans="1:14">
      <c r="A53" s="52" t="s">
        <v>307</v>
      </c>
      <c r="B53" s="49" t="s">
        <v>136</v>
      </c>
      <c r="C53" s="7" t="s">
        <v>137</v>
      </c>
      <c r="D53" s="7" t="s">
        <v>342</v>
      </c>
      <c r="E53" s="7" t="str">
        <f>"0,6123"</f>
        <v>0,6123</v>
      </c>
      <c r="F53" s="7" t="s">
        <v>105</v>
      </c>
      <c r="G53" s="7" t="s">
        <v>17</v>
      </c>
      <c r="H53" s="37" t="s">
        <v>49</v>
      </c>
      <c r="I53" s="37" t="s">
        <v>50</v>
      </c>
      <c r="J53" s="37" t="s">
        <v>135</v>
      </c>
      <c r="K53" s="56"/>
      <c r="L53" s="55" t="s">
        <v>370</v>
      </c>
      <c r="M53" s="103" t="str">
        <f>"117,3856"</f>
        <v>117,3856</v>
      </c>
      <c r="N53" s="7" t="s">
        <v>304</v>
      </c>
    </row>
    <row r="55" spans="1:14" ht="16">
      <c r="B55" s="156" t="s">
        <v>138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</row>
    <row r="56" spans="1:14">
      <c r="A56" s="52" t="s">
        <v>307</v>
      </c>
      <c r="B56" s="47" t="s">
        <v>139</v>
      </c>
      <c r="C56" s="6" t="s">
        <v>140</v>
      </c>
      <c r="D56" s="6" t="s">
        <v>345</v>
      </c>
      <c r="E56" s="6" t="str">
        <f>"0,5910"</f>
        <v>0,5910</v>
      </c>
      <c r="F56" s="6" t="s">
        <v>36</v>
      </c>
      <c r="G56" s="6" t="s">
        <v>17</v>
      </c>
      <c r="H56" s="61" t="s">
        <v>141</v>
      </c>
      <c r="I56" s="61" t="s">
        <v>120</v>
      </c>
      <c r="J56" s="62" t="s">
        <v>121</v>
      </c>
      <c r="K56" s="54"/>
      <c r="L56" s="53" t="s">
        <v>371</v>
      </c>
      <c r="M56" s="101" t="str">
        <f>"109,3350"</f>
        <v>109,3350</v>
      </c>
      <c r="N56" s="6" t="s">
        <v>304</v>
      </c>
    </row>
    <row r="57" spans="1:14">
      <c r="A57" s="52" t="s">
        <v>308</v>
      </c>
      <c r="B57" s="48" t="s">
        <v>142</v>
      </c>
      <c r="C57" s="12" t="s">
        <v>143</v>
      </c>
      <c r="D57" s="12" t="s">
        <v>346</v>
      </c>
      <c r="E57" s="12" t="str">
        <f>"0,5939"</f>
        <v>0,5939</v>
      </c>
      <c r="F57" s="12" t="s">
        <v>36</v>
      </c>
      <c r="G57" s="12" t="s">
        <v>17</v>
      </c>
      <c r="H57" s="66" t="s">
        <v>94</v>
      </c>
      <c r="I57" s="66" t="s">
        <v>94</v>
      </c>
      <c r="J57" s="65" t="s">
        <v>94</v>
      </c>
      <c r="K57" s="59"/>
      <c r="L57" s="60" t="s">
        <v>372</v>
      </c>
      <c r="M57" s="102" t="str">
        <f>"92,0545"</f>
        <v>92,0545</v>
      </c>
      <c r="N57" s="12" t="s">
        <v>304</v>
      </c>
    </row>
    <row r="58" spans="1:14">
      <c r="A58" s="52" t="s">
        <v>309</v>
      </c>
      <c r="B58" s="49" t="s">
        <v>144</v>
      </c>
      <c r="C58" s="7" t="s">
        <v>145</v>
      </c>
      <c r="D58" s="7" t="s">
        <v>49</v>
      </c>
      <c r="E58" s="7" t="str">
        <f>"0,5885"</f>
        <v>0,5885</v>
      </c>
      <c r="F58" s="7" t="s">
        <v>105</v>
      </c>
      <c r="G58" s="7" t="s">
        <v>17</v>
      </c>
      <c r="H58" s="37" t="s">
        <v>78</v>
      </c>
      <c r="I58" s="37" t="s">
        <v>106</v>
      </c>
      <c r="J58" s="63" t="s">
        <v>94</v>
      </c>
      <c r="K58" s="56"/>
      <c r="L58" s="55" t="s">
        <v>373</v>
      </c>
      <c r="M58" s="103" t="str">
        <f>"89,7463"</f>
        <v>89,7463</v>
      </c>
      <c r="N58" s="7" t="s">
        <v>304</v>
      </c>
    </row>
    <row r="60" spans="1:14" ht="16">
      <c r="B60" s="156" t="s">
        <v>146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</row>
    <row r="61" spans="1:14">
      <c r="A61" s="52" t="s">
        <v>307</v>
      </c>
      <c r="B61" s="47" t="s">
        <v>147</v>
      </c>
      <c r="C61" s="6" t="s">
        <v>148</v>
      </c>
      <c r="D61" s="6" t="s">
        <v>347</v>
      </c>
      <c r="E61" s="6" t="str">
        <f>"0,5801"</f>
        <v>0,5801</v>
      </c>
      <c r="F61" s="6" t="s">
        <v>36</v>
      </c>
      <c r="G61" s="6" t="s">
        <v>17</v>
      </c>
      <c r="H61" s="61" t="s">
        <v>218</v>
      </c>
      <c r="I61" s="61" t="s">
        <v>149</v>
      </c>
      <c r="J61" s="61" t="s">
        <v>150</v>
      </c>
      <c r="K61" s="54"/>
      <c r="L61" s="53" t="s">
        <v>374</v>
      </c>
      <c r="M61" s="101" t="str">
        <f>"130,5225"</f>
        <v>130,5225</v>
      </c>
      <c r="N61" s="6" t="s">
        <v>304</v>
      </c>
    </row>
    <row r="62" spans="1:14">
      <c r="A62" s="52" t="s">
        <v>308</v>
      </c>
      <c r="B62" s="48" t="s">
        <v>151</v>
      </c>
      <c r="C62" s="12" t="s">
        <v>152</v>
      </c>
      <c r="D62" s="12" t="s">
        <v>348</v>
      </c>
      <c r="E62" s="12" t="str">
        <f>"0,5764"</f>
        <v>0,5764</v>
      </c>
      <c r="F62" s="12" t="s">
        <v>36</v>
      </c>
      <c r="G62" s="12" t="s">
        <v>17</v>
      </c>
      <c r="H62" s="65" t="s">
        <v>129</v>
      </c>
      <c r="I62" s="65" t="s">
        <v>113</v>
      </c>
      <c r="J62" s="65" t="s">
        <v>141</v>
      </c>
      <c r="K62" s="59"/>
      <c r="L62" s="60" t="s">
        <v>375</v>
      </c>
      <c r="M62" s="102" t="str">
        <f>"100,8700"</f>
        <v>100,8700</v>
      </c>
      <c r="N62" s="12" t="s">
        <v>304</v>
      </c>
    </row>
    <row r="63" spans="1:14">
      <c r="A63" s="52" t="s">
        <v>309</v>
      </c>
      <c r="B63" s="49" t="s">
        <v>153</v>
      </c>
      <c r="C63" s="7" t="s">
        <v>154</v>
      </c>
      <c r="D63" s="7" t="s">
        <v>349</v>
      </c>
      <c r="E63" s="7" t="str">
        <f>"0,5786"</f>
        <v>0,5786</v>
      </c>
      <c r="F63" s="7" t="s">
        <v>36</v>
      </c>
      <c r="G63" s="7" t="s">
        <v>17</v>
      </c>
      <c r="H63" s="37" t="s">
        <v>78</v>
      </c>
      <c r="I63" s="63" t="s">
        <v>111</v>
      </c>
      <c r="J63" s="63" t="s">
        <v>111</v>
      </c>
      <c r="K63" s="56"/>
      <c r="L63" s="55" t="s">
        <v>360</v>
      </c>
      <c r="M63" s="103" t="str">
        <f>"86,7900"</f>
        <v>86,7900</v>
      </c>
      <c r="N63" s="7" t="s">
        <v>304</v>
      </c>
    </row>
    <row r="65" spans="2:14" ht="18">
      <c r="B65" s="14" t="s">
        <v>155</v>
      </c>
      <c r="C65" s="15"/>
    </row>
    <row r="66" spans="2:14">
      <c r="B66" s="169" t="s">
        <v>453</v>
      </c>
    </row>
    <row r="67" spans="2:14" ht="14">
      <c r="B67" s="16"/>
      <c r="C67" s="17" t="s">
        <v>454</v>
      </c>
    </row>
    <row r="68" spans="2:14" ht="14">
      <c r="B68" s="46" t="s">
        <v>156</v>
      </c>
      <c r="C68" s="46" t="s">
        <v>157</v>
      </c>
      <c r="D68" s="51" t="s">
        <v>158</v>
      </c>
      <c r="E68" s="51" t="s">
        <v>305</v>
      </c>
      <c r="F68" s="46" t="s">
        <v>160</v>
      </c>
    </row>
    <row r="69" spans="2:14">
      <c r="B69" s="170" t="s">
        <v>147</v>
      </c>
      <c r="C69" s="171" t="s">
        <v>161</v>
      </c>
      <c r="D69" s="171" t="s">
        <v>165</v>
      </c>
      <c r="E69" s="171" t="s">
        <v>150</v>
      </c>
      <c r="F69" s="171" t="s">
        <v>166</v>
      </c>
    </row>
    <row r="70" spans="2:14">
      <c r="B70" s="170" t="s">
        <v>118</v>
      </c>
      <c r="C70" s="171" t="s">
        <v>161</v>
      </c>
      <c r="D70" s="171" t="s">
        <v>167</v>
      </c>
      <c r="E70" s="171" t="s">
        <v>122</v>
      </c>
      <c r="F70" s="171" t="s">
        <v>168</v>
      </c>
    </row>
    <row r="71" spans="2:14">
      <c r="B71" s="170" t="s">
        <v>123</v>
      </c>
      <c r="C71" s="171" t="s">
        <v>161</v>
      </c>
      <c r="D71" s="171" t="s">
        <v>167</v>
      </c>
      <c r="E71" s="171" t="s">
        <v>126</v>
      </c>
      <c r="F71" s="171" t="s">
        <v>169</v>
      </c>
    </row>
    <row r="73" spans="2:14">
      <c r="B73" s="5"/>
      <c r="F73" s="1"/>
      <c r="G73" s="4"/>
      <c r="I73" s="4"/>
      <c r="N73" s="1"/>
    </row>
    <row r="74" spans="2:14">
      <c r="B74" s="5"/>
      <c r="F74" s="1"/>
      <c r="G74" s="4"/>
      <c r="I74" s="4"/>
      <c r="N74" s="1"/>
    </row>
    <row r="75" spans="2:14">
      <c r="B75" s="5"/>
      <c r="F75" s="1"/>
      <c r="G75" s="4"/>
      <c r="I75" s="4"/>
      <c r="N75" s="1"/>
    </row>
    <row r="76" spans="2:14">
      <c r="B76" s="5"/>
      <c r="F76" s="1"/>
      <c r="G76" s="4"/>
      <c r="I76" s="4"/>
      <c r="N76" s="1"/>
    </row>
    <row r="77" spans="2:14">
      <c r="B77" s="5"/>
      <c r="F77" s="1"/>
      <c r="G77" s="4"/>
      <c r="I77" s="4"/>
      <c r="N77" s="1"/>
    </row>
    <row r="78" spans="2:14">
      <c r="B78" s="5"/>
      <c r="F78" s="1"/>
      <c r="G78" s="4"/>
      <c r="I78" s="4"/>
      <c r="N78" s="1"/>
    </row>
    <row r="79" spans="2:14">
      <c r="B79" s="5"/>
      <c r="F79" s="1"/>
      <c r="G79" s="4"/>
      <c r="I79" s="4"/>
      <c r="N79" s="1"/>
    </row>
    <row r="80" spans="2:14">
      <c r="B80" s="5"/>
      <c r="F80" s="1"/>
      <c r="G80" s="4"/>
      <c r="I80" s="4"/>
      <c r="N80" s="1"/>
    </row>
    <row r="81" spans="2:14">
      <c r="B81" s="5"/>
      <c r="F81" s="1"/>
      <c r="G81" s="4"/>
      <c r="I81" s="4"/>
      <c r="N81" s="1"/>
    </row>
    <row r="82" spans="2:14">
      <c r="B82" s="5"/>
      <c r="F82" s="1"/>
      <c r="G82" s="4"/>
      <c r="I82" s="4"/>
      <c r="N82" s="1"/>
    </row>
    <row r="83" spans="2:14">
      <c r="B83" s="5"/>
      <c r="F83" s="1"/>
      <c r="G83" s="4"/>
      <c r="I83" s="4"/>
      <c r="N83" s="1"/>
    </row>
    <row r="84" spans="2:14">
      <c r="B84" s="5"/>
      <c r="F84" s="1"/>
      <c r="G84" s="4"/>
      <c r="I84" s="4"/>
      <c r="N84" s="1"/>
    </row>
    <row r="85" spans="2:14">
      <c r="B85" s="5"/>
      <c r="F85" s="1"/>
      <c r="G85" s="4"/>
      <c r="I85" s="4"/>
      <c r="N85" s="1"/>
    </row>
  </sheetData>
  <mergeCells count="23">
    <mergeCell ref="B1:N2"/>
    <mergeCell ref="H3:K3"/>
    <mergeCell ref="B3:B4"/>
    <mergeCell ref="C3:C4"/>
    <mergeCell ref="D3:D4"/>
    <mergeCell ref="N3:N4"/>
    <mergeCell ref="G3:G4"/>
    <mergeCell ref="F3:F4"/>
    <mergeCell ref="A3:A4"/>
    <mergeCell ref="B55:M55"/>
    <mergeCell ref="B60:M60"/>
    <mergeCell ref="B16:M16"/>
    <mergeCell ref="B21:M21"/>
    <mergeCell ref="B24:M24"/>
    <mergeCell ref="B30:M30"/>
    <mergeCell ref="B40:M40"/>
    <mergeCell ref="B46:M46"/>
    <mergeCell ref="B5:M5"/>
    <mergeCell ref="B9:M9"/>
    <mergeCell ref="B13:M13"/>
    <mergeCell ref="E3:E4"/>
    <mergeCell ref="L3:L4"/>
    <mergeCell ref="M3:M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/>
  <headerFooter alignWithMargins="0">
    <oddFooter>&amp;L&amp;G&amp;R&amp;D&amp;T&amp;P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G21" sqref="G21"/>
    </sheetView>
  </sheetViews>
  <sheetFormatPr baseColWidth="10" defaultColWidth="8.7109375" defaultRowHeight="13" x14ac:dyDescent="0"/>
  <cols>
    <col min="1" max="1" width="8.7109375" style="52"/>
    <col min="2" max="2" width="28.28515625" style="4" bestFit="1" customWidth="1"/>
    <col min="3" max="3" width="23.7109375" style="1" customWidth="1"/>
    <col min="4" max="4" width="10.5703125" style="5" bestFit="1" customWidth="1"/>
    <col min="5" max="5" width="8.42578125" style="5" bestFit="1" customWidth="1"/>
    <col min="6" max="6" width="12.7109375" style="5" customWidth="1"/>
    <col min="7" max="7" width="20.85546875" style="5" customWidth="1"/>
    <col min="8" max="10" width="5.5703125" style="52" bestFit="1" customWidth="1"/>
    <col min="11" max="11" width="4.5703125" style="52" bestFit="1" customWidth="1"/>
    <col min="12" max="12" width="11.5703125" style="52" customWidth="1"/>
    <col min="13" max="13" width="8.5703125" style="52" bestFit="1" customWidth="1"/>
    <col min="14" max="14" width="13.42578125" style="5" customWidth="1"/>
    <col min="15" max="16384" width="8.7109375" style="1"/>
  </cols>
  <sheetData>
    <row r="1" spans="1:14" ht="15" customHeight="1">
      <c r="B1" s="123" t="s">
        <v>448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ht="135" customHeight="1" thickBot="1"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2" customFormat="1" ht="12.75" customHeight="1">
      <c r="A3" s="158" t="s">
        <v>301</v>
      </c>
      <c r="B3" s="129" t="s">
        <v>0</v>
      </c>
      <c r="C3" s="131" t="s">
        <v>302</v>
      </c>
      <c r="D3" s="131" t="s">
        <v>303</v>
      </c>
      <c r="E3" s="159" t="s">
        <v>232</v>
      </c>
      <c r="F3" s="134" t="s">
        <v>8</v>
      </c>
      <c r="G3" s="134" t="s">
        <v>10</v>
      </c>
      <c r="H3" s="134" t="s">
        <v>2</v>
      </c>
      <c r="I3" s="134"/>
      <c r="J3" s="134"/>
      <c r="K3" s="134"/>
      <c r="L3" s="134" t="s">
        <v>305</v>
      </c>
      <c r="M3" s="134" t="s">
        <v>7</v>
      </c>
      <c r="N3" s="135" t="s">
        <v>6</v>
      </c>
    </row>
    <row r="4" spans="1:14" s="2" customFormat="1" ht="21" customHeight="1" thickBot="1">
      <c r="A4" s="158"/>
      <c r="B4" s="130"/>
      <c r="C4" s="132"/>
      <c r="D4" s="133"/>
      <c r="E4" s="160"/>
      <c r="F4" s="132"/>
      <c r="G4" s="132"/>
      <c r="H4" s="30">
        <v>1</v>
      </c>
      <c r="I4" s="30">
        <v>2</v>
      </c>
      <c r="J4" s="30">
        <v>3</v>
      </c>
      <c r="K4" s="30" t="s">
        <v>9</v>
      </c>
      <c r="L4" s="132"/>
      <c r="M4" s="132"/>
      <c r="N4" s="136"/>
    </row>
    <row r="5" spans="1:14" ht="16">
      <c r="B5" s="157" t="s">
        <v>70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4">
      <c r="A6" s="52" t="s">
        <v>307</v>
      </c>
      <c r="B6" s="50" t="s">
        <v>81</v>
      </c>
      <c r="C6" s="10" t="s">
        <v>82</v>
      </c>
      <c r="D6" s="10" t="s">
        <v>331</v>
      </c>
      <c r="E6" s="10" t="str">
        <f>"0,6513"</f>
        <v>0,6513</v>
      </c>
      <c r="F6" s="10" t="s">
        <v>16</v>
      </c>
      <c r="G6" s="10" t="s">
        <v>17</v>
      </c>
      <c r="H6" s="33" t="s">
        <v>111</v>
      </c>
      <c r="I6" s="33" t="s">
        <v>113</v>
      </c>
      <c r="J6" s="33" t="s">
        <v>125</v>
      </c>
      <c r="K6" s="58"/>
      <c r="L6" s="57" t="s">
        <v>403</v>
      </c>
      <c r="M6" s="57" t="str">
        <f>"117,2340"</f>
        <v>117,2340</v>
      </c>
      <c r="N6" s="10" t="s">
        <v>304</v>
      </c>
    </row>
    <row r="8" spans="1:14" ht="16">
      <c r="B8" s="156" t="s">
        <v>117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>
      <c r="A9" s="52" t="s">
        <v>307</v>
      </c>
      <c r="B9" s="50" t="s">
        <v>123</v>
      </c>
      <c r="C9" s="10" t="s">
        <v>259</v>
      </c>
      <c r="D9" s="10" t="s">
        <v>341</v>
      </c>
      <c r="E9" s="10" t="str">
        <f>"0,5823"</f>
        <v>0,5823</v>
      </c>
      <c r="F9" s="10" t="s">
        <v>36</v>
      </c>
      <c r="G9" s="10" t="s">
        <v>17</v>
      </c>
      <c r="H9" s="33" t="s">
        <v>121</v>
      </c>
      <c r="I9" s="33" t="s">
        <v>191</v>
      </c>
      <c r="J9" s="33" t="s">
        <v>218</v>
      </c>
      <c r="K9" s="58"/>
      <c r="L9" s="57" t="s">
        <v>404</v>
      </c>
      <c r="M9" s="57" t="str">
        <f>"130,5779"</f>
        <v>130,5779</v>
      </c>
      <c r="N9" s="10" t="s">
        <v>304</v>
      </c>
    </row>
    <row r="11" spans="1:14">
      <c r="B11" s="5"/>
      <c r="C11" s="52"/>
      <c r="D11" s="52"/>
      <c r="E11" s="52"/>
      <c r="F11" s="52"/>
      <c r="G11" s="52"/>
      <c r="I11" s="5"/>
      <c r="J11" s="1"/>
      <c r="K11" s="1"/>
      <c r="L11" s="1"/>
      <c r="M11" s="1"/>
      <c r="N11" s="1"/>
    </row>
    <row r="12" spans="1:14">
      <c r="B12" s="5"/>
      <c r="C12" s="52"/>
      <c r="D12" s="52"/>
      <c r="E12" s="52"/>
      <c r="F12" s="52"/>
      <c r="G12" s="52"/>
      <c r="I12" s="5"/>
      <c r="J12" s="1"/>
      <c r="K12" s="1"/>
      <c r="L12" s="1"/>
      <c r="M12" s="1"/>
      <c r="N12" s="1"/>
    </row>
    <row r="13" spans="1:14">
      <c r="B13" s="5"/>
      <c r="C13" s="52"/>
      <c r="D13" s="52"/>
      <c r="E13" s="52"/>
      <c r="F13" s="52"/>
      <c r="G13" s="52"/>
      <c r="I13" s="5"/>
      <c r="J13" s="1"/>
      <c r="K13" s="1"/>
      <c r="L13" s="1"/>
      <c r="M13" s="1"/>
      <c r="N13" s="1"/>
    </row>
    <row r="14" spans="1:14">
      <c r="B14" s="5"/>
      <c r="C14" s="52"/>
      <c r="D14" s="52"/>
      <c r="E14" s="52"/>
      <c r="F14" s="52"/>
      <c r="G14" s="52"/>
      <c r="I14" s="5"/>
      <c r="J14" s="1"/>
      <c r="K14" s="1"/>
      <c r="L14" s="1"/>
      <c r="M14" s="1"/>
      <c r="N14" s="1"/>
    </row>
    <row r="15" spans="1:14">
      <c r="B15" s="5"/>
      <c r="C15" s="52"/>
      <c r="D15" s="52"/>
      <c r="E15" s="52"/>
      <c r="F15" s="52"/>
      <c r="G15" s="52"/>
      <c r="I15" s="5"/>
      <c r="J15" s="1"/>
      <c r="K15" s="1"/>
      <c r="L15" s="1"/>
      <c r="M15" s="1"/>
      <c r="N15" s="1"/>
    </row>
    <row r="16" spans="1:14">
      <c r="B16" s="5"/>
      <c r="C16" s="52"/>
      <c r="D16" s="52"/>
      <c r="E16" s="52"/>
      <c r="F16" s="52"/>
      <c r="G16" s="52"/>
      <c r="I16" s="5"/>
      <c r="J16" s="1"/>
      <c r="K16" s="1"/>
      <c r="L16" s="1"/>
      <c r="M16" s="1"/>
      <c r="N16" s="1"/>
    </row>
    <row r="17" spans="2:14">
      <c r="B17" s="5"/>
      <c r="C17" s="52"/>
      <c r="D17" s="52"/>
      <c r="E17" s="52"/>
      <c r="F17" s="52"/>
      <c r="G17" s="52"/>
      <c r="I17" s="5"/>
      <c r="J17" s="1"/>
      <c r="K17" s="1"/>
      <c r="L17" s="1"/>
      <c r="M17" s="1"/>
      <c r="N17" s="1"/>
    </row>
    <row r="18" spans="2:14">
      <c r="B18" s="5"/>
      <c r="C18" s="52"/>
      <c r="D18" s="52"/>
      <c r="E18" s="52"/>
      <c r="F18" s="52"/>
      <c r="G18" s="52"/>
      <c r="I18" s="5"/>
      <c r="J18" s="1"/>
      <c r="K18" s="1"/>
      <c r="L18" s="1"/>
      <c r="M18" s="1"/>
      <c r="N18" s="1"/>
    </row>
    <row r="19" spans="2:14">
      <c r="B19" s="5"/>
      <c r="C19" s="52"/>
      <c r="D19" s="52"/>
      <c r="E19" s="52"/>
      <c r="F19" s="52"/>
      <c r="G19" s="52"/>
      <c r="I19" s="5"/>
      <c r="J19" s="1"/>
      <c r="K19" s="1"/>
      <c r="L19" s="1"/>
      <c r="M19" s="1"/>
      <c r="N19" s="1"/>
    </row>
    <row r="20" spans="2:14">
      <c r="B20" s="5"/>
      <c r="C20" s="52"/>
      <c r="D20" s="52"/>
      <c r="E20" s="52"/>
      <c r="F20" s="52"/>
      <c r="G20" s="52"/>
      <c r="I20" s="5"/>
      <c r="J20" s="1"/>
      <c r="K20" s="1"/>
      <c r="L20" s="1"/>
      <c r="M20" s="1"/>
      <c r="N20" s="1"/>
    </row>
    <row r="21" spans="2:14">
      <c r="B21" s="5"/>
      <c r="C21" s="52"/>
      <c r="D21" s="52"/>
      <c r="E21" s="52"/>
      <c r="F21" s="52"/>
      <c r="G21" s="52"/>
      <c r="I21" s="5"/>
      <c r="J21" s="1"/>
      <c r="K21" s="1"/>
      <c r="L21" s="1"/>
      <c r="M21" s="1"/>
      <c r="N21" s="1"/>
    </row>
    <row r="22" spans="2:14">
      <c r="B22" s="5"/>
      <c r="C22" s="52"/>
      <c r="D22" s="52"/>
      <c r="E22" s="52"/>
      <c r="F22" s="52"/>
      <c r="G22" s="52"/>
      <c r="I22" s="5"/>
      <c r="J22" s="1"/>
      <c r="K22" s="1"/>
      <c r="L22" s="1"/>
      <c r="M22" s="1"/>
      <c r="N22" s="1"/>
    </row>
    <row r="23" spans="2:14">
      <c r="B23" s="5"/>
      <c r="C23" s="52"/>
      <c r="D23" s="52"/>
      <c r="E23" s="52"/>
      <c r="F23" s="52"/>
      <c r="G23" s="52"/>
      <c r="I23" s="5"/>
      <c r="J23" s="1"/>
      <c r="K23" s="1"/>
      <c r="L23" s="1"/>
      <c r="M23" s="1"/>
      <c r="N23" s="1"/>
    </row>
    <row r="24" spans="2:14">
      <c r="B24" s="5"/>
      <c r="C24" s="52"/>
      <c r="D24" s="52"/>
      <c r="E24" s="52"/>
      <c r="F24" s="52"/>
      <c r="G24" s="52"/>
      <c r="I24" s="5"/>
      <c r="J24" s="1"/>
      <c r="K24" s="1"/>
      <c r="L24" s="1"/>
      <c r="M24" s="1"/>
      <c r="N24" s="1"/>
    </row>
    <row r="25" spans="2:14">
      <c r="B25" s="5"/>
      <c r="C25" s="52"/>
      <c r="D25" s="52"/>
      <c r="E25" s="52"/>
      <c r="F25" s="52"/>
      <c r="G25" s="52"/>
      <c r="I25" s="5"/>
      <c r="J25" s="1"/>
      <c r="K25" s="1"/>
      <c r="L25" s="1"/>
      <c r="M25" s="1"/>
      <c r="N25" s="1"/>
    </row>
    <row r="26" spans="2:14">
      <c r="B26" s="5"/>
      <c r="C26" s="52"/>
      <c r="D26" s="52"/>
      <c r="E26" s="52"/>
      <c r="F26" s="52"/>
      <c r="G26" s="52"/>
      <c r="I26" s="5"/>
      <c r="J26" s="1"/>
      <c r="K26" s="1"/>
      <c r="L26" s="1"/>
      <c r="M26" s="1"/>
      <c r="N26" s="1"/>
    </row>
    <row r="27" spans="2:14">
      <c r="B27" s="5"/>
      <c r="C27" s="52"/>
      <c r="D27" s="52"/>
      <c r="E27" s="52"/>
      <c r="F27" s="52"/>
      <c r="G27" s="52"/>
      <c r="I27" s="5"/>
      <c r="J27" s="1"/>
      <c r="K27" s="1"/>
      <c r="L27" s="1"/>
      <c r="M27" s="1"/>
      <c r="N27" s="1"/>
    </row>
    <row r="28" spans="2:14">
      <c r="B28" s="5"/>
      <c r="C28" s="52"/>
      <c r="D28" s="52"/>
      <c r="E28" s="52"/>
      <c r="F28" s="52"/>
      <c r="G28" s="52"/>
      <c r="I28" s="5"/>
      <c r="J28" s="1"/>
      <c r="K28" s="1"/>
      <c r="L28" s="1"/>
      <c r="M28" s="1"/>
      <c r="N28" s="1"/>
    </row>
    <row r="29" spans="2:14">
      <c r="B29" s="5"/>
      <c r="C29" s="52"/>
      <c r="D29" s="52"/>
      <c r="E29" s="52"/>
      <c r="F29" s="52"/>
      <c r="G29" s="52"/>
      <c r="I29" s="5"/>
      <c r="J29" s="1"/>
      <c r="K29" s="1"/>
      <c r="L29" s="1"/>
      <c r="M29" s="1"/>
      <c r="N29" s="1"/>
    </row>
    <row r="30" spans="2:14">
      <c r="B30" s="5"/>
      <c r="C30" s="52"/>
      <c r="D30" s="52"/>
      <c r="E30" s="52"/>
      <c r="F30" s="52"/>
      <c r="G30" s="52"/>
      <c r="I30" s="5"/>
      <c r="J30" s="1"/>
      <c r="K30" s="1"/>
      <c r="L30" s="1"/>
      <c r="M30" s="1"/>
      <c r="N30" s="1"/>
    </row>
  </sheetData>
  <mergeCells count="14">
    <mergeCell ref="A3:A4"/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F18" sqref="F18"/>
    </sheetView>
  </sheetViews>
  <sheetFormatPr baseColWidth="10" defaultColWidth="8.7109375" defaultRowHeight="13" x14ac:dyDescent="0"/>
  <cols>
    <col min="1" max="1" width="7.7109375" style="32" customWidth="1"/>
    <col min="2" max="2" width="17.5703125" style="19" customWidth="1"/>
    <col min="3" max="3" width="24.5703125" style="19" customWidth="1"/>
    <col min="4" max="4" width="12.140625" style="19" customWidth="1"/>
    <col min="5" max="5" width="8.42578125" style="19" bestFit="1" customWidth="1"/>
    <col min="6" max="6" width="16.42578125" style="19" customWidth="1"/>
    <col min="7" max="7" width="28.28515625" style="19" customWidth="1"/>
    <col min="8" max="10" width="5.5703125" style="74" bestFit="1" customWidth="1"/>
    <col min="11" max="11" width="4.5703125" style="74" bestFit="1" customWidth="1"/>
    <col min="12" max="12" width="10.42578125" style="89" customWidth="1"/>
    <col min="13" max="13" width="8.5703125" style="74" bestFit="1" customWidth="1"/>
    <col min="14" max="14" width="13.42578125" style="19" customWidth="1"/>
  </cols>
  <sheetData>
    <row r="1" spans="1:14" s="1" customFormat="1" ht="15" customHeight="1">
      <c r="A1" s="52"/>
      <c r="B1" s="123" t="s">
        <v>456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s="1" customFormat="1" ht="134" customHeight="1" thickBot="1">
      <c r="A2" s="52"/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2" customFormat="1" ht="12.75" customHeight="1">
      <c r="A3" s="121" t="s">
        <v>301</v>
      </c>
      <c r="B3" s="129" t="s">
        <v>0</v>
      </c>
      <c r="C3" s="131" t="s">
        <v>302</v>
      </c>
      <c r="D3" s="131" t="s">
        <v>303</v>
      </c>
      <c r="E3" s="134" t="s">
        <v>12</v>
      </c>
      <c r="F3" s="134" t="s">
        <v>8</v>
      </c>
      <c r="G3" s="134" t="s">
        <v>306</v>
      </c>
      <c r="H3" s="134" t="s">
        <v>2</v>
      </c>
      <c r="I3" s="134"/>
      <c r="J3" s="134"/>
      <c r="K3" s="134"/>
      <c r="L3" s="154" t="s">
        <v>305</v>
      </c>
      <c r="M3" s="134" t="s">
        <v>7</v>
      </c>
      <c r="N3" s="135" t="s">
        <v>6</v>
      </c>
    </row>
    <row r="4" spans="1:14" s="2" customFormat="1" ht="18.75" customHeight="1" thickBot="1">
      <c r="A4" s="122"/>
      <c r="B4" s="130"/>
      <c r="C4" s="132"/>
      <c r="D4" s="133"/>
      <c r="E4" s="132"/>
      <c r="F4" s="132"/>
      <c r="G4" s="132"/>
      <c r="H4" s="30">
        <v>1</v>
      </c>
      <c r="I4" s="30">
        <v>2</v>
      </c>
      <c r="J4" s="30">
        <v>3</v>
      </c>
      <c r="K4" s="30" t="s">
        <v>9</v>
      </c>
      <c r="L4" s="155"/>
      <c r="M4" s="132"/>
      <c r="N4" s="136"/>
    </row>
    <row r="5" spans="1:14" ht="16">
      <c r="B5" s="120" t="s">
        <v>57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4">
      <c r="A6" s="32">
        <v>1</v>
      </c>
      <c r="B6" s="172" t="s">
        <v>197</v>
      </c>
      <c r="C6" s="172" t="s">
        <v>198</v>
      </c>
      <c r="D6" s="172" t="s">
        <v>42</v>
      </c>
      <c r="E6" s="172" t="str">
        <f>"0,7494"</f>
        <v>0,7494</v>
      </c>
      <c r="F6" s="172" t="s">
        <v>36</v>
      </c>
      <c r="G6" s="172" t="s">
        <v>402</v>
      </c>
      <c r="H6" s="173" t="s">
        <v>48</v>
      </c>
      <c r="I6" s="173" t="s">
        <v>49</v>
      </c>
      <c r="J6" s="174" t="s">
        <v>50</v>
      </c>
      <c r="K6" s="175"/>
      <c r="L6" s="176">
        <v>110</v>
      </c>
      <c r="M6" s="177" t="str">
        <f>"82,4340"</f>
        <v>82,4340</v>
      </c>
      <c r="N6" s="20" t="s">
        <v>304</v>
      </c>
    </row>
    <row r="7" spans="1:14">
      <c r="B7" s="178"/>
      <c r="C7" s="178"/>
      <c r="D7" s="178"/>
      <c r="E7" s="178"/>
      <c r="F7" s="178"/>
      <c r="G7" s="178"/>
      <c r="H7" s="179"/>
      <c r="I7" s="179"/>
      <c r="J7" s="179"/>
      <c r="K7" s="179"/>
      <c r="L7" s="180"/>
      <c r="M7" s="179"/>
    </row>
    <row r="8" spans="1:14" ht="16">
      <c r="B8" s="181" t="s">
        <v>70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4">
      <c r="A9" s="32">
        <v>1</v>
      </c>
      <c r="B9" s="172" t="s">
        <v>92</v>
      </c>
      <c r="C9" s="172" t="s">
        <v>93</v>
      </c>
      <c r="D9" s="172" t="s">
        <v>334</v>
      </c>
      <c r="E9" s="172" t="str">
        <f>"0,7080"</f>
        <v>0,7080</v>
      </c>
      <c r="F9" s="172" t="s">
        <v>36</v>
      </c>
      <c r="G9" s="172" t="s">
        <v>17</v>
      </c>
      <c r="H9" s="173" t="s">
        <v>86</v>
      </c>
      <c r="I9" s="173" t="s">
        <v>77</v>
      </c>
      <c r="J9" s="173" t="s">
        <v>78</v>
      </c>
      <c r="K9" s="175"/>
      <c r="L9" s="176">
        <v>150</v>
      </c>
      <c r="M9" s="177" t="str">
        <f>"106,7310"</f>
        <v>106,7310</v>
      </c>
      <c r="N9" s="20" t="s">
        <v>304</v>
      </c>
    </row>
    <row r="11" spans="1:14">
      <c r="I11" s="32"/>
      <c r="J11" s="32"/>
      <c r="K11" s="32"/>
      <c r="M11" s="32"/>
      <c r="N11"/>
    </row>
    <row r="12" spans="1:14">
      <c r="I12" s="32"/>
      <c r="J12" s="32"/>
      <c r="K12" s="32"/>
      <c r="M12" s="32"/>
      <c r="N12"/>
    </row>
    <row r="13" spans="1:14">
      <c r="I13" s="32"/>
      <c r="J13" s="32"/>
      <c r="K13" s="32"/>
      <c r="M13" s="32"/>
      <c r="N13"/>
    </row>
    <row r="14" spans="1:14">
      <c r="I14" s="32"/>
      <c r="J14" s="32"/>
      <c r="K14" s="32"/>
      <c r="M14" s="32"/>
      <c r="N14"/>
    </row>
    <row r="15" spans="1:14">
      <c r="I15" s="32"/>
      <c r="J15" s="32"/>
      <c r="K15" s="32"/>
      <c r="M15" s="32"/>
      <c r="N15"/>
    </row>
    <row r="16" spans="1:14">
      <c r="I16" s="32"/>
      <c r="J16" s="32"/>
      <c r="K16" s="32"/>
      <c r="M16" s="32"/>
      <c r="N16"/>
    </row>
    <row r="17" spans="9:14">
      <c r="I17" s="32"/>
      <c r="J17" s="32"/>
      <c r="K17" s="32"/>
      <c r="M17" s="32"/>
      <c r="N17"/>
    </row>
    <row r="18" spans="9:14">
      <c r="I18" s="32"/>
      <c r="J18" s="32"/>
      <c r="K18" s="32"/>
      <c r="M18" s="32"/>
      <c r="N18"/>
    </row>
    <row r="19" spans="9:14">
      <c r="I19" s="32"/>
      <c r="J19" s="32"/>
      <c r="K19" s="32"/>
      <c r="M19" s="32"/>
      <c r="N19"/>
    </row>
    <row r="20" spans="9:14">
      <c r="I20" s="32"/>
      <c r="J20" s="32"/>
      <c r="K20" s="32"/>
      <c r="M20" s="32"/>
      <c r="N20"/>
    </row>
    <row r="21" spans="9:14">
      <c r="I21" s="32"/>
      <c r="J21" s="32"/>
      <c r="K21" s="32"/>
      <c r="M21" s="32"/>
      <c r="N21"/>
    </row>
    <row r="22" spans="9:14">
      <c r="I22" s="32"/>
      <c r="J22" s="32"/>
      <c r="K22" s="32"/>
      <c r="M22" s="32"/>
      <c r="N22"/>
    </row>
    <row r="23" spans="9:14">
      <c r="I23" s="32"/>
      <c r="J23" s="32"/>
      <c r="K23" s="32"/>
      <c r="M23" s="32"/>
      <c r="N23"/>
    </row>
    <row r="24" spans="9:14">
      <c r="I24" s="32"/>
      <c r="J24" s="32"/>
      <c r="K24" s="32"/>
      <c r="M24" s="32"/>
      <c r="N24"/>
    </row>
    <row r="25" spans="9:14">
      <c r="I25" s="32"/>
      <c r="J25" s="32"/>
      <c r="K25" s="32"/>
      <c r="M25" s="32"/>
      <c r="N25"/>
    </row>
    <row r="26" spans="9:14">
      <c r="I26" s="32"/>
      <c r="J26" s="32"/>
      <c r="K26" s="32"/>
      <c r="M26" s="32"/>
      <c r="N26"/>
    </row>
    <row r="27" spans="9:14">
      <c r="I27" s="32"/>
      <c r="J27" s="32"/>
      <c r="K27" s="32"/>
      <c r="M27" s="32"/>
      <c r="N27"/>
    </row>
    <row r="28" spans="9:14">
      <c r="I28" s="32"/>
      <c r="J28" s="32"/>
      <c r="K28" s="32"/>
      <c r="M28" s="32"/>
      <c r="N28"/>
    </row>
    <row r="29" spans="9:14">
      <c r="I29" s="32"/>
      <c r="J29" s="32"/>
      <c r="K29" s="32"/>
      <c r="M29" s="32"/>
      <c r="N29"/>
    </row>
  </sheetData>
  <mergeCells count="14">
    <mergeCell ref="A3:A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N2" sqref="N2"/>
    </sheetView>
  </sheetViews>
  <sheetFormatPr baseColWidth="10" defaultColWidth="8.7109375" defaultRowHeight="13" x14ac:dyDescent="0"/>
  <cols>
    <col min="1" max="1" width="8.7109375" style="52"/>
    <col min="2" max="2" width="28.28515625" style="91" bestFit="1" customWidth="1"/>
    <col min="3" max="3" width="26.85546875" style="91" bestFit="1" customWidth="1"/>
    <col min="4" max="4" width="10.5703125" style="5" bestFit="1" customWidth="1"/>
    <col min="5" max="5" width="8.42578125" style="5" bestFit="1" customWidth="1"/>
    <col min="6" max="6" width="22.7109375" style="5" bestFit="1" customWidth="1"/>
    <col min="7" max="7" width="26.140625" style="5" customWidth="1"/>
    <col min="8" max="8" width="5.5703125" style="1" bestFit="1" customWidth="1"/>
    <col min="9" max="9" width="9.5703125" style="98" bestFit="1" customWidth="1"/>
    <col min="10" max="10" width="7.85546875" style="91" bestFit="1" customWidth="1"/>
    <col min="11" max="11" width="9.5703125" style="1" bestFit="1" customWidth="1"/>
    <col min="12" max="12" width="13.5703125" style="5" customWidth="1"/>
    <col min="13" max="16384" width="8.7109375" style="1"/>
  </cols>
  <sheetData>
    <row r="1" spans="1:12" ht="15" customHeight="1">
      <c r="B1" s="163" t="s">
        <v>444</v>
      </c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ht="140" customHeight="1" thickBot="1"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1:12" s="2" customFormat="1" ht="12.75" customHeight="1">
      <c r="A3" s="121" t="s">
        <v>301</v>
      </c>
      <c r="B3" s="129" t="s">
        <v>0</v>
      </c>
      <c r="C3" s="131" t="s">
        <v>302</v>
      </c>
      <c r="D3" s="131" t="s">
        <v>303</v>
      </c>
      <c r="E3" s="159" t="s">
        <v>232</v>
      </c>
      <c r="F3" s="134" t="s">
        <v>8</v>
      </c>
      <c r="G3" s="134" t="s">
        <v>10</v>
      </c>
      <c r="H3" s="134" t="s">
        <v>2</v>
      </c>
      <c r="I3" s="134"/>
      <c r="J3" s="134" t="s">
        <v>429</v>
      </c>
      <c r="K3" s="134" t="s">
        <v>7</v>
      </c>
      <c r="L3" s="135" t="s">
        <v>6</v>
      </c>
    </row>
    <row r="4" spans="1:12" s="2" customFormat="1" ht="21" customHeight="1" thickBot="1">
      <c r="A4" s="122"/>
      <c r="B4" s="130"/>
      <c r="C4" s="132"/>
      <c r="D4" s="133"/>
      <c r="E4" s="160"/>
      <c r="F4" s="132"/>
      <c r="G4" s="132"/>
      <c r="H4" s="3" t="s">
        <v>260</v>
      </c>
      <c r="I4" s="97" t="s">
        <v>261</v>
      </c>
      <c r="J4" s="132"/>
      <c r="K4" s="132"/>
      <c r="L4" s="136"/>
    </row>
    <row r="5" spans="1:12" ht="16">
      <c r="B5" s="157" t="s">
        <v>45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1:12">
      <c r="A6" s="52" t="s">
        <v>307</v>
      </c>
      <c r="B6" s="50" t="s">
        <v>46</v>
      </c>
      <c r="C6" s="50" t="s">
        <v>262</v>
      </c>
      <c r="D6" s="10" t="s">
        <v>322</v>
      </c>
      <c r="E6" s="10" t="str">
        <f>"0,8342"</f>
        <v>0,8342</v>
      </c>
      <c r="F6" s="10" t="s">
        <v>16</v>
      </c>
      <c r="G6" s="10" t="s">
        <v>17</v>
      </c>
      <c r="H6" s="57" t="s">
        <v>69</v>
      </c>
      <c r="I6" s="113">
        <v>37</v>
      </c>
      <c r="J6" s="8" t="s">
        <v>412</v>
      </c>
      <c r="K6" s="57" t="str">
        <f>"1851,9241"</f>
        <v>1851,9241</v>
      </c>
      <c r="L6" s="10" t="s">
        <v>304</v>
      </c>
    </row>
    <row r="8" spans="1:12" ht="16">
      <c r="B8" s="156" t="s">
        <v>27</v>
      </c>
      <c r="C8" s="156"/>
      <c r="D8" s="156"/>
      <c r="E8" s="156"/>
      <c r="F8" s="156"/>
      <c r="G8" s="156"/>
      <c r="H8" s="156"/>
      <c r="I8" s="156"/>
      <c r="J8" s="156"/>
      <c r="K8" s="156"/>
    </row>
    <row r="9" spans="1:12">
      <c r="A9" s="52" t="s">
        <v>307</v>
      </c>
      <c r="B9" s="50" t="s">
        <v>54</v>
      </c>
      <c r="C9" s="50" t="s">
        <v>263</v>
      </c>
      <c r="D9" s="10" t="s">
        <v>324</v>
      </c>
      <c r="E9" s="10" t="str">
        <f>"0,7630"</f>
        <v>0,7630</v>
      </c>
      <c r="F9" s="10" t="s">
        <v>36</v>
      </c>
      <c r="G9" s="10" t="s">
        <v>317</v>
      </c>
      <c r="H9" s="57" t="s">
        <v>26</v>
      </c>
      <c r="I9" s="113">
        <v>15</v>
      </c>
      <c r="J9" s="8" t="s">
        <v>264</v>
      </c>
      <c r="K9" s="57" t="str">
        <f>"772,5375"</f>
        <v>772,5375</v>
      </c>
      <c r="L9" s="10" t="s">
        <v>314</v>
      </c>
    </row>
    <row r="11" spans="1:12" ht="16">
      <c r="B11" s="156" t="s">
        <v>57</v>
      </c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2">
      <c r="A12" s="52" t="s">
        <v>307</v>
      </c>
      <c r="B12" s="47" t="s">
        <v>265</v>
      </c>
      <c r="C12" s="47" t="s">
        <v>266</v>
      </c>
      <c r="D12" s="6" t="s">
        <v>405</v>
      </c>
      <c r="E12" s="6" t="str">
        <f>"0,7375"</f>
        <v>0,7375</v>
      </c>
      <c r="F12" s="6" t="s">
        <v>36</v>
      </c>
      <c r="G12" s="6" t="s">
        <v>17</v>
      </c>
      <c r="H12" s="53" t="s">
        <v>42</v>
      </c>
      <c r="I12" s="114">
        <v>27</v>
      </c>
      <c r="J12" s="115" t="s">
        <v>413</v>
      </c>
      <c r="K12" s="101" t="str">
        <f>"1393,7805"</f>
        <v>1393,7805</v>
      </c>
      <c r="L12" s="6" t="s">
        <v>304</v>
      </c>
    </row>
    <row r="13" spans="1:12">
      <c r="A13" s="52" t="s">
        <v>308</v>
      </c>
      <c r="B13" s="48" t="s">
        <v>267</v>
      </c>
      <c r="C13" s="48" t="s">
        <v>268</v>
      </c>
      <c r="D13" s="12" t="s">
        <v>406</v>
      </c>
      <c r="E13" s="12" t="str">
        <f>"0,7042"</f>
        <v>0,7042</v>
      </c>
      <c r="F13" s="12" t="s">
        <v>36</v>
      </c>
      <c r="G13" s="12" t="s">
        <v>17</v>
      </c>
      <c r="H13" s="60" t="s">
        <v>43</v>
      </c>
      <c r="I13" s="116">
        <v>26</v>
      </c>
      <c r="J13" s="117" t="s">
        <v>414</v>
      </c>
      <c r="K13" s="102" t="str">
        <f>"1373,0925"</f>
        <v>1373,0925</v>
      </c>
      <c r="L13" s="12" t="s">
        <v>304</v>
      </c>
    </row>
    <row r="14" spans="1:12">
      <c r="A14" s="52" t="s">
        <v>307</v>
      </c>
      <c r="B14" s="48" t="s">
        <v>269</v>
      </c>
      <c r="C14" s="48" t="s">
        <v>270</v>
      </c>
      <c r="D14" s="12" t="s">
        <v>407</v>
      </c>
      <c r="E14" s="12" t="str">
        <f>"0,6899"</f>
        <v>0,6899</v>
      </c>
      <c r="F14" s="12" t="s">
        <v>36</v>
      </c>
      <c r="G14" s="12" t="s">
        <v>17</v>
      </c>
      <c r="H14" s="60" t="s">
        <v>43</v>
      </c>
      <c r="I14" s="116">
        <v>50</v>
      </c>
      <c r="J14" s="117" t="s">
        <v>415</v>
      </c>
      <c r="K14" s="102" t="str">
        <f>"2587,1249"</f>
        <v>2587,1249</v>
      </c>
      <c r="L14" s="12" t="s">
        <v>304</v>
      </c>
    </row>
    <row r="15" spans="1:12">
      <c r="A15" s="52" t="s">
        <v>308</v>
      </c>
      <c r="B15" s="48" t="s">
        <v>271</v>
      </c>
      <c r="C15" s="48" t="s">
        <v>272</v>
      </c>
      <c r="D15" s="12" t="s">
        <v>42</v>
      </c>
      <c r="E15" s="12" t="str">
        <f>"0,7262"</f>
        <v>0,7262</v>
      </c>
      <c r="F15" s="12" t="s">
        <v>23</v>
      </c>
      <c r="G15" s="12" t="s">
        <v>17</v>
      </c>
      <c r="H15" s="60" t="s">
        <v>42</v>
      </c>
      <c r="I15" s="116">
        <v>34</v>
      </c>
      <c r="J15" s="117" t="s">
        <v>416</v>
      </c>
      <c r="K15" s="102" t="str">
        <f>"1728,4750"</f>
        <v>1728,4750</v>
      </c>
      <c r="L15" s="12" t="s">
        <v>312</v>
      </c>
    </row>
    <row r="16" spans="1:12">
      <c r="A16" s="52" t="s">
        <v>309</v>
      </c>
      <c r="B16" s="48" t="s">
        <v>273</v>
      </c>
      <c r="C16" s="48" t="s">
        <v>274</v>
      </c>
      <c r="D16" s="12" t="s">
        <v>390</v>
      </c>
      <c r="E16" s="12" t="str">
        <f>"0,7019"</f>
        <v>0,7019</v>
      </c>
      <c r="F16" s="12" t="s">
        <v>36</v>
      </c>
      <c r="G16" s="12" t="s">
        <v>17</v>
      </c>
      <c r="H16" s="60" t="s">
        <v>43</v>
      </c>
      <c r="I16" s="116">
        <v>31</v>
      </c>
      <c r="J16" s="117" t="s">
        <v>417</v>
      </c>
      <c r="K16" s="102" t="str">
        <f>"1631,9175"</f>
        <v>1631,9175</v>
      </c>
      <c r="L16" s="12" t="s">
        <v>304</v>
      </c>
    </row>
    <row r="17" spans="1:15">
      <c r="A17" s="52" t="s">
        <v>437</v>
      </c>
      <c r="B17" s="49" t="s">
        <v>275</v>
      </c>
      <c r="C17" s="49" t="s">
        <v>276</v>
      </c>
      <c r="D17" s="7" t="s">
        <v>408</v>
      </c>
      <c r="E17" s="7" t="str">
        <f>"0,7288"</f>
        <v>0,7288</v>
      </c>
      <c r="F17" s="7" t="s">
        <v>23</v>
      </c>
      <c r="G17" s="7" t="s">
        <v>17</v>
      </c>
      <c r="H17" s="55" t="s">
        <v>42</v>
      </c>
      <c r="I17" s="118">
        <v>28</v>
      </c>
      <c r="J17" s="119" t="s">
        <v>418</v>
      </c>
      <c r="K17" s="103" t="str">
        <f>"1428,4480"</f>
        <v>1428,4480</v>
      </c>
      <c r="L17" s="7" t="s">
        <v>304</v>
      </c>
    </row>
    <row r="19" spans="1:15" ht="16">
      <c r="B19" s="156" t="s">
        <v>443</v>
      </c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5">
      <c r="A20" s="52" t="s">
        <v>307</v>
      </c>
      <c r="B20" s="47" t="s">
        <v>182</v>
      </c>
      <c r="C20" s="47" t="s">
        <v>183</v>
      </c>
      <c r="D20" s="6" t="s">
        <v>44</v>
      </c>
      <c r="E20" s="6" t="str">
        <f>"0,6446"</f>
        <v>0,6446</v>
      </c>
      <c r="F20" s="6" t="s">
        <v>36</v>
      </c>
      <c r="G20" s="6" t="s">
        <v>17</v>
      </c>
      <c r="H20" s="53" t="s">
        <v>44</v>
      </c>
      <c r="I20" s="114">
        <v>21</v>
      </c>
      <c r="J20" s="115" t="s">
        <v>419</v>
      </c>
      <c r="K20" s="101" t="str">
        <f>"1116,7695"</f>
        <v>1116,7695</v>
      </c>
      <c r="L20" s="6" t="s">
        <v>304</v>
      </c>
    </row>
    <row r="21" spans="1:15">
      <c r="A21" s="52" t="s">
        <v>307</v>
      </c>
      <c r="B21" s="48" t="s">
        <v>74</v>
      </c>
      <c r="C21" s="48" t="s">
        <v>75</v>
      </c>
      <c r="D21" s="12" t="s">
        <v>329</v>
      </c>
      <c r="E21" s="12" t="str">
        <f>"0,6737"</f>
        <v>0,6737</v>
      </c>
      <c r="F21" s="12" t="s">
        <v>36</v>
      </c>
      <c r="G21" s="12" t="s">
        <v>17</v>
      </c>
      <c r="H21" s="60" t="s">
        <v>277</v>
      </c>
      <c r="I21" s="116">
        <v>34</v>
      </c>
      <c r="J21" s="117" t="s">
        <v>420</v>
      </c>
      <c r="K21" s="102" t="str">
        <f>"1775,0678"</f>
        <v>1775,0678</v>
      </c>
      <c r="L21" s="12" t="s">
        <v>304</v>
      </c>
    </row>
    <row r="22" spans="1:15">
      <c r="A22" s="52" t="s">
        <v>307</v>
      </c>
      <c r="B22" s="49" t="s">
        <v>92</v>
      </c>
      <c r="C22" s="49" t="s">
        <v>278</v>
      </c>
      <c r="D22" s="7" t="s">
        <v>334</v>
      </c>
      <c r="E22" s="7" t="str">
        <f>"0,6838"</f>
        <v>0,6838</v>
      </c>
      <c r="F22" s="7" t="s">
        <v>36</v>
      </c>
      <c r="G22" s="7" t="s">
        <v>17</v>
      </c>
      <c r="H22" s="55" t="s">
        <v>277</v>
      </c>
      <c r="I22" s="118">
        <v>35</v>
      </c>
      <c r="J22" s="119" t="s">
        <v>421</v>
      </c>
      <c r="K22" s="103" t="str">
        <f>"1873,4925"</f>
        <v>1873,4925</v>
      </c>
      <c r="L22" s="7" t="s">
        <v>304</v>
      </c>
    </row>
    <row r="24" spans="1:15" ht="16">
      <c r="B24" s="156" t="s">
        <v>98</v>
      </c>
      <c r="C24" s="156"/>
      <c r="D24" s="156"/>
      <c r="E24" s="156"/>
      <c r="F24" s="156"/>
      <c r="G24" s="156"/>
      <c r="H24" s="156"/>
      <c r="I24" s="156"/>
      <c r="J24" s="156"/>
      <c r="K24" s="156"/>
    </row>
    <row r="25" spans="1:15">
      <c r="A25" s="52" t="s">
        <v>307</v>
      </c>
      <c r="B25" s="47" t="s">
        <v>279</v>
      </c>
      <c r="C25" s="47" t="s">
        <v>280</v>
      </c>
      <c r="D25" s="6" t="s">
        <v>378</v>
      </c>
      <c r="E25" s="6" t="str">
        <f>"0,6354"</f>
        <v>0,6354</v>
      </c>
      <c r="F25" s="6" t="s">
        <v>36</v>
      </c>
      <c r="G25" s="6" t="s">
        <v>17</v>
      </c>
      <c r="H25" s="53" t="s">
        <v>37</v>
      </c>
      <c r="I25" s="114">
        <v>56</v>
      </c>
      <c r="J25" s="115" t="s">
        <v>416</v>
      </c>
      <c r="K25" s="101" t="str">
        <f>"1512,2520"</f>
        <v>1512,2520</v>
      </c>
      <c r="L25" s="6" t="s">
        <v>304</v>
      </c>
    </row>
    <row r="26" spans="1:15">
      <c r="A26" s="52" t="s">
        <v>307</v>
      </c>
      <c r="B26" s="48" t="s">
        <v>281</v>
      </c>
      <c r="C26" s="48" t="s">
        <v>282</v>
      </c>
      <c r="D26" s="12" t="s">
        <v>337</v>
      </c>
      <c r="E26" s="12" t="str">
        <f>"0,6226"</f>
        <v>0,6226</v>
      </c>
      <c r="F26" s="12" t="s">
        <v>36</v>
      </c>
      <c r="G26" s="12" t="s">
        <v>17</v>
      </c>
      <c r="H26" s="60" t="s">
        <v>60</v>
      </c>
      <c r="I26" s="116">
        <v>30</v>
      </c>
      <c r="J26" s="117" t="s">
        <v>422</v>
      </c>
      <c r="K26" s="102" t="str">
        <f>"1634,3250"</f>
        <v>1634,3250</v>
      </c>
      <c r="L26" s="12" t="s">
        <v>304</v>
      </c>
      <c r="N26" s="52"/>
    </row>
    <row r="27" spans="1:15">
      <c r="A27" s="52" t="s">
        <v>308</v>
      </c>
      <c r="B27" s="48" t="s">
        <v>103</v>
      </c>
      <c r="C27" s="48" t="s">
        <v>104</v>
      </c>
      <c r="D27" s="12" t="s">
        <v>337</v>
      </c>
      <c r="E27" s="12" t="str">
        <f>"0,6226"</f>
        <v>0,6226</v>
      </c>
      <c r="F27" s="12" t="s">
        <v>105</v>
      </c>
      <c r="G27" s="12" t="s">
        <v>17</v>
      </c>
      <c r="H27" s="60" t="s">
        <v>60</v>
      </c>
      <c r="I27" s="116">
        <v>27</v>
      </c>
      <c r="J27" s="117" t="s">
        <v>423</v>
      </c>
      <c r="K27" s="102" t="str">
        <f>"1470,8925"</f>
        <v>1470,8925</v>
      </c>
      <c r="L27" s="12" t="s">
        <v>316</v>
      </c>
    </row>
    <row r="28" spans="1:15">
      <c r="A28" s="52" t="s">
        <v>309</v>
      </c>
      <c r="B28" s="48" t="s">
        <v>228</v>
      </c>
      <c r="C28" s="48" t="s">
        <v>229</v>
      </c>
      <c r="D28" s="12" t="s">
        <v>386</v>
      </c>
      <c r="E28" s="12" t="str">
        <f>"0,6269"</f>
        <v>0,6269</v>
      </c>
      <c r="F28" s="12" t="s">
        <v>36</v>
      </c>
      <c r="G28" s="12" t="s">
        <v>17</v>
      </c>
      <c r="H28" s="60" t="s">
        <v>60</v>
      </c>
      <c r="I28" s="116">
        <v>26</v>
      </c>
      <c r="J28" s="117" t="s">
        <v>424</v>
      </c>
      <c r="K28" s="102" t="str">
        <f>"1426,0838"</f>
        <v>1426,0838</v>
      </c>
      <c r="L28" s="12" t="s">
        <v>304</v>
      </c>
    </row>
    <row r="29" spans="1:15">
      <c r="B29" s="48" t="s">
        <v>283</v>
      </c>
      <c r="C29" s="48" t="s">
        <v>284</v>
      </c>
      <c r="D29" s="12" t="s">
        <v>409</v>
      </c>
      <c r="E29" s="12" t="str">
        <f>"0,6263"</f>
        <v>0,6263</v>
      </c>
      <c r="F29" s="12" t="s">
        <v>36</v>
      </c>
      <c r="G29" s="12" t="s">
        <v>17</v>
      </c>
      <c r="H29" s="60" t="s">
        <v>60</v>
      </c>
      <c r="I29" s="116">
        <v>26</v>
      </c>
      <c r="J29" s="117" t="s">
        <v>424</v>
      </c>
      <c r="K29" s="102" t="str">
        <f>"1424,9462"</f>
        <v>1424,9462</v>
      </c>
      <c r="L29" s="12" t="s">
        <v>304</v>
      </c>
      <c r="O29" s="9"/>
    </row>
    <row r="30" spans="1:15">
      <c r="A30" s="52" t="s">
        <v>307</v>
      </c>
      <c r="B30" s="49" t="s">
        <v>114</v>
      </c>
      <c r="C30" s="49" t="s">
        <v>285</v>
      </c>
      <c r="D30" s="7" t="s">
        <v>339</v>
      </c>
      <c r="E30" s="7" t="str">
        <f>"0,6363"</f>
        <v>0,6363</v>
      </c>
      <c r="F30" s="7" t="s">
        <v>36</v>
      </c>
      <c r="G30" s="7" t="s">
        <v>17</v>
      </c>
      <c r="H30" s="55" t="s">
        <v>175</v>
      </c>
      <c r="I30" s="118">
        <v>19</v>
      </c>
      <c r="J30" s="119" t="s">
        <v>425</v>
      </c>
      <c r="K30" s="103" t="str">
        <f>"1280,4202"</f>
        <v>1280,4202</v>
      </c>
      <c r="L30" s="7" t="s">
        <v>304</v>
      </c>
    </row>
    <row r="32" spans="1:15" ht="16">
      <c r="B32" s="156" t="s">
        <v>117</v>
      </c>
      <c r="C32" s="156"/>
      <c r="D32" s="156"/>
      <c r="E32" s="156"/>
      <c r="F32" s="156"/>
      <c r="G32" s="156"/>
      <c r="H32" s="156"/>
      <c r="I32" s="156"/>
      <c r="J32" s="156"/>
      <c r="K32" s="156"/>
    </row>
    <row r="33" spans="1:12">
      <c r="A33" s="52" t="s">
        <v>307</v>
      </c>
      <c r="B33" s="47" t="s">
        <v>286</v>
      </c>
      <c r="C33" s="47" t="s">
        <v>287</v>
      </c>
      <c r="D33" s="6" t="s">
        <v>410</v>
      </c>
      <c r="E33" s="6" t="str">
        <f>"0,5919"</f>
        <v>0,5919</v>
      </c>
      <c r="F33" s="6" t="s">
        <v>36</v>
      </c>
      <c r="G33" s="6" t="s">
        <v>17</v>
      </c>
      <c r="H33" s="53" t="s">
        <v>288</v>
      </c>
      <c r="I33" s="114">
        <v>26</v>
      </c>
      <c r="J33" s="115" t="s">
        <v>426</v>
      </c>
      <c r="K33" s="101" t="str">
        <f>"1500,5932"</f>
        <v>1500,5932</v>
      </c>
      <c r="L33" s="6" t="s">
        <v>304</v>
      </c>
    </row>
    <row r="34" spans="1:12">
      <c r="A34" s="52" t="s">
        <v>307</v>
      </c>
      <c r="B34" s="48" t="s">
        <v>118</v>
      </c>
      <c r="C34" s="48" t="s">
        <v>119</v>
      </c>
      <c r="D34" s="12" t="s">
        <v>340</v>
      </c>
      <c r="E34" s="12" t="str">
        <f>"0,5853"</f>
        <v>0,5853</v>
      </c>
      <c r="F34" s="12" t="s">
        <v>16</v>
      </c>
      <c r="G34" s="12" t="s">
        <v>17</v>
      </c>
      <c r="H34" s="60" t="s">
        <v>48</v>
      </c>
      <c r="I34" s="116">
        <v>31</v>
      </c>
      <c r="J34" s="117" t="s">
        <v>427</v>
      </c>
      <c r="K34" s="102" t="str">
        <f>"1814,5849"</f>
        <v>1814,5849</v>
      </c>
      <c r="L34" s="12" t="s">
        <v>304</v>
      </c>
    </row>
    <row r="35" spans="1:12">
      <c r="A35" s="52" t="s">
        <v>308</v>
      </c>
      <c r="B35" s="49" t="s">
        <v>289</v>
      </c>
      <c r="C35" s="49" t="s">
        <v>290</v>
      </c>
      <c r="D35" s="7" t="s">
        <v>411</v>
      </c>
      <c r="E35" s="7" t="str">
        <f>"0,6023"</f>
        <v>0,6023</v>
      </c>
      <c r="F35" s="7" t="s">
        <v>36</v>
      </c>
      <c r="G35" s="7" t="s">
        <v>17</v>
      </c>
      <c r="H35" s="55" t="s">
        <v>208</v>
      </c>
      <c r="I35" s="118">
        <v>25</v>
      </c>
      <c r="J35" s="119" t="s">
        <v>428</v>
      </c>
      <c r="K35" s="103" t="str">
        <f>"1430,4625"</f>
        <v>1430,4625</v>
      </c>
      <c r="L35" s="7" t="s">
        <v>304</v>
      </c>
    </row>
    <row r="37" spans="1:12" ht="18">
      <c r="B37" s="92" t="s">
        <v>155</v>
      </c>
      <c r="C37" s="92"/>
    </row>
    <row r="38" spans="1:12" ht="16">
      <c r="B38" s="93" t="s">
        <v>162</v>
      </c>
      <c r="C38" s="93"/>
    </row>
    <row r="40" spans="1:12" ht="14">
      <c r="B40" s="94" t="s">
        <v>156</v>
      </c>
      <c r="C40" s="96" t="s">
        <v>157</v>
      </c>
      <c r="D40" s="90" t="s">
        <v>158</v>
      </c>
      <c r="E40" s="90" t="s">
        <v>159</v>
      </c>
      <c r="F40" s="18" t="s">
        <v>244</v>
      </c>
    </row>
    <row r="41" spans="1:12">
      <c r="B41" s="95" t="s">
        <v>269</v>
      </c>
      <c r="C41" s="91" t="s">
        <v>161</v>
      </c>
      <c r="D41" s="5" t="s">
        <v>164</v>
      </c>
      <c r="E41" s="5" t="s">
        <v>292</v>
      </c>
      <c r="F41" s="4" t="s">
        <v>293</v>
      </c>
    </row>
    <row r="42" spans="1:12">
      <c r="B42" s="95" t="s">
        <v>118</v>
      </c>
      <c r="C42" s="91" t="s">
        <v>161</v>
      </c>
      <c r="D42" s="5" t="s">
        <v>167</v>
      </c>
      <c r="E42" s="5" t="s">
        <v>294</v>
      </c>
      <c r="F42" s="4" t="s">
        <v>295</v>
      </c>
    </row>
    <row r="43" spans="1:12">
      <c r="B43" s="95" t="s">
        <v>74</v>
      </c>
      <c r="C43" s="91" t="s">
        <v>161</v>
      </c>
      <c r="D43" s="5" t="s">
        <v>163</v>
      </c>
      <c r="E43" s="5" t="s">
        <v>296</v>
      </c>
      <c r="F43" s="4" t="s">
        <v>297</v>
      </c>
    </row>
    <row r="44" spans="1:12">
      <c r="E44" s="4"/>
      <c r="F44" s="1"/>
      <c r="J44" s="99"/>
      <c r="L44" s="1"/>
    </row>
    <row r="45" spans="1:12">
      <c r="E45" s="4"/>
      <c r="F45" s="1"/>
      <c r="J45" s="99"/>
      <c r="L45" s="1"/>
    </row>
    <row r="46" spans="1:12">
      <c r="E46" s="4"/>
      <c r="F46" s="1"/>
      <c r="J46" s="99"/>
      <c r="L46" s="1"/>
    </row>
    <row r="47" spans="1:12">
      <c r="E47" s="4"/>
      <c r="F47" s="1"/>
      <c r="J47" s="99"/>
      <c r="L47" s="1"/>
    </row>
    <row r="48" spans="1:12">
      <c r="E48" s="4"/>
      <c r="F48" s="1"/>
      <c r="J48" s="99"/>
      <c r="L48" s="1"/>
    </row>
    <row r="49" spans="5:12">
      <c r="E49" s="4"/>
      <c r="F49" s="1"/>
      <c r="J49" s="99"/>
      <c r="L49" s="1"/>
    </row>
    <row r="50" spans="5:12">
      <c r="E50" s="4"/>
      <c r="F50" s="1"/>
      <c r="J50" s="99"/>
      <c r="L50" s="1"/>
    </row>
    <row r="51" spans="5:12">
      <c r="E51" s="4"/>
      <c r="F51" s="1"/>
      <c r="J51" s="99"/>
      <c r="L51" s="1"/>
    </row>
    <row r="52" spans="5:12">
      <c r="E52" s="4"/>
      <c r="F52" s="1"/>
      <c r="J52" s="99"/>
      <c r="L52" s="1"/>
    </row>
    <row r="53" spans="5:12">
      <c r="E53" s="4"/>
      <c r="F53" s="1"/>
      <c r="J53" s="99"/>
      <c r="L53" s="1"/>
    </row>
    <row r="54" spans="5:12">
      <c r="E54" s="4"/>
      <c r="F54" s="1"/>
      <c r="J54" s="99"/>
      <c r="L54" s="1"/>
    </row>
    <row r="55" spans="5:12">
      <c r="E55" s="4"/>
      <c r="F55" s="1"/>
      <c r="J55" s="99"/>
      <c r="L55" s="1"/>
    </row>
    <row r="56" spans="5:12">
      <c r="E56" s="4"/>
      <c r="F56" s="1"/>
      <c r="J56" s="99"/>
      <c r="L56" s="1"/>
    </row>
    <row r="57" spans="5:12">
      <c r="E57" s="4"/>
      <c r="F57" s="1"/>
      <c r="J57" s="99"/>
      <c r="L57" s="1"/>
    </row>
    <row r="58" spans="5:12">
      <c r="E58" s="4"/>
      <c r="F58" s="1"/>
      <c r="J58" s="99"/>
      <c r="L58" s="1"/>
    </row>
  </sheetData>
  <mergeCells count="18">
    <mergeCell ref="B32:K32"/>
    <mergeCell ref="L3:L4"/>
    <mergeCell ref="B5:K5"/>
    <mergeCell ref="B8:K8"/>
    <mergeCell ref="B11:K11"/>
    <mergeCell ref="B19:K19"/>
    <mergeCell ref="B24:K24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Пауэрлифтинг без экипировки</vt:lpstr>
      <vt:lpstr>Пауэрлифтинг в бинтах</vt:lpstr>
      <vt:lpstr>Присед без экипировки</vt:lpstr>
      <vt:lpstr>Присед в бинтах</vt:lpstr>
      <vt:lpstr>Жим лежа в однослойной экипиров</vt:lpstr>
      <vt:lpstr>Жим лежа без экипировки</vt:lpstr>
      <vt:lpstr>Жим лежа в софт экипировке</vt:lpstr>
      <vt:lpstr>Жим лежа СФО</vt:lpstr>
      <vt:lpstr>Народный жим (1 вес)</vt:lpstr>
      <vt:lpstr>Народный жим (1_2 вес)</vt:lpstr>
      <vt:lpstr>Становая тяга без экипировки</vt:lpstr>
      <vt:lpstr>Rolling Thunder</vt:lpstr>
      <vt:lpstr>Apollon`s Axle</vt:lpstr>
      <vt:lpstr>Grip block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Сергей Длужневский</cp:lastModifiedBy>
  <cp:lastPrinted>2015-07-16T19:10:53Z</cp:lastPrinted>
  <dcterms:created xsi:type="dcterms:W3CDTF">2002-06-16T13:36:44Z</dcterms:created>
  <dcterms:modified xsi:type="dcterms:W3CDTF">2016-06-09T06:28:08Z</dcterms:modified>
</cp:coreProperties>
</file>