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0" yWindow="120" windowWidth="27340" windowHeight="9640" firstSheet="15" activeTab="15"/>
  </bookViews>
  <sheets>
    <sheet name="Экскалибур" sheetId="1" r:id="rId1"/>
    <sheet name="Хаб" sheetId="2" r:id="rId2"/>
    <sheet name="Русский кирпич" sheetId="3" r:id="rId3"/>
    <sheet name="Русская ось" sheetId="4" r:id="rId4"/>
    <sheet name="Русская рулетка" sheetId="5" r:id="rId5"/>
    <sheet name="Пауэрспорт" sheetId="6" r:id="rId6"/>
    <sheet name="Становая тяга без экипировки ДК" sheetId="7" r:id="rId7"/>
    <sheet name="Становая тяга без экипировки" sheetId="8" r:id="rId8"/>
    <sheet name="Жимовое двоеборье" sheetId="9" r:id="rId9"/>
    <sheet name="Народный жим 1_2 веса ДК" sheetId="10" r:id="rId10"/>
    <sheet name="Народный жим 1 вес ДК" sheetId="11" r:id="rId11"/>
    <sheet name="Народный жим 1 вес" sheetId="12" r:id="rId12"/>
    <sheet name="Жим лежа СФО" sheetId="13" r:id="rId13"/>
    <sheet name="Жим многослойная экипировка" sheetId="14" r:id="rId14"/>
    <sheet name="Жим однослойная экипировка ДК" sheetId="15" r:id="rId15"/>
    <sheet name="Жим без экипировки ДК" sheetId="16" r:id="rId16"/>
    <sheet name="Жим без экипировки" sheetId="17" r:id="rId17"/>
    <sheet name="Присед однослойная экипировка" sheetId="18" r:id="rId18"/>
    <sheet name="Присед в бинтах ДК" sheetId="19" r:id="rId19"/>
    <sheet name="Присед в бинтах" sheetId="20" r:id="rId20"/>
    <sheet name="Присед без экипировки ДК" sheetId="21" r:id="rId21"/>
    <sheet name="Присед без экипировки" sheetId="22" r:id="rId22"/>
    <sheet name="Силовое двоеборье без экип. ДК" sheetId="23" r:id="rId23"/>
    <sheet name="Силовое двоеборье без экип." sheetId="24" r:id="rId24"/>
    <sheet name="Пауэрлифтинг в односл. экип. ДК" sheetId="25" r:id="rId25"/>
    <sheet name="Пауэрлифтинг однослойная экип." sheetId="26" r:id="rId26"/>
    <sheet name="Пауэрлифтинг в бинтах ДК" sheetId="27" r:id="rId27"/>
    <sheet name="Пауэрлифтинг в бинтах" sheetId="28" r:id="rId28"/>
    <sheet name="Пауэрлифтинг без экипировки ДК" sheetId="29" r:id="rId29"/>
    <sheet name="Пауэрлифтинг без экипировки" sheetId="30" r:id="rId30"/>
    <sheet name="Судейская коллегия" sheetId="31" r:id="rId31"/>
    <sheet name="Командный зачет" sheetId="32" r:id="rId32"/>
  </sheets>
  <definedNames/>
  <calcPr fullCalcOnLoad="1" refMode="R1C1"/>
</workbook>
</file>

<file path=xl/sharedStrings.xml><?xml version="1.0" encoding="utf-8"?>
<sst xmlns="http://schemas.openxmlformats.org/spreadsheetml/2006/main" count="4110" uniqueCount="1118">
  <si>
    <t>ФИО</t>
  </si>
  <si>
    <t>Весовая категория               Дата рождения/возраст</t>
  </si>
  <si>
    <t>Команда</t>
  </si>
  <si>
    <t>Город</t>
  </si>
  <si>
    <t>Присед</t>
  </si>
  <si>
    <t>Жим</t>
  </si>
  <si>
    <t>Тяга</t>
  </si>
  <si>
    <t>Рек.</t>
  </si>
  <si>
    <t>Сумма</t>
  </si>
  <si>
    <t>Очки</t>
  </si>
  <si>
    <t>Тренер</t>
  </si>
  <si>
    <t>Gloss</t>
  </si>
  <si>
    <t>ВЕСОВАЯ КАТЕГОРИЯ   67.5</t>
  </si>
  <si>
    <t>Open (29.05.1986)/29</t>
  </si>
  <si>
    <t>67,40</t>
  </si>
  <si>
    <t xml:space="preserve">Лично </t>
  </si>
  <si>
    <t xml:space="preserve">Вологда/Вологодская область </t>
  </si>
  <si>
    <t>100,0</t>
  </si>
  <si>
    <t>115,0</t>
  </si>
  <si>
    <t>125,0</t>
  </si>
  <si>
    <t>85,0</t>
  </si>
  <si>
    <t>92,5</t>
  </si>
  <si>
    <t>135,0</t>
  </si>
  <si>
    <t>140,0</t>
  </si>
  <si>
    <t>145,0</t>
  </si>
  <si>
    <t>ВЕСОВАЯ КАТЕГОРИЯ   75</t>
  </si>
  <si>
    <t>Open (04.09.1982)/33</t>
  </si>
  <si>
    <t>75,00</t>
  </si>
  <si>
    <t xml:space="preserve">Динамит </t>
  </si>
  <si>
    <t>0,0</t>
  </si>
  <si>
    <t xml:space="preserve">Таранухин Георгий </t>
  </si>
  <si>
    <t>Open (01.01.1985)/30</t>
  </si>
  <si>
    <t>74,20</t>
  </si>
  <si>
    <t xml:space="preserve">Апатиты </t>
  </si>
  <si>
    <t xml:space="preserve">Апатиты/Мурманская область </t>
  </si>
  <si>
    <t>120,0</t>
  </si>
  <si>
    <t>130,0</t>
  </si>
  <si>
    <t>110,0</t>
  </si>
  <si>
    <t>117,5</t>
  </si>
  <si>
    <t>190,0</t>
  </si>
  <si>
    <t>200,0</t>
  </si>
  <si>
    <t>ВЕСОВАЯ КАТЕГОРИЯ   90</t>
  </si>
  <si>
    <t>Свиридов Алексей</t>
  </si>
  <si>
    <t>Teen 18-19 (03.08.1997)/18</t>
  </si>
  <si>
    <t>86,30</t>
  </si>
  <si>
    <t xml:space="preserve">Самостоятельно </t>
  </si>
  <si>
    <t>Open (03.01.1990)/25</t>
  </si>
  <si>
    <t>84,00</t>
  </si>
  <si>
    <t xml:space="preserve">Череповец </t>
  </si>
  <si>
    <t xml:space="preserve">Череповец/Вологодская область </t>
  </si>
  <si>
    <t>210,0</t>
  </si>
  <si>
    <t>220,0</t>
  </si>
  <si>
    <t>155,0</t>
  </si>
  <si>
    <t>165,0</t>
  </si>
  <si>
    <t>240,0</t>
  </si>
  <si>
    <t>255,0</t>
  </si>
  <si>
    <t>265,0</t>
  </si>
  <si>
    <t>ВЕСОВАЯ КАТЕГОРИЯ   100</t>
  </si>
  <si>
    <t>Елфимов Дмитрий</t>
  </si>
  <si>
    <t>Open (09.11.1986)/29</t>
  </si>
  <si>
    <t>97,20</t>
  </si>
  <si>
    <t>260,0</t>
  </si>
  <si>
    <t>170,0</t>
  </si>
  <si>
    <t>177,5</t>
  </si>
  <si>
    <t>180,0</t>
  </si>
  <si>
    <t>275,0</t>
  </si>
  <si>
    <t>280,0</t>
  </si>
  <si>
    <t>Кобелев Павел</t>
  </si>
  <si>
    <t>Open (04.08.1989)/26</t>
  </si>
  <si>
    <t>92,50</t>
  </si>
  <si>
    <t>185,0</t>
  </si>
  <si>
    <t>300,0</t>
  </si>
  <si>
    <t>312,5</t>
  </si>
  <si>
    <t>322,5</t>
  </si>
  <si>
    <t>Моисеев Сергей</t>
  </si>
  <si>
    <t>Open (24.08.1977)/38</t>
  </si>
  <si>
    <t>100,00</t>
  </si>
  <si>
    <t xml:space="preserve">Великий Устюг </t>
  </si>
  <si>
    <t xml:space="preserve">Великий Устюг/Вологодская область </t>
  </si>
  <si>
    <t>225,0</t>
  </si>
  <si>
    <t>237,5</t>
  </si>
  <si>
    <t>147,5</t>
  </si>
  <si>
    <t>152,5</t>
  </si>
  <si>
    <t>282,5</t>
  </si>
  <si>
    <t>290,0</t>
  </si>
  <si>
    <t>Open (14.03.1986)/29</t>
  </si>
  <si>
    <t>97,80</t>
  </si>
  <si>
    <t xml:space="preserve">Кировск/Ленинградская область </t>
  </si>
  <si>
    <t>160,0</t>
  </si>
  <si>
    <t>175,0</t>
  </si>
  <si>
    <t>250,0</t>
  </si>
  <si>
    <t>Open (31.03.1983)/32</t>
  </si>
  <si>
    <t>98,70</t>
  </si>
  <si>
    <t>205,0</t>
  </si>
  <si>
    <t>215,0</t>
  </si>
  <si>
    <t>ВЕСОВАЯ КАТЕГОРИЯ   110</t>
  </si>
  <si>
    <t>Соловьев Иван</t>
  </si>
  <si>
    <t>Open (15.01.1984)/31</t>
  </si>
  <si>
    <t>108,20</t>
  </si>
  <si>
    <t xml:space="preserve">Медведь </t>
  </si>
  <si>
    <t xml:space="preserve">Рыбинск/Ярославская область </t>
  </si>
  <si>
    <t>310,0</t>
  </si>
  <si>
    <t>320,0</t>
  </si>
  <si>
    <t>330,0</t>
  </si>
  <si>
    <t>232,5</t>
  </si>
  <si>
    <t>242,5</t>
  </si>
  <si>
    <t>325,0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</si>
  <si>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</si>
  <si>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</si>
  <si>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</si>
  <si>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</si>
  <si>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</si>
  <si>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</si>
  <si>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</si>
  <si>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</si>
  <si>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67.5 </t>
  </si>
  <si>
    <t xml:space="preserve">Мужчины </t>
  </si>
  <si>
    <t>872,5</t>
  </si>
  <si>
    <t>493,1370</t>
  </si>
  <si>
    <t>697,5</t>
  </si>
  <si>
    <t>420,5576</t>
  </si>
  <si>
    <t>707,5</t>
  </si>
  <si>
    <t>416,3991</t>
  </si>
  <si>
    <t>ВЕСОВАЯ КАТЕГОРИЯ   44</t>
  </si>
  <si>
    <t>Лазарева Анастасия</t>
  </si>
  <si>
    <t>Open (06.09.1987)/28</t>
  </si>
  <si>
    <t>43,60</t>
  </si>
  <si>
    <t>60,0</t>
  </si>
  <si>
    <t>70,0</t>
  </si>
  <si>
    <t>35,0</t>
  </si>
  <si>
    <t>37,5</t>
  </si>
  <si>
    <t>90,0</t>
  </si>
  <si>
    <t>95,0</t>
  </si>
  <si>
    <t>ВЕСОВАЯ КАТЕГОРИЯ   48</t>
  </si>
  <si>
    <t>Сондор Ольга</t>
  </si>
  <si>
    <t>Juniors 20-23 (09.07.1992)/23</t>
  </si>
  <si>
    <t>46,90</t>
  </si>
  <si>
    <t xml:space="preserve">Архангельск/Архангельская обла </t>
  </si>
  <si>
    <t>75,0</t>
  </si>
  <si>
    <t>42,5</t>
  </si>
  <si>
    <t>80,0</t>
  </si>
  <si>
    <t xml:space="preserve">Афанасов Эдуард </t>
  </si>
  <si>
    <t>ВЕСОВАЯ КАТЕГОРИЯ   52</t>
  </si>
  <si>
    <t>Орлова Наталья</t>
  </si>
  <si>
    <t>Open (09.08.1983)/32</t>
  </si>
  <si>
    <t>50,60</t>
  </si>
  <si>
    <t xml:space="preserve">Космодром Плесецк </t>
  </si>
  <si>
    <t xml:space="preserve">Мирный/Архангельская область </t>
  </si>
  <si>
    <t>82,5</t>
  </si>
  <si>
    <t>50,0</t>
  </si>
  <si>
    <t>55,0</t>
  </si>
  <si>
    <t>97,5</t>
  </si>
  <si>
    <t>107,5</t>
  </si>
  <si>
    <t xml:space="preserve">Глазьев Николай </t>
  </si>
  <si>
    <t>ВЕСОВАЯ КАТЕГОРИЯ   56</t>
  </si>
  <si>
    <t>Грызулева Ирина</t>
  </si>
  <si>
    <t>Open (17.03.1975)/40</t>
  </si>
  <si>
    <t>55,00</t>
  </si>
  <si>
    <t>65,0</t>
  </si>
  <si>
    <t>40,0</t>
  </si>
  <si>
    <t>45,0</t>
  </si>
  <si>
    <t>Гарькавенко Анастасия</t>
  </si>
  <si>
    <t>Open (04.04.1990)/25</t>
  </si>
  <si>
    <t>56,00</t>
  </si>
  <si>
    <t xml:space="preserve">Палестра </t>
  </si>
  <si>
    <t>105,0</t>
  </si>
  <si>
    <t>112,5</t>
  </si>
  <si>
    <t>ВЕСОВАЯ КАТЕГОРИЯ   60</t>
  </si>
  <si>
    <t>Мышеловская Светлана</t>
  </si>
  <si>
    <t>Open (08.08.1984)/31</t>
  </si>
  <si>
    <t>57,30</t>
  </si>
  <si>
    <t>87,5</t>
  </si>
  <si>
    <t>57,5</t>
  </si>
  <si>
    <t>62,5</t>
  </si>
  <si>
    <t>Бовинова Елена</t>
  </si>
  <si>
    <t>Open (07.12.1982)/33</t>
  </si>
  <si>
    <t>59,30</t>
  </si>
  <si>
    <t>Teen 13-15 (15.11.2002)/13</t>
  </si>
  <si>
    <t>51,00</t>
  </si>
  <si>
    <t xml:space="preserve">Буй/Костромская область </t>
  </si>
  <si>
    <t>67,5</t>
  </si>
  <si>
    <t>Качанов Роман</t>
  </si>
  <si>
    <t>Teen 18-19 (29.08.1997)/18</t>
  </si>
  <si>
    <t>56,40</t>
  </si>
  <si>
    <t xml:space="preserve">Грязовец/Вологодская область </t>
  </si>
  <si>
    <t>Двойников Олег</t>
  </si>
  <si>
    <t>Masters 55-59 (08.10.1960)/55</t>
  </si>
  <si>
    <t>59,40</t>
  </si>
  <si>
    <t>Осколков Артем</t>
  </si>
  <si>
    <t>Juniors 20-23 (12.05.1993)/22</t>
  </si>
  <si>
    <t>65,40</t>
  </si>
  <si>
    <t>150,0</t>
  </si>
  <si>
    <t>Чистяков Никита</t>
  </si>
  <si>
    <t>Juniors 20-23 (17.06.1992)/23</t>
  </si>
  <si>
    <t>65,70</t>
  </si>
  <si>
    <t>Кузнецов Михаил</t>
  </si>
  <si>
    <t>Open (03.09.1990)/25</t>
  </si>
  <si>
    <t>66,20</t>
  </si>
  <si>
    <t>Артамонов Эдуард</t>
  </si>
  <si>
    <t>Teen 16-17 (05.06.1999)/16</t>
  </si>
  <si>
    <t>71,90</t>
  </si>
  <si>
    <t>Опарин Артём</t>
  </si>
  <si>
    <t>Open (23.10.1991)/24</t>
  </si>
  <si>
    <t>70,40</t>
  </si>
  <si>
    <t>142,5</t>
  </si>
  <si>
    <t>Полушкин Андрей</t>
  </si>
  <si>
    <t>Masters 40-44 (04.12.1973)/42</t>
  </si>
  <si>
    <t>ВЕСОВАЯ КАТЕГОРИЯ   82.5</t>
  </si>
  <si>
    <t>Личутин Никита</t>
  </si>
  <si>
    <t>Juniors 20-23 (10.07.1994)/21</t>
  </si>
  <si>
    <t>82,30</t>
  </si>
  <si>
    <t>197,5</t>
  </si>
  <si>
    <t>Медников Вадим</t>
  </si>
  <si>
    <t>Juniors 20-23 (15.02.1993)/22</t>
  </si>
  <si>
    <t>77,90</t>
  </si>
  <si>
    <t>Шашерин Артем</t>
  </si>
  <si>
    <t>Open (08.11.1984)/31</t>
  </si>
  <si>
    <t>80,50</t>
  </si>
  <si>
    <t>195,0</t>
  </si>
  <si>
    <t>132,5</t>
  </si>
  <si>
    <t>230,0</t>
  </si>
  <si>
    <t>Морозов Александр</t>
  </si>
  <si>
    <t>Open (30.07.1983)/32</t>
  </si>
  <si>
    <t>81,80</t>
  </si>
  <si>
    <t xml:space="preserve">Архангельск/Архангельская область </t>
  </si>
  <si>
    <t>Бовинов Вячеслав</t>
  </si>
  <si>
    <t>Open (16.06.1980)/35</t>
  </si>
  <si>
    <t>122,5</t>
  </si>
  <si>
    <t>127,5</t>
  </si>
  <si>
    <t>Губанов Юрий</t>
  </si>
  <si>
    <t>Open (06.03.1987)/28</t>
  </si>
  <si>
    <t>88,70</t>
  </si>
  <si>
    <t xml:space="preserve">Буйволы </t>
  </si>
  <si>
    <t xml:space="preserve">Кострома/Костромская область </t>
  </si>
  <si>
    <t>252,5</t>
  </si>
  <si>
    <t xml:space="preserve">Колесов З. </t>
  </si>
  <si>
    <t>Симон Евгений</t>
  </si>
  <si>
    <t>Open (24.03.1983)/32</t>
  </si>
  <si>
    <t>87,90</t>
  </si>
  <si>
    <t>187,5</t>
  </si>
  <si>
    <t>Коноваленко Андрей</t>
  </si>
  <si>
    <t>Open (11.08.1988)/27</t>
  </si>
  <si>
    <t>89,80</t>
  </si>
  <si>
    <t xml:space="preserve">Дмитров/Московская область </t>
  </si>
  <si>
    <t xml:space="preserve">Никулин А. </t>
  </si>
  <si>
    <t>Молодцов Александр</t>
  </si>
  <si>
    <t>Open (21.10.1978)/37</t>
  </si>
  <si>
    <t>90,00</t>
  </si>
  <si>
    <t xml:space="preserve">Сокол </t>
  </si>
  <si>
    <t xml:space="preserve">Сокол/Вологодская область </t>
  </si>
  <si>
    <t>212,5</t>
  </si>
  <si>
    <t>Иванов Алексей</t>
  </si>
  <si>
    <t>Open (19.02.1989)/26</t>
  </si>
  <si>
    <t>88,40</t>
  </si>
  <si>
    <t>227,5</t>
  </si>
  <si>
    <t>Лисичкин Даниил</t>
  </si>
  <si>
    <t>Teen 18-19 (30.07.1997)/18</t>
  </si>
  <si>
    <t>97,60</t>
  </si>
  <si>
    <t xml:space="preserve">Няндома/Архангельская область </t>
  </si>
  <si>
    <t>Худиев Руслан</t>
  </si>
  <si>
    <t>Juniors 20-23 (17.04.1992)/23</t>
  </si>
  <si>
    <t>97,00</t>
  </si>
  <si>
    <t>Шашерин Николай</t>
  </si>
  <si>
    <t>Open (20.01.1987)/28</t>
  </si>
  <si>
    <t>99,50</t>
  </si>
  <si>
    <t>270,0</t>
  </si>
  <si>
    <t>172,5</t>
  </si>
  <si>
    <t>Селяков Олег</t>
  </si>
  <si>
    <t>Open (24.08.1983)/32</t>
  </si>
  <si>
    <t>247,5</t>
  </si>
  <si>
    <t>Иванов Андрей</t>
  </si>
  <si>
    <t>Open (08.06.1988)/27</t>
  </si>
  <si>
    <t>94,90</t>
  </si>
  <si>
    <t>Кирьянов Руслан</t>
  </si>
  <si>
    <t>Open (09.01.1972)/43</t>
  </si>
  <si>
    <t>106,00</t>
  </si>
  <si>
    <t>Masters 40-44 (09.01.1972)/43</t>
  </si>
  <si>
    <t xml:space="preserve">82.5 </t>
  </si>
  <si>
    <t>725,0</t>
  </si>
  <si>
    <t>422,3487</t>
  </si>
  <si>
    <t>627,5</t>
  </si>
  <si>
    <t>387,0734</t>
  </si>
  <si>
    <t>605,0</t>
  </si>
  <si>
    <t>375,1605</t>
  </si>
  <si>
    <t>400,0</t>
  </si>
  <si>
    <t>Open (26.10.1977)/38</t>
  </si>
  <si>
    <t>52,00</t>
  </si>
  <si>
    <t>157,5</t>
  </si>
  <si>
    <t>162,5</t>
  </si>
  <si>
    <t>167,5</t>
  </si>
  <si>
    <t>Open (26.07.1982)/33</t>
  </si>
  <si>
    <t>59,60</t>
  </si>
  <si>
    <t xml:space="preserve">Таранухин Г.Ю. </t>
  </si>
  <si>
    <t>Рек Александр</t>
  </si>
  <si>
    <t>Open (13.07.1987)/28</t>
  </si>
  <si>
    <t>66,80</t>
  </si>
  <si>
    <t>222,5</t>
  </si>
  <si>
    <t>182,5</t>
  </si>
  <si>
    <t>192,5</t>
  </si>
  <si>
    <t>Смирнов Сергей</t>
  </si>
  <si>
    <t>Open (29.06.1988)/27</t>
  </si>
  <si>
    <t>85,40</t>
  </si>
  <si>
    <t>Расторгуев Дмитрий</t>
  </si>
  <si>
    <t>Open (18.12.1993)/21</t>
  </si>
  <si>
    <t xml:space="preserve">Саратов/Саратовская область </t>
  </si>
  <si>
    <t>297,5</t>
  </si>
  <si>
    <t>302,5</t>
  </si>
  <si>
    <t>Витовский Василий</t>
  </si>
  <si>
    <t>Open (06.01.1960)/55</t>
  </si>
  <si>
    <t>88,50</t>
  </si>
  <si>
    <t xml:space="preserve">Мурманск/Мурманская область </t>
  </si>
  <si>
    <t xml:space="preserve">Длужневский С.С. </t>
  </si>
  <si>
    <t>Иванов Александр</t>
  </si>
  <si>
    <t>Open (02.06.1988)/27</t>
  </si>
  <si>
    <t>89,30</t>
  </si>
  <si>
    <t>235,0</t>
  </si>
  <si>
    <t>Masters 55-59 (06.01.1960)/55</t>
  </si>
  <si>
    <t>Абдусаламов Абдулмажид</t>
  </si>
  <si>
    <t>Open (06.08.1989)/26</t>
  </si>
  <si>
    <t>97,90</t>
  </si>
  <si>
    <t>Masters 45-49 (10.10.1966)/49</t>
  </si>
  <si>
    <t>98,40</t>
  </si>
  <si>
    <t xml:space="preserve">Химки/Московская область </t>
  </si>
  <si>
    <t>Masters 50-54 (23.08.1965)/50</t>
  </si>
  <si>
    <t>90,40</t>
  </si>
  <si>
    <t>750,0</t>
  </si>
  <si>
    <t>473,1000</t>
  </si>
  <si>
    <t>732,5</t>
  </si>
  <si>
    <t>454,2233</t>
  </si>
  <si>
    <t>722,5</t>
  </si>
  <si>
    <t>423,8546</t>
  </si>
  <si>
    <t>72,5</t>
  </si>
  <si>
    <t>Teen 16-17 (03.02.1999)/16</t>
  </si>
  <si>
    <t>71,10</t>
  </si>
  <si>
    <t>Кутузов Александр</t>
  </si>
  <si>
    <t>Teen 16-17 (05.06.1998)/17</t>
  </si>
  <si>
    <t>72,50</t>
  </si>
  <si>
    <t>Ионов Владимир</t>
  </si>
  <si>
    <t>Juniors 20-23 (16.09.1994)/21</t>
  </si>
  <si>
    <t xml:space="preserve">Нижнекамск/Татарстан </t>
  </si>
  <si>
    <t>217,5</t>
  </si>
  <si>
    <t>Open (02.07.1991)/24</t>
  </si>
  <si>
    <t>305,0</t>
  </si>
  <si>
    <t>Teen 16-17 (05.09.1998)/17</t>
  </si>
  <si>
    <t>87,50</t>
  </si>
  <si>
    <t>Тишук Вячеслав</t>
  </si>
  <si>
    <t>Open (29.07.1989)/26</t>
  </si>
  <si>
    <t>Open (01.07.1976)/39</t>
  </si>
  <si>
    <t>81,10</t>
  </si>
  <si>
    <t xml:space="preserve">Шарья/Костромская область </t>
  </si>
  <si>
    <t>245,0</t>
  </si>
  <si>
    <t>Open (10.04.1987)/28</t>
  </si>
  <si>
    <t>88,30</t>
  </si>
  <si>
    <t>262,5</t>
  </si>
  <si>
    <t>272,5</t>
  </si>
  <si>
    <t>ВЕСОВАЯ КАТЕГОРИЯ   140</t>
  </si>
  <si>
    <t>Кочетов Андрей</t>
  </si>
  <si>
    <t>Open (21.05.1990)/25</t>
  </si>
  <si>
    <t>130,00</t>
  </si>
  <si>
    <t xml:space="preserve">Владимир/Владимирская область </t>
  </si>
  <si>
    <t>370,0</t>
  </si>
  <si>
    <t>385,0</t>
  </si>
  <si>
    <t>Open (12.12.1986)/29</t>
  </si>
  <si>
    <t>108,10</t>
  </si>
  <si>
    <t xml:space="preserve">Кронштадт/Санкт-Петербург </t>
  </si>
  <si>
    <t>207,5</t>
  </si>
  <si>
    <t>Juniors 20-23 (30.11.1993)/22</t>
  </si>
  <si>
    <t>56,90</t>
  </si>
  <si>
    <t>Зубрицкая Лина</t>
  </si>
  <si>
    <t>Open (15.02.1988)/27</t>
  </si>
  <si>
    <t>58,90</t>
  </si>
  <si>
    <t>Кулагина Анжела</t>
  </si>
  <si>
    <t>Open (04.11.1988)/27</t>
  </si>
  <si>
    <t>135,5</t>
  </si>
  <si>
    <t xml:space="preserve">Иванов С.Н., Корнилов </t>
  </si>
  <si>
    <t>Open (16.12.1989)/25</t>
  </si>
  <si>
    <t>72,30</t>
  </si>
  <si>
    <t>Open (17.02.1987)/28</t>
  </si>
  <si>
    <t>80,70</t>
  </si>
  <si>
    <t>Open (20.10.1990)/25</t>
  </si>
  <si>
    <t>79,20</t>
  </si>
  <si>
    <t>Егоров Олег</t>
  </si>
  <si>
    <t>Open (23.12.1986)/28</t>
  </si>
  <si>
    <t>88,20</t>
  </si>
  <si>
    <t>202,5</t>
  </si>
  <si>
    <t>Open (18.01.1978)/37</t>
  </si>
  <si>
    <t>Open (02.08.1983)/32</t>
  </si>
  <si>
    <t>Open (06.09.1991)/24</t>
  </si>
  <si>
    <t>89,10</t>
  </si>
  <si>
    <t>Выдров Александр</t>
  </si>
  <si>
    <t>Open (03.08.1988)/27</t>
  </si>
  <si>
    <t>89,50</t>
  </si>
  <si>
    <t>Masters 45-49 (10.01.1967)/48</t>
  </si>
  <si>
    <t>88,80</t>
  </si>
  <si>
    <t>Masters 75-79 (14.11.1939)/76</t>
  </si>
  <si>
    <t xml:space="preserve">Ярцево/Смоленская область </t>
  </si>
  <si>
    <t>Марков Артем</t>
  </si>
  <si>
    <t>Open (03.08.1986)/29</t>
  </si>
  <si>
    <t>Open (15.12.1986)/28</t>
  </si>
  <si>
    <t>97,70</t>
  </si>
  <si>
    <t>Open (28.05.1985)/30</t>
  </si>
  <si>
    <t>99,40</t>
  </si>
  <si>
    <t>Седов Олег</t>
  </si>
  <si>
    <t>Open (24.12.1985)/29</t>
  </si>
  <si>
    <t>96,20</t>
  </si>
  <si>
    <t>Картавов Сергей</t>
  </si>
  <si>
    <t>Masters 45-49 (10.04.1966)/49</t>
  </si>
  <si>
    <t>99,10</t>
  </si>
  <si>
    <t>Juniors 20-23 (11.04.1993)/22</t>
  </si>
  <si>
    <t>108,00</t>
  </si>
  <si>
    <t>Спиркин Евгений</t>
  </si>
  <si>
    <t>Open (14.11.1987)/28</t>
  </si>
  <si>
    <t>105,40</t>
  </si>
  <si>
    <t>Open (05.01.1977)/38</t>
  </si>
  <si>
    <t>107,30</t>
  </si>
  <si>
    <t>Ходаков Сергей</t>
  </si>
  <si>
    <t>Masters 45-49 (08.10.1969)/46</t>
  </si>
  <si>
    <t>106,20</t>
  </si>
  <si>
    <t>Masters 55-59 (02.08.1958)/57</t>
  </si>
  <si>
    <t>108,40</t>
  </si>
  <si>
    <t>ВЕСОВАЯ КАТЕГОРИЯ   125</t>
  </si>
  <si>
    <t>Калининский Илья</t>
  </si>
  <si>
    <t>Open (11.04.1989)/26</t>
  </si>
  <si>
    <t>115,70</t>
  </si>
  <si>
    <t>Орешкин Александр</t>
  </si>
  <si>
    <t>Open (21.08.1982)/33</t>
  </si>
  <si>
    <t>122,80</t>
  </si>
  <si>
    <t xml:space="preserve">Чехов/Московская область </t>
  </si>
  <si>
    <t>Open (18.04.1981)/34</t>
  </si>
  <si>
    <t>119,10</t>
  </si>
  <si>
    <t>124,9763</t>
  </si>
  <si>
    <t>30,0</t>
  </si>
  <si>
    <t>Шишина Анастасия</t>
  </si>
  <si>
    <t>Open (26.01.1991)/24</t>
  </si>
  <si>
    <t>51,30</t>
  </si>
  <si>
    <t xml:space="preserve">Звездин Игорь </t>
  </si>
  <si>
    <t>Макарова Ирина</t>
  </si>
  <si>
    <t>Masters 40-44 (05.09.1974)/41</t>
  </si>
  <si>
    <t>51,60</t>
  </si>
  <si>
    <t>47,5</t>
  </si>
  <si>
    <t>Длужневская Владислава</t>
  </si>
  <si>
    <t>Teen 13-15 (10.06.2000)/15</t>
  </si>
  <si>
    <t>59,70</t>
  </si>
  <si>
    <t>Емеличева Любовь</t>
  </si>
  <si>
    <t>Open (24.12.1989)/25</t>
  </si>
  <si>
    <t>59,90</t>
  </si>
  <si>
    <t>52,5</t>
  </si>
  <si>
    <t>Апанасенко Елизавета</t>
  </si>
  <si>
    <t>Open (23.11.1990)/25</t>
  </si>
  <si>
    <t>58,50</t>
  </si>
  <si>
    <t>Третьякова Алена</t>
  </si>
  <si>
    <t>Teen 16-17 (28.12.1998)/16</t>
  </si>
  <si>
    <t>66,90</t>
  </si>
  <si>
    <t>Мишукова Наталья</t>
  </si>
  <si>
    <t>Masters 40-44 (03.03.1972)/43</t>
  </si>
  <si>
    <t>67,50</t>
  </si>
  <si>
    <t xml:space="preserve">Горислов Алексей </t>
  </si>
  <si>
    <t>Истомин Алексей</t>
  </si>
  <si>
    <t>Teen 18-19 (04.07.1996)/19</t>
  </si>
  <si>
    <t>59,50</t>
  </si>
  <si>
    <t>Гордеев Кирилл</t>
  </si>
  <si>
    <t>Open (09.09.1989)/26</t>
  </si>
  <si>
    <t xml:space="preserve">Ярославль/Ярославская область </t>
  </si>
  <si>
    <t>Маслов Дмитрий</t>
  </si>
  <si>
    <t>Open (23.05.1991)/24</t>
  </si>
  <si>
    <t>Грудин Алексей</t>
  </si>
  <si>
    <t>Open (25.03.1990)/25</t>
  </si>
  <si>
    <t>58,70</t>
  </si>
  <si>
    <t>Стрежнев Михаил</t>
  </si>
  <si>
    <t>Open (16.01.1989)/26</t>
  </si>
  <si>
    <t>Данилов Андрей</t>
  </si>
  <si>
    <t>Open (06.06.1987)/28</t>
  </si>
  <si>
    <t>63,40</t>
  </si>
  <si>
    <t>Лосякин Роман</t>
  </si>
  <si>
    <t>Teen 18-19 (24.11.1996)/19</t>
  </si>
  <si>
    <t>72,00</t>
  </si>
  <si>
    <t>Богачев Роман</t>
  </si>
  <si>
    <t>Teen 18-19 (07.02.1996)/19</t>
  </si>
  <si>
    <t>73,40</t>
  </si>
  <si>
    <t>Чалый Иван</t>
  </si>
  <si>
    <t>Juniors 20-23 (16.02.1994)/21</t>
  </si>
  <si>
    <t>73,50</t>
  </si>
  <si>
    <t>Соков Денис</t>
  </si>
  <si>
    <t>Open (06.12.1985)/30</t>
  </si>
  <si>
    <t>Рассохин Александр</t>
  </si>
  <si>
    <t>Open (08.10.1985)/30</t>
  </si>
  <si>
    <t>74,10</t>
  </si>
  <si>
    <t>Минасян Артур</t>
  </si>
  <si>
    <t>Open (09.02.1988)/27</t>
  </si>
  <si>
    <t>74,50</t>
  </si>
  <si>
    <t>Муравщиков Сергей</t>
  </si>
  <si>
    <t>Open (29.03.1982)/33</t>
  </si>
  <si>
    <t>73,30</t>
  </si>
  <si>
    <t>Потапов Никита</t>
  </si>
  <si>
    <t>Open (04.03.1991)/24</t>
  </si>
  <si>
    <t>71,80</t>
  </si>
  <si>
    <t>Опасин Алексей</t>
  </si>
  <si>
    <t>Open (14.02.1990)/25</t>
  </si>
  <si>
    <t>73,80</t>
  </si>
  <si>
    <t>Дороничев Дмитрий</t>
  </si>
  <si>
    <t>Open (21.09.1980)/35</t>
  </si>
  <si>
    <t>Коровин Сергей</t>
  </si>
  <si>
    <t>Masters 40-44 (11.12.1972)/43</t>
  </si>
  <si>
    <t>74,00</t>
  </si>
  <si>
    <t>Папушой Виктор</t>
  </si>
  <si>
    <t>Masters 60-64 (04.04.1953)/62</t>
  </si>
  <si>
    <t>72,10</t>
  </si>
  <si>
    <t>Баранов Алексей</t>
  </si>
  <si>
    <t>Teen 16-17 (13.03.1999)/16</t>
  </si>
  <si>
    <t>Козлов Владимир</t>
  </si>
  <si>
    <t>Masters 60-64 (15.06.1954)/61</t>
  </si>
  <si>
    <t>81,30</t>
  </si>
  <si>
    <t>Селиванов Михаил</t>
  </si>
  <si>
    <t>Juniors 20-23 (02.07.1992)/23</t>
  </si>
  <si>
    <t>88,10</t>
  </si>
  <si>
    <t>Смирнов Юрий</t>
  </si>
  <si>
    <t>Open (14.07.1983)/32</t>
  </si>
  <si>
    <t>Нелаев Сергей</t>
  </si>
  <si>
    <t>Open (01.03.1982)/33</t>
  </si>
  <si>
    <t>89,60</t>
  </si>
  <si>
    <t>Корельский Олег</t>
  </si>
  <si>
    <t>Open (03.09.1975)/40</t>
  </si>
  <si>
    <t>Говорухин Сергей</t>
  </si>
  <si>
    <t>Open (07.06.1986)/29</t>
  </si>
  <si>
    <t>84,90</t>
  </si>
  <si>
    <t>Нестеров Евгений</t>
  </si>
  <si>
    <t>Open (01.03.1983)/32</t>
  </si>
  <si>
    <t>Ляшенко Александр</t>
  </si>
  <si>
    <t>Open (22.01.1977)/38</t>
  </si>
  <si>
    <t>86,60</t>
  </si>
  <si>
    <t>Колованов Андрей</t>
  </si>
  <si>
    <t>Open (08.04.1977)/38</t>
  </si>
  <si>
    <t xml:space="preserve">Симон Евгений </t>
  </si>
  <si>
    <t>Спицов Иван</t>
  </si>
  <si>
    <t>Open (10.02.1983)/32</t>
  </si>
  <si>
    <t>86,50</t>
  </si>
  <si>
    <t>Щиголь Алексей</t>
  </si>
  <si>
    <t>Open (05.11.1985)/30</t>
  </si>
  <si>
    <t>Герасимов Никита</t>
  </si>
  <si>
    <t>Open (18.07.1985)/30</t>
  </si>
  <si>
    <t>89,70</t>
  </si>
  <si>
    <t>Masters 40-44 (03.09.1975)/40</t>
  </si>
  <si>
    <t>Шамов Сергей</t>
  </si>
  <si>
    <t>Masters 40-44 (21.08.1973)/42</t>
  </si>
  <si>
    <t>89,90</t>
  </si>
  <si>
    <t>Часовенный Евгений</t>
  </si>
  <si>
    <t>Masters 55-59 (30.10.1957)/58</t>
  </si>
  <si>
    <t>86,20</t>
  </si>
  <si>
    <t>Снетков Александр</t>
  </si>
  <si>
    <t>Open (24.01.1987)/28</t>
  </si>
  <si>
    <t>99,80</t>
  </si>
  <si>
    <t>Канин Михаил</t>
  </si>
  <si>
    <t>Open (06.07.1978)/37</t>
  </si>
  <si>
    <t>95,80</t>
  </si>
  <si>
    <t>Open (30.01.1987)/28</t>
  </si>
  <si>
    <t>97,10</t>
  </si>
  <si>
    <t>Багров Евгений</t>
  </si>
  <si>
    <t>Open (23.11.1981)/34</t>
  </si>
  <si>
    <t>98,00</t>
  </si>
  <si>
    <t>Masters 65-69 (30.05.1948)/67</t>
  </si>
  <si>
    <t>96,70</t>
  </si>
  <si>
    <t>Кузьмин Дмитрий</t>
  </si>
  <si>
    <t>Open (05.10.1984)/31</t>
  </si>
  <si>
    <t>102,00</t>
  </si>
  <si>
    <t>Open (08.08.1979)/36</t>
  </si>
  <si>
    <t>104,30</t>
  </si>
  <si>
    <t>Open (29.05.1984)/31</t>
  </si>
  <si>
    <t>107,70</t>
  </si>
  <si>
    <t>Masters 40-44 (06.10.1972)/43</t>
  </si>
  <si>
    <t>108,30</t>
  </si>
  <si>
    <t>Masters 50-54 (23.01.1962)/53</t>
  </si>
  <si>
    <t>107,50</t>
  </si>
  <si>
    <t>Open (28.09.1985)/30</t>
  </si>
  <si>
    <t>121,00</t>
  </si>
  <si>
    <t>Open (04.10.1989)/26</t>
  </si>
  <si>
    <t>119,20</t>
  </si>
  <si>
    <t>Masters 60-64 (08.01.1953)/62</t>
  </si>
  <si>
    <t>117,90</t>
  </si>
  <si>
    <t>111,1860</t>
  </si>
  <si>
    <t>Open (07.07.1990)/25</t>
  </si>
  <si>
    <t>48,00</t>
  </si>
  <si>
    <t xml:space="preserve">Вегетарианская сила </t>
  </si>
  <si>
    <t>Open (16.11.1988)/27</t>
  </si>
  <si>
    <t>63,60</t>
  </si>
  <si>
    <t>Open (04.03.1974)/41</t>
  </si>
  <si>
    <t>Open (30.03.1991)/24</t>
  </si>
  <si>
    <t>81,50</t>
  </si>
  <si>
    <t xml:space="preserve">Чепорнов </t>
  </si>
  <si>
    <t>Еремин Юрий</t>
  </si>
  <si>
    <t>Open (23.11.1983)/32</t>
  </si>
  <si>
    <t>79,60</t>
  </si>
  <si>
    <t>Степичев Сергей</t>
  </si>
  <si>
    <t>Open (06.07.1977)/38</t>
  </si>
  <si>
    <t>Open (11.02.1987)/28</t>
  </si>
  <si>
    <t>58,60</t>
  </si>
  <si>
    <t>Востриков Антон</t>
  </si>
  <si>
    <t>Juniors 20-23 (07.06.1995)/20</t>
  </si>
  <si>
    <t>85,00</t>
  </si>
  <si>
    <t>Masters 40-44 (05.06.1975)/40</t>
  </si>
  <si>
    <t>126,20</t>
  </si>
  <si>
    <t>Бурнашов Василий</t>
  </si>
  <si>
    <t>Open (28.11.1977)/38</t>
  </si>
  <si>
    <t>87,70</t>
  </si>
  <si>
    <t>Juniors 20-23 (02.08.1993)/22</t>
  </si>
  <si>
    <t>90,80</t>
  </si>
  <si>
    <t>277,5</t>
  </si>
  <si>
    <t>Open (22.10.1987)/28</t>
  </si>
  <si>
    <t>96,80</t>
  </si>
  <si>
    <t>Juniors 20-23 (05.08.1992)/23</t>
  </si>
  <si>
    <t>Open (10.08.1988)/27</t>
  </si>
  <si>
    <t>104,00</t>
  </si>
  <si>
    <t>Open (12.08.1986)/29</t>
  </si>
  <si>
    <t>123,70</t>
  </si>
  <si>
    <t>180,0610</t>
  </si>
  <si>
    <t>164,2173</t>
  </si>
  <si>
    <t>162,7954</t>
  </si>
  <si>
    <t>Петрова Елена</t>
  </si>
  <si>
    <t>Open (18.11.1980)/35</t>
  </si>
  <si>
    <t>51,80</t>
  </si>
  <si>
    <t>Ермолаева Дарья</t>
  </si>
  <si>
    <t>Open (01.04.1993)/22</t>
  </si>
  <si>
    <t>60,00</t>
  </si>
  <si>
    <t>102,5</t>
  </si>
  <si>
    <t>Гутова Анна</t>
  </si>
  <si>
    <t>Open (04.04.1988)/27</t>
  </si>
  <si>
    <t>67,30</t>
  </si>
  <si>
    <t>Open (02.02.1984)/31</t>
  </si>
  <si>
    <t>65,60</t>
  </si>
  <si>
    <t>Трапезникова Наталья</t>
  </si>
  <si>
    <t>Open (12.01.1986)/29</t>
  </si>
  <si>
    <t>65,30</t>
  </si>
  <si>
    <t xml:space="preserve">Группа здоровья имени Леши Никулина </t>
  </si>
  <si>
    <t>Open (03.04.1989)/26</t>
  </si>
  <si>
    <t>Teen 13-15 (03.10.2000)/15</t>
  </si>
  <si>
    <t>61,70</t>
  </si>
  <si>
    <t>Teen 16-17 (15.08.1998)/17</t>
  </si>
  <si>
    <t>60,20</t>
  </si>
  <si>
    <t xml:space="preserve">Харовск/Вологодская область </t>
  </si>
  <si>
    <t>152,2</t>
  </si>
  <si>
    <t xml:space="preserve">Осокин Александр </t>
  </si>
  <si>
    <t>Teen 16-17 (20.07.1999)/16</t>
  </si>
  <si>
    <t>62,40</t>
  </si>
  <si>
    <t>137,5</t>
  </si>
  <si>
    <t>Open (18.08.1983)/32</t>
  </si>
  <si>
    <t xml:space="preserve">Вытегра/Вологодская область </t>
  </si>
  <si>
    <t xml:space="preserve">Шувалов С.Г </t>
  </si>
  <si>
    <t>Open (02.02.1990)/25</t>
  </si>
  <si>
    <t>Open (30.10.1994)/21</t>
  </si>
  <si>
    <t>63,30</t>
  </si>
  <si>
    <t>Juniors 20-23 (22.07.1995)/20</t>
  </si>
  <si>
    <t>Juniors 20-23 (02.09.1995)/20</t>
  </si>
  <si>
    <t>74,30</t>
  </si>
  <si>
    <t>Teen 16-17 (19.05.1998)/17</t>
  </si>
  <si>
    <t>75,90</t>
  </si>
  <si>
    <t>80,20</t>
  </si>
  <si>
    <t xml:space="preserve">Шувалов  С.Г. </t>
  </si>
  <si>
    <t>Open (14.12.1990)/24</t>
  </si>
  <si>
    <t>82,50</t>
  </si>
  <si>
    <t>Open (24.01.1977)/38</t>
  </si>
  <si>
    <t>80,80</t>
  </si>
  <si>
    <t>Open (09.05.1985)/30</t>
  </si>
  <si>
    <t>Open (29.05.1991)/24</t>
  </si>
  <si>
    <t>Чайка Игорь</t>
  </si>
  <si>
    <t>Juniors 20-23 (09.06.1994)/21</t>
  </si>
  <si>
    <t>96,10</t>
  </si>
  <si>
    <t>Open (09.06.1994)/21</t>
  </si>
  <si>
    <t>138,2640</t>
  </si>
  <si>
    <t>135,2625</t>
  </si>
  <si>
    <t>133,3200</t>
  </si>
  <si>
    <t>156,5753</t>
  </si>
  <si>
    <t>Open (19.01.1968)/47</t>
  </si>
  <si>
    <t>89,00</t>
  </si>
  <si>
    <t>271,0</t>
  </si>
  <si>
    <t>Тимофеев Антон</t>
  </si>
  <si>
    <t>Open (31.10.1988)/27</t>
  </si>
  <si>
    <t>86,80</t>
  </si>
  <si>
    <t>Литвинов Дмитрий</t>
  </si>
  <si>
    <t>Open (17.01.1989)/26</t>
  </si>
  <si>
    <t>125,00</t>
  </si>
  <si>
    <t>Open (29.10.1983)/32</t>
  </si>
  <si>
    <t>113,20</t>
  </si>
  <si>
    <t>Джам Галина</t>
  </si>
  <si>
    <t>Juniors 20-23 (02.11.1993)/22</t>
  </si>
  <si>
    <t>52,90</t>
  </si>
  <si>
    <t>Тюзин Даниил</t>
  </si>
  <si>
    <t>Teen 16-17 (08.09.1999)/16</t>
  </si>
  <si>
    <t>80,00</t>
  </si>
  <si>
    <t>Город/область</t>
  </si>
  <si>
    <t>Место</t>
  </si>
  <si>
    <t>1</t>
  </si>
  <si>
    <t>Результат</t>
  </si>
  <si>
    <t>Архангельск/Архангельская область</t>
  </si>
  <si>
    <t>Город\область</t>
  </si>
  <si>
    <t>125,136</t>
  </si>
  <si>
    <t>133,3215</t>
  </si>
  <si>
    <t>Open (22.07.1991)/24</t>
  </si>
  <si>
    <t>82,40</t>
  </si>
  <si>
    <t>Open (07.11.1991)/24</t>
  </si>
  <si>
    <t>84,40</t>
  </si>
  <si>
    <t>Masters 40-49 (10.01.1967)/48</t>
  </si>
  <si>
    <t>Вес</t>
  </si>
  <si>
    <t>Повторы</t>
  </si>
  <si>
    <t>29,0</t>
  </si>
  <si>
    <t>Серкова Мария</t>
  </si>
  <si>
    <t>Open (26.03.1982)/33</t>
  </si>
  <si>
    <t>68,70</t>
  </si>
  <si>
    <t>Шишенин Никита</t>
  </si>
  <si>
    <t>Juniors 20-23 (03.01.1994)/21</t>
  </si>
  <si>
    <t>Казимирский Александр</t>
  </si>
  <si>
    <t>Teen 13-19 (22.12.1995)/19</t>
  </si>
  <si>
    <t>76,80</t>
  </si>
  <si>
    <t xml:space="preserve">Ледмозеро/Республика Карелия </t>
  </si>
  <si>
    <t>77,5</t>
  </si>
  <si>
    <t>26,0</t>
  </si>
  <si>
    <t>Сергеев Руслан</t>
  </si>
  <si>
    <t>Open (11.12.1984)/31</t>
  </si>
  <si>
    <t>23,0</t>
  </si>
  <si>
    <t>Латышев Сергей</t>
  </si>
  <si>
    <t>Open (27.11.1983)/32</t>
  </si>
  <si>
    <t>85,30</t>
  </si>
  <si>
    <t>Голубов Никита</t>
  </si>
  <si>
    <t>Open (25.11.1986)/29</t>
  </si>
  <si>
    <t>Ерохов Андрей</t>
  </si>
  <si>
    <t>Masters 40-49 (07.08.1974)/41</t>
  </si>
  <si>
    <t>86,40</t>
  </si>
  <si>
    <t>Masters 40-49 (10.04.1966)/49</t>
  </si>
  <si>
    <t>Соловьев Михаил</t>
  </si>
  <si>
    <t>Open (17.08.1985)/30</t>
  </si>
  <si>
    <t>101,00</t>
  </si>
  <si>
    <t>Королев Сергей</t>
  </si>
  <si>
    <t>Open (31.12.1990)/24</t>
  </si>
  <si>
    <t>65,50</t>
  </si>
  <si>
    <t>18,0</t>
  </si>
  <si>
    <t>Глушков Иван</t>
  </si>
  <si>
    <t>Teen 13-19 (15.04.2000)/15</t>
  </si>
  <si>
    <t>70,00</t>
  </si>
  <si>
    <t>24,0</t>
  </si>
  <si>
    <t>Хамилов Александр</t>
  </si>
  <si>
    <t>Masters 50-59 (23.05.1965)/50</t>
  </si>
  <si>
    <t>68,40</t>
  </si>
  <si>
    <t>32,0</t>
  </si>
  <si>
    <t>25,0</t>
  </si>
  <si>
    <t>19,0</t>
  </si>
  <si>
    <t>Попов Станислав</t>
  </si>
  <si>
    <t>Open (06.08.1976)/39</t>
  </si>
  <si>
    <t>83,60</t>
  </si>
  <si>
    <t>15,0</t>
  </si>
  <si>
    <t>6,0</t>
  </si>
  <si>
    <t>3280,0</t>
  </si>
  <si>
    <t>1891,5759</t>
  </si>
  <si>
    <t>2720,0</t>
  </si>
  <si>
    <t>1722,0319</t>
  </si>
  <si>
    <t>2600,0</t>
  </si>
  <si>
    <t>1512,6800</t>
  </si>
  <si>
    <t>ВЕСОВАЯ КАТЕГОРИЯ   70</t>
  </si>
  <si>
    <t>Созонов Андрей</t>
  </si>
  <si>
    <t>Open (13.12.1990)/25</t>
  </si>
  <si>
    <t>91,40</t>
  </si>
  <si>
    <t xml:space="preserve">Миронов С. </t>
  </si>
  <si>
    <t>Крохичев Илья</t>
  </si>
  <si>
    <t>Open (10.07.1991)/24</t>
  </si>
  <si>
    <t>Фаустов Александр</t>
  </si>
  <si>
    <t>Open (21.02.1976)/39</t>
  </si>
  <si>
    <t>103,60</t>
  </si>
  <si>
    <t xml:space="preserve">Новомосковск/Тульская область </t>
  </si>
  <si>
    <t>Кириллов Александр</t>
  </si>
  <si>
    <t>Open (04.03.1973)/42</t>
  </si>
  <si>
    <t>121,50</t>
  </si>
  <si>
    <t>Master 40+ (04.03.1973)/42</t>
  </si>
  <si>
    <t>ВЕСОВАЯ КАТЕГОРИЯ   80</t>
  </si>
  <si>
    <t>Худяков Владимир</t>
  </si>
  <si>
    <t>Open (11.06.1984)/31</t>
  </si>
  <si>
    <t>77,80</t>
  </si>
  <si>
    <t xml:space="preserve">Гаврилов-Ям/Ярославская область </t>
  </si>
  <si>
    <t>Миронов Станислав</t>
  </si>
  <si>
    <t>Есин Михаил</t>
  </si>
  <si>
    <t>Open (17.11.1972)/43</t>
  </si>
  <si>
    <t>Master 40+ (17.11.1972)/43</t>
  </si>
  <si>
    <t>ВЕСОВАЯ КАТЕГОРИЯ   90+</t>
  </si>
  <si>
    <t>Сахаров Константин</t>
  </si>
  <si>
    <t>Junior (27.12.1994)/20</t>
  </si>
  <si>
    <t>99,70</t>
  </si>
  <si>
    <t>Волкова Юлия</t>
  </si>
  <si>
    <t>Open (19.02.1988)/27</t>
  </si>
  <si>
    <t>63,80</t>
  </si>
  <si>
    <t>2</t>
  </si>
  <si>
    <t>3</t>
  </si>
  <si>
    <t>4</t>
  </si>
  <si>
    <t>Open (10.06.2000)/15</t>
  </si>
  <si>
    <t>5</t>
  </si>
  <si>
    <t>6</t>
  </si>
  <si>
    <t>7</t>
  </si>
  <si>
    <t>8</t>
  </si>
  <si>
    <t>Жим стоя</t>
  </si>
  <si>
    <t>Подъем на бицепс</t>
  </si>
  <si>
    <t>Тоннаж</t>
  </si>
  <si>
    <t>Абсолютный зачет женщины</t>
  </si>
  <si>
    <t>Абсолютный зачет мужчины</t>
  </si>
  <si>
    <t>216,12</t>
  </si>
  <si>
    <t xml:space="preserve">Суслов Н. </t>
  </si>
  <si>
    <t>Собств. вес</t>
  </si>
  <si>
    <t>0</t>
  </si>
  <si>
    <t>Москва/Московская область</t>
  </si>
  <si>
    <t>Аксютин А.</t>
  </si>
  <si>
    <t xml:space="preserve">Ивашура Р. </t>
  </si>
  <si>
    <t>Воронов А.</t>
  </si>
  <si>
    <t xml:space="preserve">Ильин А. </t>
  </si>
  <si>
    <t>Вожега/Вологодская область</t>
  </si>
  <si>
    <t>Мирный/Архангельская область</t>
  </si>
  <si>
    <t>Козырев О.В.</t>
  </si>
  <si>
    <t>Якушевич Алексей</t>
  </si>
  <si>
    <t>460,0</t>
  </si>
  <si>
    <t>390,0</t>
  </si>
  <si>
    <t>Горислов А.</t>
  </si>
  <si>
    <t>Есин М.</t>
  </si>
  <si>
    <t>Прокофьев В.</t>
  </si>
  <si>
    <t xml:space="preserve">Свиридов Алексей </t>
  </si>
  <si>
    <t xml:space="preserve">Иванов Александр </t>
  </si>
  <si>
    <t xml:space="preserve">Горислов Анатолий </t>
  </si>
  <si>
    <t xml:space="preserve">Печерский Анатолий </t>
  </si>
  <si>
    <t>Санкт-Петербург/Ленинградская область</t>
  </si>
  <si>
    <t>Кишинев/Молдова</t>
  </si>
  <si>
    <t>360,0</t>
  </si>
  <si>
    <t xml:space="preserve">Самостоятелно </t>
  </si>
  <si>
    <t xml:space="preserve">Кондрашина Анна </t>
  </si>
  <si>
    <t xml:space="preserve">Гутова Анна </t>
  </si>
  <si>
    <t xml:space="preserve">Дунаева Екатерина </t>
  </si>
  <si>
    <t xml:space="preserve">Краюшкина Ольга </t>
  </si>
  <si>
    <t>Малинов Артем</t>
  </si>
  <si>
    <t>Левашов Евгений</t>
  </si>
  <si>
    <t xml:space="preserve">Гуляев Илья </t>
  </si>
  <si>
    <t xml:space="preserve">Сепсяков Виталий </t>
  </si>
  <si>
    <t>Берсенев Константин</t>
  </si>
  <si>
    <t xml:space="preserve">Вертиков Роман </t>
  </si>
  <si>
    <t xml:space="preserve">Исаев Владимир </t>
  </si>
  <si>
    <t>Железнов Илья</t>
  </si>
  <si>
    <t xml:space="preserve">Руденко Сергей </t>
  </si>
  <si>
    <t xml:space="preserve">Голубков Сергей </t>
  </si>
  <si>
    <t xml:space="preserve">Селиванов Михаил </t>
  </si>
  <si>
    <t xml:space="preserve">Губанов Юрий </t>
  </si>
  <si>
    <t xml:space="preserve">Осипенко Алексей </t>
  </si>
  <si>
    <t xml:space="preserve">Гагушичев Антон </t>
  </si>
  <si>
    <t xml:space="preserve">Чайка Игорь </t>
  </si>
  <si>
    <t xml:space="preserve">Богатырь 13 </t>
  </si>
  <si>
    <t xml:space="preserve">Юджин </t>
  </si>
  <si>
    <t xml:space="preserve">52,0 </t>
  </si>
  <si>
    <t xml:space="preserve">90,0 </t>
  </si>
  <si>
    <t>Папушой В.</t>
  </si>
  <si>
    <t>Смирнов О.</t>
  </si>
  <si>
    <t>Орешкин А.</t>
  </si>
  <si>
    <t>Никулин А.</t>
  </si>
  <si>
    <t xml:space="preserve">Горислов А. </t>
  </si>
  <si>
    <t>Шетохин Д.</t>
  </si>
  <si>
    <t>Осокин А.</t>
  </si>
  <si>
    <t>Данилов А.</t>
  </si>
  <si>
    <t>Ильин А.</t>
  </si>
  <si>
    <t>Горячев С.</t>
  </si>
  <si>
    <t>Длужневский С.С.</t>
  </si>
  <si>
    <t>Короглишвили Р.З.</t>
  </si>
  <si>
    <t xml:space="preserve">Орешкин А. </t>
  </si>
  <si>
    <t>Ерёмин Ю.</t>
  </si>
  <si>
    <t xml:space="preserve">Рек Александр </t>
  </si>
  <si>
    <t xml:space="preserve">Кузнецов Вадим </t>
  </si>
  <si>
    <t>Горислов Анатолий</t>
  </si>
  <si>
    <t>Смирнов Всеволод</t>
  </si>
  <si>
    <t xml:space="preserve">Моисеев Сергей </t>
  </si>
  <si>
    <t xml:space="preserve">Абдусаламов Абдулмажид </t>
  </si>
  <si>
    <t xml:space="preserve">Угаров Алексей </t>
  </si>
  <si>
    <t xml:space="preserve">Еремеев Даниил </t>
  </si>
  <si>
    <t>Лукаш Виктор</t>
  </si>
  <si>
    <t xml:space="preserve">Филиппов Антон </t>
  </si>
  <si>
    <t xml:space="preserve">Рассохин А. </t>
  </si>
  <si>
    <t>Кирьянов Р.</t>
  </si>
  <si>
    <t>Соловьев И.</t>
  </si>
  <si>
    <t>Ловцова Н.</t>
  </si>
  <si>
    <t>Бурков А.</t>
  </si>
  <si>
    <t>Гук Н.</t>
  </si>
  <si>
    <t>Конев Александр</t>
  </si>
  <si>
    <t xml:space="preserve">Горячев Станислав </t>
  </si>
  <si>
    <t xml:space="preserve">Балашов Н. </t>
  </si>
  <si>
    <t xml:space="preserve">Степичев Сергей </t>
  </si>
  <si>
    <t xml:space="preserve">Смыслов И. </t>
  </si>
  <si>
    <t xml:space="preserve">Кузнецова Оксана </t>
  </si>
  <si>
    <t xml:space="preserve">Сергеев Роман </t>
  </si>
  <si>
    <t xml:space="preserve">Тепляков Дмитрий </t>
  </si>
  <si>
    <t xml:space="preserve">Семенихин Иван </t>
  </si>
  <si>
    <t xml:space="preserve">Коновалов Э. </t>
  </si>
  <si>
    <t xml:space="preserve">Голубев Алексей </t>
  </si>
  <si>
    <t>Ляхов Василий</t>
  </si>
  <si>
    <t xml:space="preserve">Петров Алексей </t>
  </si>
  <si>
    <t xml:space="preserve">Гладких Сергей </t>
  </si>
  <si>
    <t>Жилко Андрей</t>
  </si>
  <si>
    <t xml:space="preserve">Тарасов Вадим </t>
  </si>
  <si>
    <t xml:space="preserve">Мелешко Алексей </t>
  </si>
  <si>
    <t xml:space="preserve">Сотов Алексей </t>
  </si>
  <si>
    <t>Логунов Анатолий</t>
  </si>
  <si>
    <t>Афанасов Э.</t>
  </si>
  <si>
    <t>Звездин И.</t>
  </si>
  <si>
    <t>Красикова Л.</t>
  </si>
  <si>
    <t>Ивашура Р.</t>
  </si>
  <si>
    <t>Осколков А.</t>
  </si>
  <si>
    <t>Рассохин А.</t>
  </si>
  <si>
    <t>Небученных В.</t>
  </si>
  <si>
    <t>Коротков П.</t>
  </si>
  <si>
    <t>Курицин М.</t>
  </si>
  <si>
    <t>Кузеев Д., Никулин А.</t>
  </si>
  <si>
    <t>Симон Е.</t>
  </si>
  <si>
    <t>Сергей Н.Г.</t>
  </si>
  <si>
    <t>Коновалов Э.</t>
  </si>
  <si>
    <t>Шиловский Е.</t>
  </si>
  <si>
    <t>Курков А.</t>
  </si>
  <si>
    <t>Глазьев Н.</t>
  </si>
  <si>
    <t>Логунов А.</t>
  </si>
  <si>
    <t>Никаноров А.</t>
  </si>
  <si>
    <t>Городецкая Вероника</t>
  </si>
  <si>
    <t xml:space="preserve">Зубрицкая Лина </t>
  </si>
  <si>
    <t xml:space="preserve">Борисов Александр </t>
  </si>
  <si>
    <t>Иронов Александр</t>
  </si>
  <si>
    <t xml:space="preserve">Паршинцев Игорь </t>
  </si>
  <si>
    <t>Павлов Алексей</t>
  </si>
  <si>
    <t>Рузанкин Иван</t>
  </si>
  <si>
    <t>Соловьев Артем</t>
  </si>
  <si>
    <t xml:space="preserve">Фомичев Дмитрий </t>
  </si>
  <si>
    <t>Кипрухин Сергей</t>
  </si>
  <si>
    <t xml:space="preserve">Пашовкин Валентин </t>
  </si>
  <si>
    <t xml:space="preserve">Картавов Сергей </t>
  </si>
  <si>
    <t xml:space="preserve">Арутюнян Арутюн </t>
  </si>
  <si>
    <t xml:space="preserve">Попов Сергей </t>
  </si>
  <si>
    <t xml:space="preserve">Хохлов Олег </t>
  </si>
  <si>
    <t>Кишинев/ Молдова</t>
  </si>
  <si>
    <t>Смыслов И.</t>
  </si>
  <si>
    <t>Печерский А.</t>
  </si>
  <si>
    <t xml:space="preserve">Нестеренко Г. </t>
  </si>
  <si>
    <t>Розанов И.</t>
  </si>
  <si>
    <t>Личутин Н.</t>
  </si>
  <si>
    <t xml:space="preserve">Чайка Александр </t>
  </si>
  <si>
    <t>525,0</t>
  </si>
  <si>
    <t xml:space="preserve">Корякин Сергей </t>
  </si>
  <si>
    <t xml:space="preserve">Журавлев Андрей </t>
  </si>
  <si>
    <t xml:space="preserve">Бурнашов Владимир </t>
  </si>
  <si>
    <t>Сейткулов Никита</t>
  </si>
  <si>
    <t xml:space="preserve">Борисов Артем </t>
  </si>
  <si>
    <t>345,0</t>
  </si>
  <si>
    <t>420,0</t>
  </si>
  <si>
    <t>710,0</t>
  </si>
  <si>
    <t>Бурнашов В.</t>
  </si>
  <si>
    <t xml:space="preserve">Бурнашова Светлана </t>
  </si>
  <si>
    <t>Демкив Наталия</t>
  </si>
  <si>
    <t xml:space="preserve">Дога Виктория </t>
  </si>
  <si>
    <t xml:space="preserve">Расторгуев Дмитрий </t>
  </si>
  <si>
    <t xml:space="preserve">Витовский Василий </t>
  </si>
  <si>
    <t xml:space="preserve">Асатуров Валерий </t>
  </si>
  <si>
    <t xml:space="preserve">Москва/Московская область </t>
  </si>
  <si>
    <t>410,0</t>
  </si>
  <si>
    <t>520,0</t>
  </si>
  <si>
    <t>630,0</t>
  </si>
  <si>
    <t>700,0</t>
  </si>
  <si>
    <t>Бурнашов, Длужневский С.С.</t>
  </si>
  <si>
    <t>Михеев В.</t>
  </si>
  <si>
    <t xml:space="preserve">Шашерин Николай </t>
  </si>
  <si>
    <t>350,0</t>
  </si>
  <si>
    <t>380,0</t>
  </si>
  <si>
    <t>470,0</t>
  </si>
  <si>
    <t>530,0</t>
  </si>
  <si>
    <t>455,0</t>
  </si>
  <si>
    <t>540,0</t>
  </si>
  <si>
    <t>570,0</t>
  </si>
  <si>
    <t>565,0</t>
  </si>
  <si>
    <t>600,0</t>
  </si>
  <si>
    <t>555,0</t>
  </si>
  <si>
    <t>620,0</t>
  </si>
  <si>
    <t xml:space="preserve">100,0 </t>
  </si>
  <si>
    <t xml:space="preserve">Глазьев Н.Н. </t>
  </si>
  <si>
    <t>Ивашура Р</t>
  </si>
  <si>
    <t>Глазьев Н</t>
  </si>
  <si>
    <t>Осиев А</t>
  </si>
  <si>
    <t>Голубов Н</t>
  </si>
  <si>
    <t>Якушевич А.</t>
  </si>
  <si>
    <t>Громов А.</t>
  </si>
  <si>
    <t>Осиев А.</t>
  </si>
  <si>
    <t>Малюков А.</t>
  </si>
  <si>
    <t>Ловцова Наталья</t>
  </si>
  <si>
    <t>Ивашко Анатолий</t>
  </si>
  <si>
    <t xml:space="preserve">Кобелев Павел </t>
  </si>
  <si>
    <t xml:space="preserve">Кипрухин Сергей </t>
  </si>
  <si>
    <t xml:space="preserve">Интке Юрий </t>
  </si>
  <si>
    <t xml:space="preserve">Соловьев Иван </t>
  </si>
  <si>
    <t>650,0</t>
  </si>
  <si>
    <t>535,0</t>
  </si>
  <si>
    <t>435,0</t>
  </si>
  <si>
    <t xml:space="preserve">Кукин Артем </t>
  </si>
  <si>
    <t>Горислов Алексей</t>
  </si>
  <si>
    <t>1740,0</t>
  </si>
  <si>
    <t>1120,0</t>
  </si>
  <si>
    <t>2015,0</t>
  </si>
  <si>
    <t>2975,0</t>
  </si>
  <si>
    <t>2970,0</t>
  </si>
  <si>
    <t>2100,0</t>
  </si>
  <si>
    <t>2870,0</t>
  </si>
  <si>
    <t>29</t>
  </si>
  <si>
    <t>16</t>
  </si>
  <si>
    <t>26</t>
  </si>
  <si>
    <t>23</t>
  </si>
  <si>
    <t>34</t>
  </si>
  <si>
    <t>33</t>
  </si>
  <si>
    <t>35</t>
  </si>
  <si>
    <t>21</t>
  </si>
  <si>
    <t>28</t>
  </si>
  <si>
    <t>1500,0</t>
  </si>
  <si>
    <t xml:space="preserve">110,0 </t>
  </si>
  <si>
    <t>1215,0</t>
  </si>
  <si>
    <t>1260,0</t>
  </si>
  <si>
    <t>1800,0</t>
  </si>
  <si>
    <t>2240,0</t>
  </si>
  <si>
    <t>1710,0</t>
  </si>
  <si>
    <t>Хамилов А.</t>
  </si>
  <si>
    <t>78,0</t>
  </si>
  <si>
    <t>73,0</t>
  </si>
  <si>
    <t>Миронов С.</t>
  </si>
  <si>
    <t>Химки/Московская область</t>
  </si>
  <si>
    <t>Иванов С.М.</t>
  </si>
  <si>
    <t>168,00975</t>
  </si>
  <si>
    <t>Кубок России WAA                                                                                                                                                                             Экскалибур
г. Вологда, 12 - 13 декабря 2015 г.</t>
  </si>
  <si>
    <t>Кубок России WAA                                                                                                                                                                             Русский хаб
г. Вологда, 12 - 13 декабря 2015 г.</t>
  </si>
  <si>
    <t>Кубок России WAA                                                                                                                                                                             Русская ось
г. Вологда, 12 - 13 декабря 2015 г.</t>
  </si>
  <si>
    <t>Кубок России WAA                                                                                                                                                                             Русская рулетка
г. Вологда, 12 - 13 декабря 2015 г.</t>
  </si>
  <si>
    <t>Кубок России GPA/IPO/СПР                                                                                                                                                                      Народный жим 1 вес ДК
г. Вологда, 12 - 13 декабря 2015 г.</t>
  </si>
  <si>
    <t>Медведь</t>
  </si>
  <si>
    <t>Кубок России GPA/IPO/СПР                                                                                                                                                   Народный жим 1/2 веса ДК
г. Вологда, 12 - 13 декабря 2015 г.</t>
  </si>
  <si>
    <t>Кубок России GPA/IPO/СПР                                                                                                                                                     Народный жим 1 вес
г. Вологда, 12 - 13 декабря 2015 г.</t>
  </si>
  <si>
    <t>Кубок России GPA/IPO/СПР                                                                                                                                                          Пауэрспорт
г. Вологда, 12 - 13 декабря 2015 г.</t>
  </si>
  <si>
    <t>Кубок России GPA/IPO/СПР                                                                                                                                                      Пауэрлифтинг без экипировки
г. Вологда, 12 - 13 декабря 2015 г.</t>
  </si>
  <si>
    <t>Кубок России GPA/IPO/СПР                                                                                                                                                                   Пауэрлифтинг без экипировки ДК
г. Вологда, 12 - 13 декабря 2015 г.</t>
  </si>
  <si>
    <t xml:space="preserve">Команда Длужневского </t>
  </si>
  <si>
    <t>Группа здоровья имени Леши Никулина</t>
  </si>
  <si>
    <t>Кубок России GPA/IPO/СПР                                                                                                                                                                   Пауэрлифтинг в бинтах
г. Вологда, 12 - 13 декабря 2015 г.</t>
  </si>
  <si>
    <t>Команда Длужневского</t>
  </si>
  <si>
    <t>Кубок России GPA/IPO/СПР                                                                                                                                                      Пауэрлифтинг в бинтах ДК
г. Вологда, 12 - 13 декабря 2015 г.</t>
  </si>
  <si>
    <t xml:space="preserve">Дворец Спорта </t>
  </si>
  <si>
    <t>Кубок России GPA/IPO/СПР                                                                                                                                                     Пауэрлифтинг в однослойной экипировке
г. Вологда, 12 - 13 декабря 2015 г.</t>
  </si>
  <si>
    <t>Кубок России GPA/IPO/СПР                                                                                                                                                      Пауэрлифтинг в однослойной экипировке ДК
г. Вологда, 12 - 13 декабря 2015 г.</t>
  </si>
  <si>
    <t>Кубок России GPA/IPO/СПР                                                                                                                                                      Жим лежа без экипировки
г. Вологда, 12 - 13 декабря 2015 г.</t>
  </si>
  <si>
    <t>Кубок России GPA/IPO/СПР                                                                                                                                                      Жим лежа без экипировки ДК
г. Вологда, 12 - 13 декабря 2015 г.</t>
  </si>
  <si>
    <t>Кубок России GPA/IPO/СПР                                                                                                                                                      Жим лежа в однослойной экипировке ДК
г. Вологда, 12 - 13 декабря 2015 г.</t>
  </si>
  <si>
    <t>Кубок России GPA/IPO/СПР                                                                                                                                                      Жим лежа в многослойной экипировке
г. Вологда, 12 - 13 декабря 2015 г.</t>
  </si>
  <si>
    <t>Кубок России GPA/IPO/СПР                                                                                                                                                      Жим лежа СФО
г. Вологда, 12 - 13 декабря 2015 г.</t>
  </si>
  <si>
    <t>Кубок России GPA/IPO/СПР                                                                                                                                                      Становая тяга без экипировки
г. Вологда, 12 - 13 декабря 2015 г.</t>
  </si>
  <si>
    <t>Кубок России GPA/IPO/СПР                                                                                                                                                                     Становая тяга без экипировки ДК
г. Вологда, 12 - 13 декабря 2015 г.</t>
  </si>
  <si>
    <t>Череповец</t>
  </si>
  <si>
    <t>Кубок России GPA/IPO/СПР                                                                                                                                                      Силовое двоеборье без экипировки
г. Вологда, 12 - 13 декабря 2015 г.</t>
  </si>
  <si>
    <t>Кубок России GPA/IPO/СПР                                                                                                                                                      Силовое двоеборье без экипировки ДК
г. Вологда, 12 - 13 декабря 2015 г.</t>
  </si>
  <si>
    <t>Кубок России GPA/IPO/СПР                                                                                                                           Присед без экипировки
г. Вологда, 12 - 13 декабря 2015 г.</t>
  </si>
  <si>
    <t>Кубок России GPA/IPO/СПР                                                                                                                            Присед без экипировки ДК
г. Вологда, 12 - 13 декабря 2015 г.</t>
  </si>
  <si>
    <t>Кубок России GPA/IPO/СПР                                                                                                                           Присед в бинтах 
г. Вологда, 12 - 13 декабря 2015 г.</t>
  </si>
  <si>
    <t>Весовая категория                    Дата рождения/возраст</t>
  </si>
  <si>
    <t>Кубок России GPA/IPO/СПР                                                                                                                        Присед в бинтах ДК
г. Вологда, 12 - 13 декабря 2015 г.</t>
  </si>
  <si>
    <t>Кубок России GPA/IPO/СПР                                                                                                                                                      Присед в однослойной экипировке
г. Вологда, 12 - 13 декабря 2015 г.</t>
  </si>
  <si>
    <t>123,7792</t>
  </si>
  <si>
    <t xml:space="preserve">Кадуй/Вологодская область </t>
  </si>
  <si>
    <t>Главный секретарь соревнований: Новиков Степан/Вологда МК</t>
  </si>
  <si>
    <t>Помощник главного секретаря: Ермолаева Дарья/Санкт Петербург</t>
  </si>
  <si>
    <t>Аппеляционное жюри: Длужневская Эльвира/Вологда МК, Длужневский Сергей/Вологда МК, Новиков Степан/Вологда МК</t>
  </si>
  <si>
    <t>Вологда, 12-13 декабря 2015 года</t>
  </si>
  <si>
    <t>Главный судья соревнований: Длужневская Эльвира/Вологда МК</t>
  </si>
  <si>
    <t>Центральный судья на помосте: Длужневская Эльвира/Вологда МК, Новиков Степан/Вологда МК, Смирнов Олег/Санкт Петербург НК, Лысиков Дмитрий/Санкт Петербург НК, Якименков Георгий/Вологда НК</t>
  </si>
  <si>
    <t>Боковые судьи на помосте: Смирнов Олег/Санкт Петербург НК, Лысиков Дмитрий/Cанкт Петербург НК, Якименков Георгий/Вологда НК, Кузнецова Оксана/Санкт Петербург РК, Якушевич Алексей/Вологда РК</t>
  </si>
  <si>
    <t>Хомутов Андрей/Вологда РК, Рассохин Александр/Великий Устюг РК, Иванов Андрей/Великий Устюг РК, Трапезникова Наталья/Санкт Петербург РК.</t>
  </si>
  <si>
    <t>Состав судейской коллегии на Кубке России по пауэрлифтингу, его отдельным движениям, народному жиму, пауэрспорту и армлифтингу по версиям федераций GPA/IPO/WAA и "Союз пауэрлифтеров России", а также Всероссийском мастерском турнире по жимовому двоеборью</t>
  </si>
  <si>
    <t>Командный зачет на Кубке России по пауэрлифтингу, его отдельным движениям, народному жиму, пауэрспорту и армлифтингу по версиям федераций GPA/IPO/WAA и "Союз пауэрлифтеров России", а также Всероссийском мастерском турнире по жимовому двоеборью</t>
  </si>
  <si>
    <t>Палестра</t>
  </si>
  <si>
    <t>Великий Устюг</t>
  </si>
  <si>
    <t>Буйволы</t>
  </si>
  <si>
    <t>Апатиты</t>
  </si>
  <si>
    <t>Космодром Плесецк</t>
  </si>
  <si>
    <t>Динамит</t>
  </si>
  <si>
    <t>Сокол</t>
  </si>
  <si>
    <t>Юджин</t>
  </si>
  <si>
    <t>Вегетарианская сила</t>
  </si>
  <si>
    <t>Дворец Спорта</t>
  </si>
  <si>
    <t xml:space="preserve">Сортавала/Республика Карелия </t>
  </si>
  <si>
    <t xml:space="preserve">Архангельск/Архангельская об </t>
  </si>
  <si>
    <t>Ветераны</t>
  </si>
  <si>
    <t>125,2124</t>
  </si>
  <si>
    <t>128,9040</t>
  </si>
  <si>
    <t>Богатырь 13</t>
  </si>
  <si>
    <t>128,2387</t>
  </si>
  <si>
    <t>121,4500</t>
  </si>
  <si>
    <t>111,1520</t>
  </si>
  <si>
    <t>194,4600</t>
  </si>
  <si>
    <t>155,7546</t>
  </si>
  <si>
    <t>Попов Сергей</t>
  </si>
  <si>
    <t>121,8297</t>
  </si>
  <si>
    <t>Кубок России WAA                                                                                                                                                                             Русский кирпич
г. Вологда, 12 - 13 декабря 2015 г.</t>
  </si>
  <si>
    <t>44,0</t>
  </si>
  <si>
    <t>34,0</t>
  </si>
  <si>
    <t>86,5</t>
  </si>
  <si>
    <t>84,0</t>
  </si>
  <si>
    <t>64,0</t>
  </si>
  <si>
    <t>54,0</t>
  </si>
  <si>
    <t>Возрастная группа</t>
  </si>
  <si>
    <t>Жим/первое упражнение</t>
  </si>
  <si>
    <t>Жим/второе упражнение</t>
  </si>
  <si>
    <t>Сумма баллов</t>
  </si>
  <si>
    <t>Год рождения/Возраст</t>
  </si>
  <si>
    <t>Самостоятельно</t>
  </si>
  <si>
    <t>Лично</t>
  </si>
  <si>
    <t xml:space="preserve"> </t>
  </si>
  <si>
    <t>Всероссийский мастерский турнир                                                                                                                                                                                              Жимовое двоеборье</t>
  </si>
  <si>
    <t>г. Вологда, 12 - 13 декабря 2015 г.</t>
  </si>
  <si>
    <t>Любители с прохождением допинг контроля</t>
  </si>
  <si>
    <t>Бараев Александр</t>
  </si>
  <si>
    <t>Смирнов Олег</t>
  </si>
  <si>
    <t xml:space="preserve">Любители </t>
  </si>
  <si>
    <t>99,60</t>
  </si>
  <si>
    <t>Open (09.02.1985)/30</t>
  </si>
  <si>
    <t>Open (22.01.1986)/29</t>
  </si>
  <si>
    <t>Короглишвили Роман</t>
  </si>
  <si>
    <t>DQ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</si>
</sst>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</numFmts>
  <fonts count="53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strike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medium"/>
      <bottom>
        <color indexed="63"/>
      </bottom>
    </border>
    <border>
      <left style="thin">
        <color rgb="FF000000"/>
      </left>
      <right style="thin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9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49" fontId="49" fillId="0" borderId="15" xfId="0" applyNumberFormat="1" applyFont="1" applyBorder="1" applyAlignment="1">
      <alignment horizontal="center"/>
    </xf>
    <xf numFmtId="49" fontId="50" fillId="0" borderId="15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/>
    </xf>
    <xf numFmtId="49" fontId="51" fillId="0" borderId="13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49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49" fontId="0" fillId="0" borderId="1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49" fontId="4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49" fillId="0" borderId="13" xfId="0" applyNumberFormat="1" applyFont="1" applyFill="1" applyBorder="1" applyAlignment="1">
      <alignment horizontal="center"/>
    </xf>
    <xf numFmtId="49" fontId="49" fillId="0" borderId="14" xfId="0" applyNumberFormat="1" applyFont="1" applyFill="1" applyBorder="1" applyAlignment="1">
      <alignment horizontal="center"/>
    </xf>
    <xf numFmtId="49" fontId="49" fillId="0" borderId="15" xfId="0" applyNumberFormat="1" applyFont="1" applyFill="1" applyBorder="1" applyAlignment="1">
      <alignment horizontal="center"/>
    </xf>
    <xf numFmtId="49" fontId="49" fillId="0" borderId="16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/>
    </xf>
    <xf numFmtId="49" fontId="2" fillId="0" borderId="21" xfId="0" applyNumberFormat="1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49" fontId="0" fillId="0" borderId="19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left"/>
    </xf>
    <xf numFmtId="49" fontId="3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23" xfId="0" applyNumberFormat="1" applyFill="1" applyBorder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/>
    </xf>
    <xf numFmtId="172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172" fontId="0" fillId="0" borderId="28" xfId="0" applyNumberFormat="1" applyBorder="1" applyAlignment="1">
      <alignment horizontal="right"/>
    </xf>
    <xf numFmtId="172" fontId="0" fillId="0" borderId="13" xfId="0" applyNumberFormat="1" applyBorder="1" applyAlignment="1">
      <alignment/>
    </xf>
    <xf numFmtId="172" fontId="52" fillId="0" borderId="13" xfId="0" applyNumberFormat="1" applyFont="1" applyBorder="1" applyAlignment="1">
      <alignment/>
    </xf>
    <xf numFmtId="172" fontId="0" fillId="0" borderId="13" xfId="0" applyNumberFormat="1" applyBorder="1" applyAlignment="1">
      <alignment horizontal="right"/>
    </xf>
    <xf numFmtId="49" fontId="49" fillId="0" borderId="21" xfId="0" applyNumberFormat="1" applyFont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49" fontId="5" fillId="0" borderId="0" xfId="0" applyNumberFormat="1" applyFont="1" applyAlignment="1">
      <alignment horizont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65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" sqref="A1:P12"/>
    </sheetView>
  </sheetViews>
  <sheetFormatPr defaultColWidth="8.75390625" defaultRowHeight="12.75"/>
  <cols>
    <col min="1" max="1" width="7.875" style="36" bestFit="1" customWidth="1"/>
    <col min="2" max="2" width="22.375" style="22" customWidth="1"/>
    <col min="3" max="3" width="26.125" style="22" customWidth="1"/>
    <col min="4" max="4" width="10.625" style="22" bestFit="1" customWidth="1"/>
    <col min="5" max="5" width="15.00390625" style="22" customWidth="1"/>
    <col min="6" max="6" width="30.25390625" style="22" bestFit="1" customWidth="1"/>
    <col min="7" max="7" width="11.75390625" style="36" customWidth="1"/>
    <col min="8" max="8" width="26.125" style="22" bestFit="1" customWidth="1"/>
    <col min="9" max="16" width="9.125" style="0" hidden="1" customWidth="1"/>
  </cols>
  <sheetData>
    <row r="1" spans="2:16" s="1" customFormat="1" ht="15" customHeight="1">
      <c r="B1" s="124" t="s">
        <v>1022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2:16" s="1" customFormat="1" ht="75.7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8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2</v>
      </c>
      <c r="F3" s="122" t="s">
        <v>692</v>
      </c>
      <c r="G3" s="132" t="s">
        <v>690</v>
      </c>
      <c r="H3" s="134" t="s">
        <v>10</v>
      </c>
    </row>
    <row r="4" spans="1:8" s="4" customFormat="1" ht="23.25" customHeight="1" thickBot="1">
      <c r="A4" s="131"/>
      <c r="B4" s="140"/>
      <c r="C4" s="133"/>
      <c r="D4" s="133"/>
      <c r="E4" s="133"/>
      <c r="F4" s="123"/>
      <c r="G4" s="133"/>
      <c r="H4" s="135"/>
    </row>
    <row r="5" spans="1:7" ht="15.75">
      <c r="A5"/>
      <c r="B5" s="137" t="s">
        <v>796</v>
      </c>
      <c r="C5" s="137"/>
      <c r="D5" s="137"/>
      <c r="E5" s="137"/>
      <c r="F5" s="137"/>
      <c r="G5" s="138"/>
    </row>
    <row r="6" spans="1:8" ht="12.75">
      <c r="A6" s="39" t="s">
        <v>689</v>
      </c>
      <c r="B6" s="24" t="s">
        <v>371</v>
      </c>
      <c r="C6" s="24" t="s">
        <v>372</v>
      </c>
      <c r="D6" s="24" t="s">
        <v>197</v>
      </c>
      <c r="E6" s="24" t="s">
        <v>15</v>
      </c>
      <c r="F6" s="24" t="s">
        <v>952</v>
      </c>
      <c r="G6" s="39" t="s">
        <v>158</v>
      </c>
      <c r="H6" s="24" t="s">
        <v>374</v>
      </c>
    </row>
    <row r="7" spans="1:8" ht="12.75">
      <c r="A7" s="40" t="s">
        <v>785</v>
      </c>
      <c r="B7" s="25" t="s">
        <v>782</v>
      </c>
      <c r="C7" s="25" t="s">
        <v>783</v>
      </c>
      <c r="D7" s="25" t="s">
        <v>784</v>
      </c>
      <c r="E7" s="25" t="s">
        <v>15</v>
      </c>
      <c r="F7" s="25" t="s">
        <v>322</v>
      </c>
      <c r="G7" s="40" t="s">
        <v>150</v>
      </c>
      <c r="H7" s="25" t="s">
        <v>1020</v>
      </c>
    </row>
    <row r="9" spans="1:7" ht="15.75">
      <c r="A9"/>
      <c r="B9" s="136" t="s">
        <v>797</v>
      </c>
      <c r="C9" s="136"/>
      <c r="D9" s="136"/>
      <c r="E9" s="136"/>
      <c r="F9" s="136"/>
      <c r="G9" s="136"/>
    </row>
    <row r="10" spans="1:8" ht="12.75">
      <c r="A10" s="39" t="s">
        <v>689</v>
      </c>
      <c r="B10" s="24" t="s">
        <v>774</v>
      </c>
      <c r="C10" s="24" t="s">
        <v>643</v>
      </c>
      <c r="D10" s="24" t="s">
        <v>253</v>
      </c>
      <c r="E10" s="24" t="s">
        <v>99</v>
      </c>
      <c r="F10" s="24" t="s">
        <v>100</v>
      </c>
      <c r="G10" s="39" t="s">
        <v>37</v>
      </c>
      <c r="H10" s="24" t="s">
        <v>45</v>
      </c>
    </row>
    <row r="11" spans="1:8" ht="12.75">
      <c r="A11" s="90" t="s">
        <v>785</v>
      </c>
      <c r="B11" s="26" t="s">
        <v>765</v>
      </c>
      <c r="C11" s="26" t="s">
        <v>766</v>
      </c>
      <c r="D11" s="26" t="s">
        <v>767</v>
      </c>
      <c r="E11" s="26" t="s">
        <v>15</v>
      </c>
      <c r="F11" s="26" t="s">
        <v>764</v>
      </c>
      <c r="G11" s="52">
        <v>102.5</v>
      </c>
      <c r="H11" s="26" t="s">
        <v>45</v>
      </c>
    </row>
    <row r="12" spans="1:8" ht="12.75">
      <c r="A12" s="40" t="s">
        <v>786</v>
      </c>
      <c r="B12" s="25" t="s">
        <v>761</v>
      </c>
      <c r="C12" s="25" t="s">
        <v>762</v>
      </c>
      <c r="D12" s="25" t="s">
        <v>763</v>
      </c>
      <c r="E12" s="25" t="s">
        <v>15</v>
      </c>
      <c r="F12" s="25" t="s">
        <v>764</v>
      </c>
      <c r="G12" s="40" t="s">
        <v>128</v>
      </c>
      <c r="H12" s="25" t="s">
        <v>45</v>
      </c>
    </row>
  </sheetData>
  <sheetProtection/>
  <mergeCells count="11">
    <mergeCell ref="E3:E4"/>
    <mergeCell ref="F3:F4"/>
    <mergeCell ref="B1:P2"/>
    <mergeCell ref="A3:A4"/>
    <mergeCell ref="G3:G4"/>
    <mergeCell ref="H3:H4"/>
    <mergeCell ref="B9:G9"/>
    <mergeCell ref="B5:G5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D7" sqref="D7:D8"/>
    </sheetView>
  </sheetViews>
  <sheetFormatPr defaultColWidth="8.75390625" defaultRowHeight="12.75"/>
  <cols>
    <col min="1" max="1" width="7.75390625" style="36" customWidth="1"/>
    <col min="2" max="2" width="21.75390625" style="22" customWidth="1"/>
    <col min="3" max="3" width="26.75390625" style="22" customWidth="1"/>
    <col min="4" max="4" width="10.625" style="22" bestFit="1" customWidth="1"/>
    <col min="5" max="5" width="8.375" style="22" bestFit="1" customWidth="1"/>
    <col min="6" max="6" width="22.75390625" style="22" bestFit="1" customWidth="1"/>
    <col min="7" max="7" width="32.625" style="22" customWidth="1"/>
    <col min="8" max="8" width="7.75390625" style="36" customWidth="1"/>
    <col min="9" max="9" width="11.25390625" style="36" customWidth="1"/>
    <col min="10" max="10" width="9.875" style="36" customWidth="1"/>
    <col min="11" max="11" width="9.625" style="22" bestFit="1" customWidth="1"/>
    <col min="12" max="12" width="15.25390625" style="22" customWidth="1"/>
    <col min="13" max="18" width="9.125" style="0" hidden="1" customWidth="1"/>
  </cols>
  <sheetData>
    <row r="1" spans="2:18" s="1" customFormat="1" ht="15" customHeight="1">
      <c r="B1" s="124" t="s">
        <v>1028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2:18" s="1" customFormat="1" ht="79.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2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5</v>
      </c>
      <c r="I3" s="132"/>
      <c r="J3" s="130" t="s">
        <v>795</v>
      </c>
      <c r="K3" s="132" t="s">
        <v>9</v>
      </c>
      <c r="L3" s="146" t="s">
        <v>10</v>
      </c>
    </row>
    <row r="4" spans="1:12" s="4" customFormat="1" ht="23.25" customHeight="1" thickBot="1">
      <c r="A4" s="131"/>
      <c r="B4" s="140"/>
      <c r="C4" s="133"/>
      <c r="D4" s="133"/>
      <c r="E4" s="133"/>
      <c r="F4" s="133"/>
      <c r="G4" s="123"/>
      <c r="H4" s="6" t="s">
        <v>700</v>
      </c>
      <c r="I4" s="7" t="s">
        <v>701</v>
      </c>
      <c r="J4" s="131"/>
      <c r="K4" s="133"/>
      <c r="L4" s="147"/>
    </row>
    <row r="5" spans="1:11" ht="15.75">
      <c r="A5"/>
      <c r="B5" s="137" t="s">
        <v>154</v>
      </c>
      <c r="C5" s="137"/>
      <c r="D5" s="137"/>
      <c r="E5" s="137"/>
      <c r="F5" s="137"/>
      <c r="G5" s="137"/>
      <c r="H5" s="137"/>
      <c r="I5" s="137"/>
      <c r="J5" s="137"/>
      <c r="K5" s="137"/>
    </row>
    <row r="6" spans="1:12" ht="12.75">
      <c r="A6" s="35" t="s">
        <v>689</v>
      </c>
      <c r="B6" s="23" t="s">
        <v>161</v>
      </c>
      <c r="C6" s="23" t="s">
        <v>162</v>
      </c>
      <c r="D6" s="23" t="s">
        <v>163</v>
      </c>
      <c r="E6" s="23" t="str">
        <f>"1,0439"</f>
        <v>1,0439</v>
      </c>
      <c r="F6" s="23" t="s">
        <v>164</v>
      </c>
      <c r="G6" s="23" t="s">
        <v>224</v>
      </c>
      <c r="H6" s="35" t="s">
        <v>431</v>
      </c>
      <c r="I6" s="35" t="s">
        <v>149</v>
      </c>
      <c r="J6" s="35" t="s">
        <v>1008</v>
      </c>
      <c r="K6" s="79" t="str">
        <f>"1565,8500"</f>
        <v>1565,8500</v>
      </c>
      <c r="L6" s="23" t="s">
        <v>804</v>
      </c>
    </row>
  </sheetData>
  <sheetProtection/>
  <mergeCells count="13">
    <mergeCell ref="A3:A4"/>
    <mergeCell ref="L3:L4"/>
    <mergeCell ref="B5:K5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1:R2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4">
      <selection activeCell="K28" sqref="K28"/>
    </sheetView>
  </sheetViews>
  <sheetFormatPr defaultColWidth="9.125" defaultRowHeight="12.75"/>
  <cols>
    <col min="1" max="1" width="7.875" style="66" bestFit="1" customWidth="1"/>
    <col min="2" max="2" width="22.00390625" style="57" customWidth="1"/>
    <col min="3" max="3" width="26.875" style="2" bestFit="1" customWidth="1"/>
    <col min="4" max="4" width="10.625" style="2" bestFit="1" customWidth="1"/>
    <col min="5" max="5" width="10.00390625" style="2" customWidth="1"/>
    <col min="6" max="6" width="30.875" style="5" customWidth="1"/>
    <col min="7" max="7" width="34.00390625" style="5" bestFit="1" customWidth="1"/>
    <col min="8" max="8" width="6.875" style="66" customWidth="1"/>
    <col min="9" max="9" width="10.75390625" style="66" customWidth="1"/>
    <col min="10" max="10" width="10.00390625" style="66" customWidth="1"/>
    <col min="11" max="11" width="9.625" style="2" bestFit="1" customWidth="1"/>
    <col min="12" max="12" width="21.125" style="5" customWidth="1"/>
    <col min="13" max="16" width="9.125" style="1" hidden="1" customWidth="1"/>
    <col min="17" max="16384" width="9.125" style="1" customWidth="1"/>
  </cols>
  <sheetData>
    <row r="1" spans="1:16" ht="15" customHeight="1">
      <c r="A1" s="1"/>
      <c r="B1" s="124" t="s">
        <v>1026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ht="77.25" customHeight="1" thickBo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12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5</v>
      </c>
      <c r="I3" s="132"/>
      <c r="J3" s="130" t="s">
        <v>795</v>
      </c>
      <c r="K3" s="132" t="s">
        <v>9</v>
      </c>
      <c r="L3" s="146" t="s">
        <v>10</v>
      </c>
    </row>
    <row r="4" spans="1:12" s="4" customFormat="1" ht="23.25" customHeight="1" thickBot="1">
      <c r="A4" s="131"/>
      <c r="B4" s="140"/>
      <c r="C4" s="133"/>
      <c r="D4" s="133"/>
      <c r="E4" s="133"/>
      <c r="F4" s="133"/>
      <c r="G4" s="123"/>
      <c r="H4" s="6" t="s">
        <v>700</v>
      </c>
      <c r="I4" s="7" t="s">
        <v>701</v>
      </c>
      <c r="J4" s="131"/>
      <c r="K4" s="133"/>
      <c r="L4" s="147"/>
    </row>
    <row r="5" spans="2:12" s="2" customFormat="1" ht="15.75">
      <c r="B5" s="145" t="s">
        <v>12</v>
      </c>
      <c r="C5" s="137"/>
      <c r="D5" s="137"/>
      <c r="E5" s="137"/>
      <c r="F5" s="137"/>
      <c r="G5" s="137"/>
      <c r="H5" s="137"/>
      <c r="I5" s="137"/>
      <c r="J5" s="137"/>
      <c r="K5" s="137"/>
      <c r="L5" s="5"/>
    </row>
    <row r="6" spans="1:12" s="2" customFormat="1" ht="12.75">
      <c r="A6" s="46" t="s">
        <v>689</v>
      </c>
      <c r="B6" s="56" t="s">
        <v>729</v>
      </c>
      <c r="C6" s="9" t="s">
        <v>730</v>
      </c>
      <c r="D6" s="9" t="s">
        <v>731</v>
      </c>
      <c r="E6" s="9" t="str">
        <f>"0,7681"</f>
        <v>0,7681</v>
      </c>
      <c r="F6" s="10" t="s">
        <v>15</v>
      </c>
      <c r="G6" s="10" t="s">
        <v>16</v>
      </c>
      <c r="H6" s="46" t="s">
        <v>180</v>
      </c>
      <c r="I6" s="46" t="s">
        <v>732</v>
      </c>
      <c r="J6" s="46" t="s">
        <v>1010</v>
      </c>
      <c r="K6" s="46" t="str">
        <f>"933,1808"</f>
        <v>933,1808</v>
      </c>
      <c r="L6" s="10" t="s">
        <v>45</v>
      </c>
    </row>
    <row r="7" spans="1:12" s="2" customFormat="1" ht="12.75">
      <c r="A7" s="66"/>
      <c r="B7" s="57"/>
      <c r="F7" s="5"/>
      <c r="G7" s="5"/>
      <c r="H7" s="66"/>
      <c r="I7" s="66"/>
      <c r="J7" s="66"/>
      <c r="L7" s="5"/>
    </row>
    <row r="8" spans="1:11" ht="15.75">
      <c r="A8" s="1"/>
      <c r="B8" s="144" t="s">
        <v>25</v>
      </c>
      <c r="C8" s="136"/>
      <c r="D8" s="136"/>
      <c r="E8" s="136"/>
      <c r="F8" s="136"/>
      <c r="G8" s="136"/>
      <c r="H8" s="136"/>
      <c r="I8" s="136"/>
      <c r="J8" s="136"/>
      <c r="K8" s="136"/>
    </row>
    <row r="9" spans="1:12" ht="12.75">
      <c r="A9" s="67" t="s">
        <v>689</v>
      </c>
      <c r="B9" s="58" t="s">
        <v>733</v>
      </c>
      <c r="C9" s="11" t="s">
        <v>734</v>
      </c>
      <c r="D9" s="11" t="s">
        <v>735</v>
      </c>
      <c r="E9" s="11" t="str">
        <f>"0,7262"</f>
        <v>0,7262</v>
      </c>
      <c r="F9" s="14" t="s">
        <v>15</v>
      </c>
      <c r="G9" s="14" t="s">
        <v>462</v>
      </c>
      <c r="H9" s="67" t="s">
        <v>128</v>
      </c>
      <c r="I9" s="67" t="s">
        <v>732</v>
      </c>
      <c r="J9" s="67" t="s">
        <v>1011</v>
      </c>
      <c r="K9" s="67" t="str">
        <f>"915,0750"</f>
        <v>915,0750</v>
      </c>
      <c r="L9" s="14" t="s">
        <v>1015</v>
      </c>
    </row>
    <row r="10" spans="1:12" ht="12.75">
      <c r="A10" s="69" t="s">
        <v>689</v>
      </c>
      <c r="B10" s="60" t="s">
        <v>493</v>
      </c>
      <c r="C10" s="13" t="s">
        <v>494</v>
      </c>
      <c r="D10" s="13" t="s">
        <v>495</v>
      </c>
      <c r="E10" s="13" t="str">
        <f>"0,7117"</f>
        <v>0,7117</v>
      </c>
      <c r="F10" s="16" t="s">
        <v>15</v>
      </c>
      <c r="G10" s="16" t="s">
        <v>16</v>
      </c>
      <c r="H10" s="69" t="s">
        <v>331</v>
      </c>
      <c r="I10" s="69" t="s">
        <v>702</v>
      </c>
      <c r="J10" s="69">
        <v>2102.5</v>
      </c>
      <c r="K10" s="69" t="str">
        <f>"1496,3493"</f>
        <v>1496,3493</v>
      </c>
      <c r="L10" s="16" t="s">
        <v>823</v>
      </c>
    </row>
    <row r="11" spans="1:12" ht="12.75">
      <c r="A11" s="69" t="s">
        <v>785</v>
      </c>
      <c r="B11" s="60" t="s">
        <v>487</v>
      </c>
      <c r="C11" s="13" t="s">
        <v>488</v>
      </c>
      <c r="D11" s="13" t="s">
        <v>489</v>
      </c>
      <c r="E11" s="13" t="str">
        <f>"0,6920"</f>
        <v>0,6920</v>
      </c>
      <c r="F11" s="16" t="s">
        <v>232</v>
      </c>
      <c r="G11" s="16" t="s">
        <v>233</v>
      </c>
      <c r="H11" s="69" t="s">
        <v>138</v>
      </c>
      <c r="I11" s="69" t="s">
        <v>736</v>
      </c>
      <c r="J11" s="69" t="s">
        <v>1012</v>
      </c>
      <c r="K11" s="69" t="str">
        <f>"1245,5100"</f>
        <v>1245,5100</v>
      </c>
      <c r="L11" s="16" t="s">
        <v>904</v>
      </c>
    </row>
    <row r="12" spans="1:12" ht="12.75">
      <c r="A12" s="68" t="s">
        <v>689</v>
      </c>
      <c r="B12" s="59" t="s">
        <v>737</v>
      </c>
      <c r="C12" s="12" t="s">
        <v>738</v>
      </c>
      <c r="D12" s="12" t="s">
        <v>739</v>
      </c>
      <c r="E12" s="12" t="str">
        <f>"0,7402"</f>
        <v>0,7402</v>
      </c>
      <c r="F12" s="15" t="s">
        <v>15</v>
      </c>
      <c r="G12" s="15" t="s">
        <v>462</v>
      </c>
      <c r="H12" s="68" t="s">
        <v>128</v>
      </c>
      <c r="I12" s="68" t="s">
        <v>740</v>
      </c>
      <c r="J12" s="68" t="s">
        <v>1013</v>
      </c>
      <c r="K12" s="68" t="str">
        <f>"1873,5942"</f>
        <v>1873,5942</v>
      </c>
      <c r="L12" s="15" t="s">
        <v>45</v>
      </c>
    </row>
    <row r="14" spans="1:11" ht="15.75">
      <c r="A14" s="1"/>
      <c r="B14" s="144" t="s">
        <v>207</v>
      </c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2" ht="12.75">
      <c r="A15" s="46" t="s">
        <v>689</v>
      </c>
      <c r="B15" s="56" t="s">
        <v>482</v>
      </c>
      <c r="C15" s="9" t="s">
        <v>483</v>
      </c>
      <c r="D15" s="9" t="s">
        <v>657</v>
      </c>
      <c r="E15" s="9" t="str">
        <f>"0,6446"</f>
        <v>0,6446</v>
      </c>
      <c r="F15" s="10" t="s">
        <v>232</v>
      </c>
      <c r="G15" s="10" t="s">
        <v>233</v>
      </c>
      <c r="H15" s="46" t="s">
        <v>148</v>
      </c>
      <c r="I15" s="46" t="s">
        <v>741</v>
      </c>
      <c r="J15" s="46">
        <v>2062.5</v>
      </c>
      <c r="K15" s="46" t="str">
        <f>"1329,4874"</f>
        <v>1329,4874</v>
      </c>
      <c r="L15" s="10" t="s">
        <v>45</v>
      </c>
    </row>
    <row r="17" spans="1:11" ht="15.75">
      <c r="A17" s="1"/>
      <c r="B17" s="144" t="s">
        <v>41</v>
      </c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2" ht="12.75">
      <c r="A18" s="67" t="s">
        <v>689</v>
      </c>
      <c r="B18" s="58" t="s">
        <v>522</v>
      </c>
      <c r="C18" s="11" t="s">
        <v>523</v>
      </c>
      <c r="D18" s="11" t="s">
        <v>524</v>
      </c>
      <c r="E18" s="11" t="str">
        <f>"0,6331"</f>
        <v>0,6331</v>
      </c>
      <c r="F18" s="14" t="s">
        <v>164</v>
      </c>
      <c r="G18" s="14" t="s">
        <v>224</v>
      </c>
      <c r="H18" s="67" t="s">
        <v>20</v>
      </c>
      <c r="I18" s="67" t="s">
        <v>740</v>
      </c>
      <c r="J18" s="67" t="s">
        <v>750</v>
      </c>
      <c r="K18" s="67" t="str">
        <f>"1722,0319"</f>
        <v>1722,0319</v>
      </c>
      <c r="L18" s="14" t="s">
        <v>45</v>
      </c>
    </row>
    <row r="19" spans="1:12" ht="12.75">
      <c r="A19" s="69" t="s">
        <v>785</v>
      </c>
      <c r="B19" s="60" t="s">
        <v>527</v>
      </c>
      <c r="C19" s="13" t="s">
        <v>528</v>
      </c>
      <c r="D19" s="13" t="s">
        <v>529</v>
      </c>
      <c r="E19" s="97" t="str">
        <f>"0,6255"</f>
        <v>0,6255</v>
      </c>
      <c r="F19" s="26" t="s">
        <v>631</v>
      </c>
      <c r="G19" s="98" t="s">
        <v>310</v>
      </c>
      <c r="H19" s="69" t="s">
        <v>171</v>
      </c>
      <c r="I19" s="69" t="s">
        <v>716</v>
      </c>
      <c r="J19" s="69">
        <v>2012.5</v>
      </c>
      <c r="K19" s="69" t="str">
        <f>"1258,8188"</f>
        <v>1258,8188</v>
      </c>
      <c r="L19" s="16" t="s">
        <v>905</v>
      </c>
    </row>
    <row r="20" spans="1:12" ht="12.75">
      <c r="A20" s="69" t="s">
        <v>786</v>
      </c>
      <c r="B20" s="60" t="s">
        <v>236</v>
      </c>
      <c r="C20" s="13" t="s">
        <v>237</v>
      </c>
      <c r="D20" s="13" t="s">
        <v>238</v>
      </c>
      <c r="E20" s="13" t="str">
        <f>"0,6201"</f>
        <v>0,6201</v>
      </c>
      <c r="F20" s="16" t="s">
        <v>164</v>
      </c>
      <c r="G20" s="16" t="s">
        <v>224</v>
      </c>
      <c r="H20" s="69" t="s">
        <v>131</v>
      </c>
      <c r="I20" s="69" t="s">
        <v>742</v>
      </c>
      <c r="J20" s="69" t="s">
        <v>1014</v>
      </c>
      <c r="K20" s="69" t="str">
        <f>"1060,3710"</f>
        <v>1060,3710</v>
      </c>
      <c r="L20" s="16" t="s">
        <v>45</v>
      </c>
    </row>
    <row r="21" spans="1:12" ht="12.75">
      <c r="A21" s="69" t="s">
        <v>787</v>
      </c>
      <c r="B21" s="60" t="s">
        <v>743</v>
      </c>
      <c r="C21" s="13" t="s">
        <v>744</v>
      </c>
      <c r="D21" s="13" t="s">
        <v>745</v>
      </c>
      <c r="E21" s="13" t="str">
        <f>"0,6392"</f>
        <v>0,6392</v>
      </c>
      <c r="F21" s="16" t="s">
        <v>164</v>
      </c>
      <c r="G21" s="16" t="s">
        <v>224</v>
      </c>
      <c r="H21" s="69" t="s">
        <v>20</v>
      </c>
      <c r="I21" s="69" t="s">
        <v>746</v>
      </c>
      <c r="J21" s="69">
        <v>1275</v>
      </c>
      <c r="K21" s="69" t="str">
        <f>"814,9800"</f>
        <v>814,9800</v>
      </c>
      <c r="L21" s="16" t="s">
        <v>906</v>
      </c>
    </row>
    <row r="22" spans="1:12" ht="12.75">
      <c r="A22" s="68"/>
      <c r="B22" s="59" t="s">
        <v>530</v>
      </c>
      <c r="C22" s="12" t="s">
        <v>531</v>
      </c>
      <c r="D22" s="12" t="s">
        <v>238</v>
      </c>
      <c r="E22" s="12" t="str">
        <f>"0,6201"</f>
        <v>0,6201</v>
      </c>
      <c r="F22" s="15" t="s">
        <v>164</v>
      </c>
      <c r="G22" s="15" t="s">
        <v>224</v>
      </c>
      <c r="H22" s="68" t="s">
        <v>131</v>
      </c>
      <c r="I22" s="68" t="s">
        <v>747</v>
      </c>
      <c r="J22" s="68">
        <v>0</v>
      </c>
      <c r="K22" s="68" t="s">
        <v>801</v>
      </c>
      <c r="L22" s="15" t="s">
        <v>906</v>
      </c>
    </row>
    <row r="24" spans="1:11" ht="15.75">
      <c r="A24" s="1"/>
      <c r="B24" s="144" t="s">
        <v>57</v>
      </c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2" ht="12.75">
      <c r="A25" s="46" t="s">
        <v>689</v>
      </c>
      <c r="B25" s="56" t="s">
        <v>548</v>
      </c>
      <c r="C25" s="9" t="s">
        <v>549</v>
      </c>
      <c r="D25" s="9" t="s">
        <v>550</v>
      </c>
      <c r="E25" s="9" t="str">
        <f>"0,5818"</f>
        <v>0,5818</v>
      </c>
      <c r="F25" s="23" t="s">
        <v>631</v>
      </c>
      <c r="G25" s="10" t="s">
        <v>322</v>
      </c>
      <c r="H25" s="46" t="s">
        <v>17</v>
      </c>
      <c r="I25" s="46" t="s">
        <v>713</v>
      </c>
      <c r="J25" s="46" t="s">
        <v>752</v>
      </c>
      <c r="K25" s="46" t="str">
        <f>"1512,6800"</f>
        <v>1512,6800</v>
      </c>
      <c r="L25" s="10" t="s">
        <v>910</v>
      </c>
    </row>
    <row r="27" spans="1:11" ht="15.75">
      <c r="A27" s="1"/>
      <c r="B27" s="144" t="s">
        <v>95</v>
      </c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2" ht="12.75">
      <c r="A28" s="46" t="s">
        <v>689</v>
      </c>
      <c r="B28" s="56" t="s">
        <v>561</v>
      </c>
      <c r="C28" s="9" t="s">
        <v>562</v>
      </c>
      <c r="D28" s="9" t="s">
        <v>563</v>
      </c>
      <c r="E28" s="9" t="str">
        <f>"0,5767"</f>
        <v>0,5767</v>
      </c>
      <c r="F28" s="10" t="s">
        <v>232</v>
      </c>
      <c r="G28" s="10" t="s">
        <v>233</v>
      </c>
      <c r="H28" s="46" t="s">
        <v>622</v>
      </c>
      <c r="I28" s="46" t="s">
        <v>740</v>
      </c>
      <c r="J28" s="46" t="s">
        <v>748</v>
      </c>
      <c r="K28" s="46" t="str">
        <f>"1891,5759"</f>
        <v>1891,5759</v>
      </c>
      <c r="L28" s="10" t="s">
        <v>823</v>
      </c>
    </row>
    <row r="30" spans="2:3" ht="18">
      <c r="B30" s="61" t="s">
        <v>107</v>
      </c>
      <c r="C30" s="17"/>
    </row>
    <row r="31" spans="2:3" ht="15.75">
      <c r="B31" s="62" t="s">
        <v>116</v>
      </c>
      <c r="C31" s="18"/>
    </row>
    <row r="32" spans="2:3" ht="13.5">
      <c r="B32" s="63"/>
      <c r="C32" s="19" t="s">
        <v>109</v>
      </c>
    </row>
    <row r="33" spans="2:6" ht="13.5">
      <c r="B33" s="64" t="s">
        <v>110</v>
      </c>
      <c r="C33" s="20" t="s">
        <v>111</v>
      </c>
      <c r="D33" s="20" t="s">
        <v>112</v>
      </c>
      <c r="E33" s="20" t="s">
        <v>795</v>
      </c>
      <c r="F33" s="20" t="s">
        <v>114</v>
      </c>
    </row>
    <row r="34" spans="1:6" ht="12.75">
      <c r="A34" s="66" t="s">
        <v>689</v>
      </c>
      <c r="B34" s="65" t="s">
        <v>561</v>
      </c>
      <c r="C34" s="2" t="s">
        <v>109</v>
      </c>
      <c r="D34" s="2" t="s">
        <v>1009</v>
      </c>
      <c r="E34" s="2" t="s">
        <v>748</v>
      </c>
      <c r="F34" s="3" t="s">
        <v>749</v>
      </c>
    </row>
    <row r="35" spans="1:6" ht="12.75">
      <c r="A35" s="66" t="s">
        <v>785</v>
      </c>
      <c r="B35" s="65" t="s">
        <v>522</v>
      </c>
      <c r="C35" s="2" t="s">
        <v>109</v>
      </c>
      <c r="D35" s="2" t="s">
        <v>131</v>
      </c>
      <c r="E35" s="2" t="s">
        <v>750</v>
      </c>
      <c r="F35" s="3" t="s">
        <v>751</v>
      </c>
    </row>
    <row r="36" spans="1:6" ht="12.75">
      <c r="A36" s="66" t="s">
        <v>786</v>
      </c>
      <c r="B36" s="65" t="s">
        <v>548</v>
      </c>
      <c r="C36" s="2" t="s">
        <v>109</v>
      </c>
      <c r="D36" s="2" t="s">
        <v>17</v>
      </c>
      <c r="E36" s="2" t="s">
        <v>752</v>
      </c>
      <c r="F36" s="3" t="s">
        <v>753</v>
      </c>
    </row>
  </sheetData>
  <sheetProtection/>
  <mergeCells count="18">
    <mergeCell ref="B1:P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7:K27"/>
    <mergeCell ref="L3:L4"/>
    <mergeCell ref="B5:K5"/>
    <mergeCell ref="B8:K8"/>
    <mergeCell ref="B14:K14"/>
    <mergeCell ref="B17:K17"/>
    <mergeCell ref="B24:K24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4">
      <selection activeCell="F12" sqref="F12"/>
    </sheetView>
  </sheetViews>
  <sheetFormatPr defaultColWidth="8.75390625" defaultRowHeight="12.75"/>
  <cols>
    <col min="1" max="1" width="7.875" style="36" bestFit="1" customWidth="1"/>
    <col min="2" max="2" width="22.875" style="22" customWidth="1"/>
    <col min="3" max="3" width="26.875" style="22" bestFit="1" customWidth="1"/>
    <col min="4" max="4" width="10.625" style="22" bestFit="1" customWidth="1"/>
    <col min="5" max="5" width="8.375" style="22" bestFit="1" customWidth="1"/>
    <col min="6" max="6" width="30.625" style="22" customWidth="1"/>
    <col min="7" max="7" width="30.375" style="22" bestFit="1" customWidth="1"/>
    <col min="8" max="8" width="6.875" style="36" customWidth="1"/>
    <col min="9" max="9" width="12.125" style="36" customWidth="1"/>
    <col min="10" max="10" width="9.125" style="36" customWidth="1"/>
    <col min="11" max="11" width="9.625" style="22" bestFit="1" customWidth="1"/>
    <col min="12" max="12" width="16.625" style="22" bestFit="1" customWidth="1"/>
    <col min="13" max="20" width="9.125" style="0" hidden="1" customWidth="1"/>
  </cols>
  <sheetData>
    <row r="1" spans="2:20" s="1" customFormat="1" ht="15" customHeight="1">
      <c r="B1" s="124" t="s">
        <v>1029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6"/>
    </row>
    <row r="2" spans="2:20" s="1" customFormat="1" ht="96.7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/>
    </row>
    <row r="3" spans="1:12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5</v>
      </c>
      <c r="I3" s="132"/>
      <c r="J3" s="130" t="s">
        <v>795</v>
      </c>
      <c r="K3" s="132" t="s">
        <v>9</v>
      </c>
      <c r="L3" s="146" t="s">
        <v>10</v>
      </c>
    </row>
    <row r="4" spans="1:12" s="4" customFormat="1" ht="23.25" customHeight="1" thickBot="1">
      <c r="A4" s="131"/>
      <c r="B4" s="140"/>
      <c r="C4" s="133"/>
      <c r="D4" s="133"/>
      <c r="E4" s="133"/>
      <c r="F4" s="133"/>
      <c r="G4" s="123"/>
      <c r="H4" s="6" t="s">
        <v>700</v>
      </c>
      <c r="I4" s="7" t="s">
        <v>701</v>
      </c>
      <c r="J4" s="131"/>
      <c r="K4" s="133"/>
      <c r="L4" s="147"/>
    </row>
    <row r="5" spans="1:11" ht="15.75">
      <c r="A5"/>
      <c r="B5" s="137" t="s">
        <v>167</v>
      </c>
      <c r="C5" s="137"/>
      <c r="D5" s="137"/>
      <c r="E5" s="137"/>
      <c r="F5" s="137"/>
      <c r="G5" s="137"/>
      <c r="H5" s="137"/>
      <c r="I5" s="137"/>
      <c r="J5" s="137"/>
      <c r="K5" s="137"/>
    </row>
    <row r="6" spans="1:12" ht="12.75">
      <c r="A6" s="35" t="s">
        <v>689</v>
      </c>
      <c r="B6" s="23" t="s">
        <v>368</v>
      </c>
      <c r="C6" s="23" t="s">
        <v>369</v>
      </c>
      <c r="D6" s="23" t="s">
        <v>370</v>
      </c>
      <c r="E6" s="23" t="str">
        <f>"1,0024"</f>
        <v>1,0024</v>
      </c>
      <c r="F6" s="23" t="s">
        <v>15</v>
      </c>
      <c r="G6" s="23" t="s">
        <v>821</v>
      </c>
      <c r="H6" s="35" t="s">
        <v>127</v>
      </c>
      <c r="I6" s="35" t="s">
        <v>999</v>
      </c>
      <c r="J6" s="35" t="s">
        <v>992</v>
      </c>
      <c r="K6" s="79" t="str">
        <f>"1744,1761"</f>
        <v>1744,1761</v>
      </c>
      <c r="L6" s="23" t="s">
        <v>931</v>
      </c>
    </row>
    <row r="8" spans="1:11" ht="15.75">
      <c r="A8"/>
      <c r="B8" s="136" t="s">
        <v>25</v>
      </c>
      <c r="C8" s="136"/>
      <c r="D8" s="136"/>
      <c r="E8" s="136"/>
      <c r="F8" s="136"/>
      <c r="G8" s="136"/>
      <c r="H8" s="136"/>
      <c r="I8" s="136"/>
      <c r="J8" s="136"/>
      <c r="K8" s="136"/>
    </row>
    <row r="9" spans="1:12" ht="12.75">
      <c r="A9" s="35" t="s">
        <v>689</v>
      </c>
      <c r="B9" s="23" t="s">
        <v>703</v>
      </c>
      <c r="C9" s="23" t="s">
        <v>704</v>
      </c>
      <c r="D9" s="23" t="s">
        <v>705</v>
      </c>
      <c r="E9" s="23" t="str">
        <f>"0,8881"</f>
        <v>0,8881</v>
      </c>
      <c r="F9" s="23" t="s">
        <v>631</v>
      </c>
      <c r="G9" s="23" t="s">
        <v>952</v>
      </c>
      <c r="H9" s="35" t="s">
        <v>128</v>
      </c>
      <c r="I9" s="35" t="s">
        <v>1000</v>
      </c>
      <c r="J9" s="35" t="s">
        <v>993</v>
      </c>
      <c r="K9" s="79" t="str">
        <f>"994,6160"</f>
        <v>994,6160</v>
      </c>
      <c r="L9" s="23" t="s">
        <v>850</v>
      </c>
    </row>
    <row r="11" spans="1:11" ht="15.75">
      <c r="A11"/>
      <c r="B11" s="136" t="s">
        <v>12</v>
      </c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2" ht="12.75">
      <c r="A12" s="35" t="s">
        <v>689</v>
      </c>
      <c r="B12" s="23" t="s">
        <v>706</v>
      </c>
      <c r="C12" s="23" t="s">
        <v>707</v>
      </c>
      <c r="D12" s="23" t="s">
        <v>14</v>
      </c>
      <c r="E12" s="23" t="str">
        <f>"0,7494"</f>
        <v>0,7494</v>
      </c>
      <c r="F12" s="23" t="s">
        <v>15</v>
      </c>
      <c r="G12" s="23" t="s">
        <v>16</v>
      </c>
      <c r="H12" s="35" t="s">
        <v>180</v>
      </c>
      <c r="I12" s="35" t="s">
        <v>999</v>
      </c>
      <c r="J12" s="35">
        <v>1957.5</v>
      </c>
      <c r="K12" s="79" t="str">
        <f>"1466,8526"</f>
        <v>1466,8526</v>
      </c>
      <c r="L12" s="23" t="s">
        <v>45</v>
      </c>
    </row>
    <row r="14" spans="1:11" ht="15.75">
      <c r="A14"/>
      <c r="B14" s="136" t="s">
        <v>207</v>
      </c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2" ht="12.75">
      <c r="A15" s="39" t="s">
        <v>689</v>
      </c>
      <c r="B15" s="24" t="s">
        <v>708</v>
      </c>
      <c r="C15" s="24" t="s">
        <v>709</v>
      </c>
      <c r="D15" s="24" t="s">
        <v>710</v>
      </c>
      <c r="E15" s="24" t="str">
        <f>"0,6768"</f>
        <v>0,6768</v>
      </c>
      <c r="F15" s="24" t="s">
        <v>15</v>
      </c>
      <c r="G15" s="24" t="s">
        <v>711</v>
      </c>
      <c r="H15" s="39" t="s">
        <v>712</v>
      </c>
      <c r="I15" s="39" t="s">
        <v>1001</v>
      </c>
      <c r="J15" s="39" t="s">
        <v>994</v>
      </c>
      <c r="K15" s="80" t="str">
        <f>"1363,6513"</f>
        <v>1363,6513</v>
      </c>
      <c r="L15" s="24" t="s">
        <v>45</v>
      </c>
    </row>
    <row r="16" spans="1:12" ht="12.75">
      <c r="A16" s="40" t="s">
        <v>689</v>
      </c>
      <c r="B16" s="25" t="s">
        <v>714</v>
      </c>
      <c r="C16" s="25" t="s">
        <v>715</v>
      </c>
      <c r="D16" s="25" t="s">
        <v>217</v>
      </c>
      <c r="E16" s="25" t="str">
        <f>"0,6550"</f>
        <v>0,6550</v>
      </c>
      <c r="F16" s="25" t="s">
        <v>99</v>
      </c>
      <c r="G16" s="25" t="s">
        <v>100</v>
      </c>
      <c r="H16" s="40" t="s">
        <v>148</v>
      </c>
      <c r="I16" s="40" t="s">
        <v>1002</v>
      </c>
      <c r="J16" s="40">
        <v>1897.5</v>
      </c>
      <c r="K16" s="81" t="str">
        <f>"1242,9573"</f>
        <v>1242,9573</v>
      </c>
      <c r="L16" s="25" t="s">
        <v>45</v>
      </c>
    </row>
    <row r="18" spans="1:11" ht="15.75">
      <c r="A18"/>
      <c r="B18" s="136" t="s">
        <v>41</v>
      </c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2" ht="12.75">
      <c r="A19" s="39" t="s">
        <v>689</v>
      </c>
      <c r="B19" s="24" t="s">
        <v>717</v>
      </c>
      <c r="C19" s="24" t="s">
        <v>718</v>
      </c>
      <c r="D19" s="24" t="s">
        <v>719</v>
      </c>
      <c r="E19" s="24" t="str">
        <f>"0,6313"</f>
        <v>0,6313</v>
      </c>
      <c r="F19" s="24" t="s">
        <v>15</v>
      </c>
      <c r="G19" s="24" t="s">
        <v>16</v>
      </c>
      <c r="H19" s="39" t="s">
        <v>171</v>
      </c>
      <c r="I19" s="39" t="s">
        <v>1003</v>
      </c>
      <c r="J19" s="39" t="s">
        <v>995</v>
      </c>
      <c r="K19" s="80" t="str">
        <f>"1877,9688"</f>
        <v>1877,9688</v>
      </c>
      <c r="L19" s="24" t="s">
        <v>45</v>
      </c>
    </row>
    <row r="20" spans="1:12" ht="12.75">
      <c r="A20" s="52" t="s">
        <v>785</v>
      </c>
      <c r="B20" s="26" t="s">
        <v>720</v>
      </c>
      <c r="C20" s="26" t="s">
        <v>721</v>
      </c>
      <c r="D20" s="26" t="s">
        <v>540</v>
      </c>
      <c r="E20" s="26" t="str">
        <f>"0,6130"</f>
        <v>0,6130</v>
      </c>
      <c r="F20" s="26" t="s">
        <v>15</v>
      </c>
      <c r="G20" s="26" t="s">
        <v>184</v>
      </c>
      <c r="H20" s="52" t="s">
        <v>131</v>
      </c>
      <c r="I20" s="52" t="s">
        <v>1004</v>
      </c>
      <c r="J20" s="52" t="s">
        <v>996</v>
      </c>
      <c r="K20" s="83" t="str">
        <f>"1820,6099"</f>
        <v>1820,6099</v>
      </c>
      <c r="L20" s="26" t="s">
        <v>45</v>
      </c>
    </row>
    <row r="21" spans="1:12" ht="12.75">
      <c r="A21" s="52" t="s">
        <v>786</v>
      </c>
      <c r="B21" s="26" t="s">
        <v>591</v>
      </c>
      <c r="C21" s="26" t="s">
        <v>592</v>
      </c>
      <c r="D21" s="26" t="s">
        <v>535</v>
      </c>
      <c r="E21" s="26" t="str">
        <f>"0,6259"</f>
        <v>0,6259</v>
      </c>
      <c r="F21" s="26" t="s">
        <v>48</v>
      </c>
      <c r="G21" s="26" t="s">
        <v>49</v>
      </c>
      <c r="H21" s="52" t="s">
        <v>171</v>
      </c>
      <c r="I21" s="52" t="s">
        <v>999</v>
      </c>
      <c r="J21" s="52">
        <v>2537.5</v>
      </c>
      <c r="K21" s="83" t="str">
        <f>"1588,3481"</f>
        <v>1588,3481</v>
      </c>
      <c r="L21" s="26" t="s">
        <v>930</v>
      </c>
    </row>
    <row r="22" spans="1:12" ht="12.75">
      <c r="A22" s="40" t="s">
        <v>689</v>
      </c>
      <c r="B22" s="25" t="s">
        <v>722</v>
      </c>
      <c r="C22" s="25" t="s">
        <v>723</v>
      </c>
      <c r="D22" s="25" t="s">
        <v>724</v>
      </c>
      <c r="E22" s="25" t="str">
        <f>"0,6263"</f>
        <v>0,6263</v>
      </c>
      <c r="F22" s="25" t="s">
        <v>99</v>
      </c>
      <c r="G22" s="25" t="s">
        <v>100</v>
      </c>
      <c r="H22" s="40" t="s">
        <v>171</v>
      </c>
      <c r="I22" s="40" t="s">
        <v>1005</v>
      </c>
      <c r="J22" s="40">
        <v>3062.5</v>
      </c>
      <c r="K22" s="81" t="str">
        <f>"1937,3788"</f>
        <v>1937,3788</v>
      </c>
      <c r="L22" s="25" t="s">
        <v>45</v>
      </c>
    </row>
    <row r="24" spans="1:11" ht="15.75">
      <c r="A24"/>
      <c r="B24" s="136" t="s">
        <v>57</v>
      </c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2" s="78" customFormat="1" ht="12.75">
      <c r="A25" s="35" t="s">
        <v>689</v>
      </c>
      <c r="B25" s="23" t="s">
        <v>405</v>
      </c>
      <c r="C25" s="23" t="s">
        <v>725</v>
      </c>
      <c r="D25" s="23" t="s">
        <v>407</v>
      </c>
      <c r="E25" s="23" t="str">
        <f>"0,5835"</f>
        <v>0,5835</v>
      </c>
      <c r="F25" s="23" t="s">
        <v>15</v>
      </c>
      <c r="G25" s="23" t="s">
        <v>364</v>
      </c>
      <c r="H25" s="35" t="s">
        <v>17</v>
      </c>
      <c r="I25" s="35" t="s">
        <v>1006</v>
      </c>
      <c r="J25" s="35" t="s">
        <v>997</v>
      </c>
      <c r="K25" s="79" t="str">
        <f>"1363,9314"</f>
        <v>1363,9314</v>
      </c>
      <c r="L25" s="23" t="s">
        <v>45</v>
      </c>
    </row>
    <row r="27" spans="1:11" ht="15.75">
      <c r="A27"/>
      <c r="B27" s="136" t="s">
        <v>95</v>
      </c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2" ht="12.75">
      <c r="A28" s="35" t="s">
        <v>689</v>
      </c>
      <c r="B28" s="23" t="s">
        <v>726</v>
      </c>
      <c r="C28" s="23" t="s">
        <v>727</v>
      </c>
      <c r="D28" s="23" t="s">
        <v>728</v>
      </c>
      <c r="E28" s="23" t="str">
        <f>"0,5789"</f>
        <v>0,5789</v>
      </c>
      <c r="F28" s="23" t="s">
        <v>15</v>
      </c>
      <c r="G28" s="23" t="s">
        <v>16</v>
      </c>
      <c r="H28" s="35" t="s">
        <v>622</v>
      </c>
      <c r="I28" s="35" t="s">
        <v>1007</v>
      </c>
      <c r="J28" s="35" t="s">
        <v>998</v>
      </c>
      <c r="K28" s="79" t="str">
        <f>"1661,5865"</f>
        <v>1661,5865</v>
      </c>
      <c r="L28" s="23" t="s">
        <v>823</v>
      </c>
    </row>
  </sheetData>
  <sheetProtection/>
  <mergeCells count="19">
    <mergeCell ref="B1:T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4:K24"/>
    <mergeCell ref="B27:K27"/>
    <mergeCell ref="L3:L4"/>
    <mergeCell ref="B5:K5"/>
    <mergeCell ref="B8:K8"/>
    <mergeCell ref="B11:K11"/>
    <mergeCell ref="B14:K14"/>
    <mergeCell ref="B18:K1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B1" sqref="B1:N2"/>
    </sheetView>
  </sheetViews>
  <sheetFormatPr defaultColWidth="8.75390625" defaultRowHeight="12.75"/>
  <cols>
    <col min="1" max="1" width="7.875" style="36" bestFit="1" customWidth="1"/>
    <col min="2" max="2" width="26.00390625" style="22" bestFit="1" customWidth="1"/>
    <col min="3" max="3" width="26.875" style="22" bestFit="1" customWidth="1"/>
    <col min="4" max="4" width="10.625" style="22" bestFit="1" customWidth="1"/>
    <col min="5" max="5" width="8.375" style="22" bestFit="1" customWidth="1"/>
    <col min="6" max="6" width="15.625" style="22" customWidth="1"/>
    <col min="7" max="7" width="28.625" style="22" bestFit="1" customWidth="1"/>
    <col min="8" max="10" width="5.625" style="36" bestFit="1" customWidth="1"/>
    <col min="11" max="11" width="5.125" style="36" bestFit="1" customWidth="1"/>
    <col min="12" max="12" width="12.00390625" style="36" customWidth="1"/>
    <col min="13" max="13" width="8.625" style="22" bestFit="1" customWidth="1"/>
    <col min="14" max="14" width="15.375" style="22" customWidth="1"/>
  </cols>
  <sheetData>
    <row r="1" spans="2:14" s="1" customFormat="1" ht="15" customHeight="1">
      <c r="B1" s="124" t="s">
        <v>1045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s="1" customFormat="1" ht="83.2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3</v>
      </c>
      <c r="H3" s="139" t="s">
        <v>5</v>
      </c>
      <c r="I3" s="132"/>
      <c r="J3" s="132"/>
      <c r="K3" s="146"/>
      <c r="L3" s="130" t="s">
        <v>690</v>
      </c>
      <c r="M3" s="132" t="s">
        <v>9</v>
      </c>
      <c r="N3" s="146" t="s">
        <v>10</v>
      </c>
    </row>
    <row r="4" spans="1:14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131"/>
      <c r="M4" s="133"/>
      <c r="N4" s="147"/>
    </row>
    <row r="5" spans="1:13" ht="15.75">
      <c r="A5"/>
      <c r="B5" s="137" t="s">
        <v>167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2.75">
      <c r="A6" s="35" t="s">
        <v>689</v>
      </c>
      <c r="B6" s="23" t="s">
        <v>877</v>
      </c>
      <c r="C6" s="23" t="s">
        <v>593</v>
      </c>
      <c r="D6" s="23" t="s">
        <v>594</v>
      </c>
      <c r="E6" s="23" t="str">
        <f>"0,8523"</f>
        <v>0,8523</v>
      </c>
      <c r="F6" s="23" t="s">
        <v>15</v>
      </c>
      <c r="G6" s="23" t="s">
        <v>16</v>
      </c>
      <c r="H6" s="38" t="s">
        <v>37</v>
      </c>
      <c r="I6" s="37" t="s">
        <v>38</v>
      </c>
      <c r="J6" s="37" t="s">
        <v>35</v>
      </c>
      <c r="K6" s="34"/>
      <c r="L6" s="35" t="s">
        <v>37</v>
      </c>
      <c r="M6" s="79" t="str">
        <f>"93,7585"</f>
        <v>93,7585</v>
      </c>
      <c r="N6" s="23" t="s">
        <v>879</v>
      </c>
    </row>
    <row r="8" spans="1:13" ht="15.75">
      <c r="A8"/>
      <c r="B8" s="136" t="s">
        <v>41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4" ht="12.75">
      <c r="A9" s="35" t="s">
        <v>689</v>
      </c>
      <c r="B9" s="23" t="s">
        <v>595</v>
      </c>
      <c r="C9" s="23" t="s">
        <v>596</v>
      </c>
      <c r="D9" s="23" t="s">
        <v>597</v>
      </c>
      <c r="E9" s="23" t="str">
        <f>"0,6326"</f>
        <v>0,6326</v>
      </c>
      <c r="F9" s="23" t="s">
        <v>15</v>
      </c>
      <c r="G9" s="23" t="s">
        <v>16</v>
      </c>
      <c r="H9" s="38" t="s">
        <v>131</v>
      </c>
      <c r="I9" s="38" t="s">
        <v>165</v>
      </c>
      <c r="J9" s="37" t="s">
        <v>166</v>
      </c>
      <c r="K9" s="34"/>
      <c r="L9" s="35" t="s">
        <v>165</v>
      </c>
      <c r="M9" s="79" t="str">
        <f>"66,4230"</f>
        <v>66,4230</v>
      </c>
      <c r="N9" s="23" t="s">
        <v>879</v>
      </c>
    </row>
    <row r="11" spans="1:13" ht="15.75">
      <c r="A11"/>
      <c r="B11" s="136" t="s">
        <v>355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4" ht="12.75">
      <c r="A12" s="35" t="s">
        <v>689</v>
      </c>
      <c r="B12" s="23" t="s">
        <v>878</v>
      </c>
      <c r="C12" s="23" t="s">
        <v>598</v>
      </c>
      <c r="D12" s="23" t="s">
        <v>599</v>
      </c>
      <c r="E12" s="23" t="str">
        <f>"0,5442"</f>
        <v>0,5442</v>
      </c>
      <c r="F12" s="23" t="s">
        <v>15</v>
      </c>
      <c r="G12" s="23" t="s">
        <v>100</v>
      </c>
      <c r="H12" s="38" t="s">
        <v>89</v>
      </c>
      <c r="I12" s="38" t="s">
        <v>297</v>
      </c>
      <c r="J12" s="38" t="s">
        <v>239</v>
      </c>
      <c r="K12" s="34"/>
      <c r="L12" s="35">
        <v>187.5</v>
      </c>
      <c r="M12" s="79" t="str">
        <f>"102,0375"</f>
        <v>102,0375</v>
      </c>
      <c r="N12" s="23" t="s">
        <v>45</v>
      </c>
    </row>
  </sheetData>
  <sheetProtection/>
  <mergeCells count="15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1:M11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G31" sqref="G31"/>
    </sheetView>
  </sheetViews>
  <sheetFormatPr defaultColWidth="8.75390625" defaultRowHeight="12.75"/>
  <cols>
    <col min="1" max="1" width="7.875" style="36" bestFit="1" customWidth="1"/>
    <col min="2" max="2" width="20.125" style="22" customWidth="1"/>
    <col min="3" max="3" width="26.875" style="22" customWidth="1"/>
    <col min="4" max="4" width="10.625" style="22" bestFit="1" customWidth="1"/>
    <col min="5" max="5" width="8.375" style="22" bestFit="1" customWidth="1"/>
    <col min="6" max="6" width="17.00390625" style="22" customWidth="1"/>
    <col min="7" max="7" width="30.375" style="22" bestFit="1" customWidth="1"/>
    <col min="8" max="10" width="5.625" style="36" bestFit="1" customWidth="1"/>
    <col min="11" max="11" width="5.125" style="36" bestFit="1" customWidth="1"/>
    <col min="12" max="12" width="11.875" style="36" customWidth="1"/>
    <col min="13" max="13" width="8.625" style="22" bestFit="1" customWidth="1"/>
    <col min="14" max="14" width="15.375" style="22" customWidth="1"/>
  </cols>
  <sheetData>
    <row r="1" spans="2:14" s="1" customFormat="1" ht="15" customHeight="1">
      <c r="B1" s="124" t="s">
        <v>1044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s="1" customFormat="1" ht="81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5</v>
      </c>
      <c r="I3" s="132"/>
      <c r="J3" s="132"/>
      <c r="K3" s="146"/>
      <c r="L3" s="130" t="s">
        <v>690</v>
      </c>
      <c r="M3" s="132" t="s">
        <v>9</v>
      </c>
      <c r="N3" s="146" t="s">
        <v>10</v>
      </c>
    </row>
    <row r="4" spans="1:14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131"/>
      <c r="M4" s="133"/>
      <c r="N4" s="147"/>
    </row>
    <row r="5" spans="1:13" ht="15.75">
      <c r="A5"/>
      <c r="B5" s="137" t="s">
        <v>207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2.75">
      <c r="A6" s="35"/>
      <c r="B6" s="23" t="s">
        <v>588</v>
      </c>
      <c r="C6" s="23" t="s">
        <v>589</v>
      </c>
      <c r="D6" s="23" t="s">
        <v>590</v>
      </c>
      <c r="E6" s="23" t="str">
        <f>"0,6600"</f>
        <v>0,6600</v>
      </c>
      <c r="F6" s="23" t="s">
        <v>844</v>
      </c>
      <c r="G6" s="23" t="s">
        <v>16</v>
      </c>
      <c r="H6" s="37" t="s">
        <v>50</v>
      </c>
      <c r="I6" s="37" t="s">
        <v>94</v>
      </c>
      <c r="J6" s="37" t="s">
        <v>94</v>
      </c>
      <c r="K6" s="37"/>
      <c r="L6" s="35">
        <v>0</v>
      </c>
      <c r="M6" s="35" t="s">
        <v>801</v>
      </c>
      <c r="N6" s="23" t="s">
        <v>45</v>
      </c>
    </row>
    <row r="8" spans="1:13" ht="15.75">
      <c r="A8"/>
      <c r="B8" s="136" t="s">
        <v>41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4" ht="12.75">
      <c r="A9" s="35" t="s">
        <v>689</v>
      </c>
      <c r="B9" s="23" t="s">
        <v>880</v>
      </c>
      <c r="C9" s="23" t="s">
        <v>592</v>
      </c>
      <c r="D9" s="23" t="s">
        <v>535</v>
      </c>
      <c r="E9" s="23" t="str">
        <f>"0,6259"</f>
        <v>0,6259</v>
      </c>
      <c r="F9" s="23" t="s">
        <v>48</v>
      </c>
      <c r="G9" s="23" t="s">
        <v>49</v>
      </c>
      <c r="H9" s="37" t="s">
        <v>93</v>
      </c>
      <c r="I9" s="37" t="s">
        <v>93</v>
      </c>
      <c r="J9" s="38" t="s">
        <v>93</v>
      </c>
      <c r="K9" s="34"/>
      <c r="L9" s="35" t="s">
        <v>93</v>
      </c>
      <c r="M9" s="79" t="str">
        <f>"128,3197"</f>
        <v>128,3197</v>
      </c>
      <c r="N9" s="23" t="s">
        <v>881</v>
      </c>
    </row>
  </sheetData>
  <sheetProtection/>
  <mergeCells count="14">
    <mergeCell ref="M3:M4"/>
    <mergeCell ref="N3:N4"/>
    <mergeCell ref="A3:A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D36" sqref="D36"/>
    </sheetView>
  </sheetViews>
  <sheetFormatPr defaultColWidth="8.75390625" defaultRowHeight="12.75"/>
  <cols>
    <col min="1" max="1" width="7.875" style="36" bestFit="1" customWidth="1"/>
    <col min="2" max="2" width="20.00390625" style="22" customWidth="1"/>
    <col min="3" max="3" width="25.125" style="22" customWidth="1"/>
    <col min="4" max="4" width="10.625" style="22" bestFit="1" customWidth="1"/>
    <col min="5" max="5" width="8.375" style="22" bestFit="1" customWidth="1"/>
    <col min="6" max="6" width="19.625" style="22" customWidth="1"/>
    <col min="7" max="7" width="36.625" style="22" customWidth="1"/>
    <col min="8" max="10" width="5.625" style="36" bestFit="1" customWidth="1"/>
    <col min="11" max="11" width="5.125" style="36" bestFit="1" customWidth="1"/>
    <col min="12" max="12" width="12.00390625" style="36" customWidth="1"/>
    <col min="13" max="13" width="8.625" style="22" bestFit="1" customWidth="1"/>
    <col min="14" max="14" width="18.125" style="22" bestFit="1" customWidth="1"/>
  </cols>
  <sheetData>
    <row r="1" spans="2:14" s="1" customFormat="1" ht="15" customHeight="1">
      <c r="B1" s="124" t="s">
        <v>1043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s="1" customFormat="1" ht="87.7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5</v>
      </c>
      <c r="I3" s="132"/>
      <c r="J3" s="132"/>
      <c r="K3" s="146"/>
      <c r="L3" s="130" t="s">
        <v>690</v>
      </c>
      <c r="M3" s="132" t="s">
        <v>9</v>
      </c>
      <c r="N3" s="146" t="s">
        <v>10</v>
      </c>
    </row>
    <row r="4" spans="1:14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131"/>
      <c r="M4" s="133"/>
      <c r="N4" s="147"/>
    </row>
    <row r="5" spans="1:13" ht="15.75">
      <c r="A5"/>
      <c r="B5" s="137" t="s">
        <v>133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2.75">
      <c r="A6" s="35" t="s">
        <v>689</v>
      </c>
      <c r="B6" s="23" t="s">
        <v>882</v>
      </c>
      <c r="C6" s="23" t="s">
        <v>579</v>
      </c>
      <c r="D6" s="23" t="s">
        <v>580</v>
      </c>
      <c r="E6" s="23" t="str">
        <f>"1,1790"</f>
        <v>1,1790</v>
      </c>
      <c r="F6" s="23" t="s">
        <v>581</v>
      </c>
      <c r="G6" s="23" t="s">
        <v>820</v>
      </c>
      <c r="H6" s="38" t="s">
        <v>127</v>
      </c>
      <c r="I6" s="38" t="s">
        <v>158</v>
      </c>
      <c r="J6" s="37" t="s">
        <v>128</v>
      </c>
      <c r="K6" s="34"/>
      <c r="L6" s="35" t="s">
        <v>158</v>
      </c>
      <c r="M6" s="79" t="str">
        <f>"76,6350"</f>
        <v>76,6350</v>
      </c>
      <c r="N6" s="23" t="s">
        <v>848</v>
      </c>
    </row>
    <row r="8" spans="1:13" ht="15.75">
      <c r="A8"/>
      <c r="B8" s="136" t="s">
        <v>12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4" ht="12.75">
      <c r="A9" s="39" t="s">
        <v>689</v>
      </c>
      <c r="B9" s="24" t="s">
        <v>883</v>
      </c>
      <c r="C9" s="24" t="s">
        <v>582</v>
      </c>
      <c r="D9" s="24" t="s">
        <v>583</v>
      </c>
      <c r="E9" s="24" t="str">
        <f>"0,7886"</f>
        <v>0,7886</v>
      </c>
      <c r="F9" s="24" t="s">
        <v>15</v>
      </c>
      <c r="G9" s="24" t="s">
        <v>16</v>
      </c>
      <c r="H9" s="49" t="s">
        <v>24</v>
      </c>
      <c r="I9" s="49" t="s">
        <v>82</v>
      </c>
      <c r="J9" s="49" t="s">
        <v>88</v>
      </c>
      <c r="K9" s="47"/>
      <c r="L9" s="39" t="s">
        <v>88</v>
      </c>
      <c r="M9" s="80" t="str">
        <f>"126,1680"</f>
        <v>126,1680</v>
      </c>
      <c r="N9" s="24" t="s">
        <v>45</v>
      </c>
    </row>
    <row r="10" spans="1:14" ht="12.75">
      <c r="A10" s="40" t="s">
        <v>785</v>
      </c>
      <c r="B10" s="25" t="s">
        <v>884</v>
      </c>
      <c r="C10" s="25" t="s">
        <v>584</v>
      </c>
      <c r="D10" s="25" t="s">
        <v>455</v>
      </c>
      <c r="E10" s="25" t="str">
        <f>"0,7484"</f>
        <v>0,7484</v>
      </c>
      <c r="F10" s="25" t="s">
        <v>48</v>
      </c>
      <c r="G10" s="25" t="s">
        <v>49</v>
      </c>
      <c r="H10" s="50" t="s">
        <v>219</v>
      </c>
      <c r="I10" s="50" t="s">
        <v>23</v>
      </c>
      <c r="J10" s="50" t="s">
        <v>24</v>
      </c>
      <c r="K10" s="48"/>
      <c r="L10" s="40" t="s">
        <v>24</v>
      </c>
      <c r="M10" s="81" t="str">
        <f>"108,5180"</f>
        <v>108,5180</v>
      </c>
      <c r="N10" s="25" t="s">
        <v>886</v>
      </c>
    </row>
    <row r="12" spans="1:13" ht="15.75">
      <c r="A12"/>
      <c r="B12" s="136" t="s">
        <v>207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4" ht="12.75">
      <c r="A13" s="35" t="s">
        <v>689</v>
      </c>
      <c r="B13" s="23" t="s">
        <v>885</v>
      </c>
      <c r="C13" s="23" t="s">
        <v>585</v>
      </c>
      <c r="D13" s="23" t="s">
        <v>586</v>
      </c>
      <c r="E13" s="23" t="str">
        <f>"0,6497"</f>
        <v>0,6497</v>
      </c>
      <c r="F13" s="23" t="s">
        <v>15</v>
      </c>
      <c r="G13" s="23" t="s">
        <v>304</v>
      </c>
      <c r="H13" s="37" t="s">
        <v>384</v>
      </c>
      <c r="I13" s="38" t="s">
        <v>384</v>
      </c>
      <c r="J13" s="37" t="s">
        <v>94</v>
      </c>
      <c r="K13" s="34"/>
      <c r="L13" s="35">
        <v>202.5</v>
      </c>
      <c r="M13" s="79" t="str">
        <f>"131,5744"</f>
        <v>131,5744</v>
      </c>
      <c r="N13" s="23" t="s">
        <v>587</v>
      </c>
    </row>
  </sheetData>
  <sheetProtection/>
  <mergeCells count="15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2:M12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66">
      <selection activeCell="C77" sqref="C77"/>
    </sheetView>
  </sheetViews>
  <sheetFormatPr defaultColWidth="8.75390625" defaultRowHeight="12.75"/>
  <cols>
    <col min="1" max="1" width="7.875" style="36" bestFit="1" customWidth="1"/>
    <col min="2" max="2" width="26.00390625" style="22" bestFit="1" customWidth="1"/>
    <col min="3" max="3" width="26.875" style="22" bestFit="1" customWidth="1"/>
    <col min="4" max="4" width="10.625" style="22" bestFit="1" customWidth="1"/>
    <col min="5" max="5" width="14.125" style="22" customWidth="1"/>
    <col min="6" max="6" width="31.625" style="22" customWidth="1"/>
    <col min="7" max="7" width="34.00390625" style="22" bestFit="1" customWidth="1"/>
    <col min="8" max="11" width="5.625" style="36" bestFit="1" customWidth="1"/>
    <col min="12" max="12" width="11.75390625" style="36" customWidth="1"/>
    <col min="13" max="13" width="8.625" style="22" bestFit="1" customWidth="1"/>
    <col min="14" max="14" width="21.375" style="22" customWidth="1"/>
  </cols>
  <sheetData>
    <row r="1" spans="2:14" s="1" customFormat="1" ht="15" customHeight="1">
      <c r="B1" s="124" t="s">
        <v>1042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s="1" customFormat="1" ht="84.7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5</v>
      </c>
      <c r="I3" s="132"/>
      <c r="J3" s="132"/>
      <c r="K3" s="146"/>
      <c r="L3" s="130" t="s">
        <v>690</v>
      </c>
      <c r="M3" s="132" t="s">
        <v>9</v>
      </c>
      <c r="N3" s="146" t="s">
        <v>10</v>
      </c>
    </row>
    <row r="4" spans="1:14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131"/>
      <c r="M4" s="133"/>
      <c r="N4" s="147"/>
    </row>
    <row r="5" spans="1:13" ht="15.75">
      <c r="A5"/>
      <c r="B5" s="137" t="s">
        <v>133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2.75">
      <c r="A6" s="35" t="s">
        <v>689</v>
      </c>
      <c r="B6" s="23" t="s">
        <v>134</v>
      </c>
      <c r="C6" s="23" t="s">
        <v>135</v>
      </c>
      <c r="D6" s="23" t="s">
        <v>136</v>
      </c>
      <c r="E6" s="23" t="str">
        <f>"1,2000"</f>
        <v>1,2000</v>
      </c>
      <c r="F6" s="23" t="s">
        <v>15</v>
      </c>
      <c r="G6" s="23" t="s">
        <v>224</v>
      </c>
      <c r="H6" s="38" t="s">
        <v>431</v>
      </c>
      <c r="I6" s="38" t="s">
        <v>130</v>
      </c>
      <c r="J6" s="38" t="s">
        <v>159</v>
      </c>
      <c r="K6" s="34"/>
      <c r="L6" s="35" t="s">
        <v>159</v>
      </c>
      <c r="M6" s="79" t="str">
        <f>"48,0000"</f>
        <v>48,0000</v>
      </c>
      <c r="N6" s="23" t="s">
        <v>896</v>
      </c>
    </row>
    <row r="8" spans="1:13" ht="15.75">
      <c r="A8"/>
      <c r="B8" s="136" t="s">
        <v>142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4" ht="12.75">
      <c r="A9" s="39" t="s">
        <v>689</v>
      </c>
      <c r="B9" s="24" t="s">
        <v>432</v>
      </c>
      <c r="C9" s="24" t="s">
        <v>433</v>
      </c>
      <c r="D9" s="24" t="s">
        <v>434</v>
      </c>
      <c r="E9" s="24" t="str">
        <f>"1,1195"</f>
        <v>1,1195</v>
      </c>
      <c r="F9" s="24" t="s">
        <v>48</v>
      </c>
      <c r="G9" s="24" t="s">
        <v>49</v>
      </c>
      <c r="H9" s="49" t="s">
        <v>173</v>
      </c>
      <c r="I9" s="41" t="s">
        <v>180</v>
      </c>
      <c r="J9" s="49" t="s">
        <v>180</v>
      </c>
      <c r="K9" s="47"/>
      <c r="L9" s="39">
        <v>67.5</v>
      </c>
      <c r="M9" s="80" t="str">
        <f>"75,5663"</f>
        <v>75,5663</v>
      </c>
      <c r="N9" s="24" t="s">
        <v>897</v>
      </c>
    </row>
    <row r="10" spans="1:14" ht="12.75">
      <c r="A10" s="40"/>
      <c r="B10" s="25" t="s">
        <v>436</v>
      </c>
      <c r="C10" s="25" t="s">
        <v>437</v>
      </c>
      <c r="D10" s="25" t="s">
        <v>438</v>
      </c>
      <c r="E10" s="25" t="str">
        <f>"1,1144"</f>
        <v>1,1144</v>
      </c>
      <c r="F10" s="25" t="s">
        <v>15</v>
      </c>
      <c r="G10" s="25" t="s">
        <v>16</v>
      </c>
      <c r="H10" s="42" t="s">
        <v>149</v>
      </c>
      <c r="I10" s="42" t="s">
        <v>149</v>
      </c>
      <c r="J10" s="42" t="s">
        <v>149</v>
      </c>
      <c r="K10" s="42"/>
      <c r="L10" s="40">
        <v>0</v>
      </c>
      <c r="M10" s="40" t="s">
        <v>801</v>
      </c>
      <c r="N10" s="25" t="s">
        <v>898</v>
      </c>
    </row>
    <row r="12" spans="1:13" ht="15.75">
      <c r="A12"/>
      <c r="B12" s="136" t="s">
        <v>154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4" ht="12.75">
      <c r="A13" s="35" t="s">
        <v>689</v>
      </c>
      <c r="B13" s="23" t="s">
        <v>161</v>
      </c>
      <c r="C13" s="23" t="s">
        <v>162</v>
      </c>
      <c r="D13" s="23" t="s">
        <v>163</v>
      </c>
      <c r="E13" s="23" t="str">
        <f>"1,0439"</f>
        <v>1,0439</v>
      </c>
      <c r="F13" s="23" t="s">
        <v>164</v>
      </c>
      <c r="G13" s="23" t="s">
        <v>224</v>
      </c>
      <c r="H13" s="38" t="s">
        <v>439</v>
      </c>
      <c r="I13" s="38" t="s">
        <v>150</v>
      </c>
      <c r="J13" s="37" t="s">
        <v>173</v>
      </c>
      <c r="K13" s="34"/>
      <c r="L13" s="35" t="s">
        <v>150</v>
      </c>
      <c r="M13" s="79" t="str">
        <f>"57,4145"</f>
        <v>57,4145</v>
      </c>
      <c r="N13" s="23" t="s">
        <v>899</v>
      </c>
    </row>
    <row r="15" spans="1:13" ht="15.75">
      <c r="A15"/>
      <c r="B15" s="136" t="s">
        <v>167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1:14" ht="12.75">
      <c r="A16" s="86" t="s">
        <v>689</v>
      </c>
      <c r="B16" s="24" t="s">
        <v>440</v>
      </c>
      <c r="C16" s="24" t="s">
        <v>441</v>
      </c>
      <c r="D16" s="24" t="s">
        <v>442</v>
      </c>
      <c r="E16" s="24" t="str">
        <f>"0,9916"</f>
        <v>0,9916</v>
      </c>
      <c r="F16" s="24" t="s">
        <v>1033</v>
      </c>
      <c r="G16" s="85" t="s">
        <v>16</v>
      </c>
      <c r="H16" s="88" t="s">
        <v>21</v>
      </c>
      <c r="I16" s="49" t="s">
        <v>132</v>
      </c>
      <c r="J16" s="87" t="s">
        <v>151</v>
      </c>
      <c r="K16" s="47"/>
      <c r="L16" s="39" t="s">
        <v>132</v>
      </c>
      <c r="M16" s="80" t="str">
        <f>"94,2020"</f>
        <v>94,2020</v>
      </c>
      <c r="N16" s="24" t="s">
        <v>857</v>
      </c>
    </row>
    <row r="17" spans="1:14" ht="12.75">
      <c r="A17" s="52" t="s">
        <v>689</v>
      </c>
      <c r="B17" s="26" t="s">
        <v>440</v>
      </c>
      <c r="C17" s="26" t="s">
        <v>788</v>
      </c>
      <c r="D17" s="26" t="s">
        <v>442</v>
      </c>
      <c r="E17" s="26" t="str">
        <f>"0,9916"</f>
        <v>0,9916</v>
      </c>
      <c r="F17" s="26" t="s">
        <v>1033</v>
      </c>
      <c r="G17" s="26" t="s">
        <v>16</v>
      </c>
      <c r="H17" s="53" t="s">
        <v>21</v>
      </c>
      <c r="I17" s="53" t="s">
        <v>132</v>
      </c>
      <c r="J17" s="54" t="s">
        <v>151</v>
      </c>
      <c r="K17" s="51"/>
      <c r="L17" s="52" t="s">
        <v>132</v>
      </c>
      <c r="M17" s="83" t="str">
        <f>"94,2020"</f>
        <v>94,2020</v>
      </c>
      <c r="N17" s="26" t="s">
        <v>857</v>
      </c>
    </row>
    <row r="18" spans="1:14" ht="12.75">
      <c r="A18" s="52" t="s">
        <v>785</v>
      </c>
      <c r="B18" s="26" t="s">
        <v>443</v>
      </c>
      <c r="C18" s="26" t="s">
        <v>444</v>
      </c>
      <c r="D18" s="26" t="s">
        <v>445</v>
      </c>
      <c r="E18" s="26" t="str">
        <f>"0,9889"</f>
        <v>0,9889</v>
      </c>
      <c r="F18" s="26" t="s">
        <v>77</v>
      </c>
      <c r="G18" s="26" t="s">
        <v>16</v>
      </c>
      <c r="H18" s="53" t="s">
        <v>446</v>
      </c>
      <c r="I18" s="54" t="s">
        <v>172</v>
      </c>
      <c r="J18" s="54" t="s">
        <v>172</v>
      </c>
      <c r="K18" s="51"/>
      <c r="L18" s="52">
        <v>52.5</v>
      </c>
      <c r="M18" s="83" t="str">
        <f>"51,9173"</f>
        <v>51,9173</v>
      </c>
      <c r="N18" s="26" t="s">
        <v>900</v>
      </c>
    </row>
    <row r="19" spans="1:14" ht="12.75">
      <c r="A19" s="40" t="s">
        <v>786</v>
      </c>
      <c r="B19" s="25" t="s">
        <v>447</v>
      </c>
      <c r="C19" s="25" t="s">
        <v>448</v>
      </c>
      <c r="D19" s="25" t="s">
        <v>449</v>
      </c>
      <c r="E19" s="25" t="str">
        <f>"1,0079"</f>
        <v>1,0079</v>
      </c>
      <c r="F19" s="25" t="s">
        <v>15</v>
      </c>
      <c r="G19" s="25" t="s">
        <v>16</v>
      </c>
      <c r="H19" s="50" t="s">
        <v>159</v>
      </c>
      <c r="I19" s="42" t="s">
        <v>160</v>
      </c>
      <c r="J19" s="42" t="s">
        <v>160</v>
      </c>
      <c r="K19" s="48"/>
      <c r="L19" s="40" t="s">
        <v>159</v>
      </c>
      <c r="M19" s="81" t="str">
        <f>"40,3160"</f>
        <v>40,3160</v>
      </c>
      <c r="N19" s="25" t="s">
        <v>874</v>
      </c>
    </row>
    <row r="21" spans="1:13" ht="15.75">
      <c r="A21"/>
      <c r="B21" s="136" t="s">
        <v>12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1:14" ht="12.75">
      <c r="A22" s="39" t="s">
        <v>689</v>
      </c>
      <c r="B22" s="24" t="s">
        <v>450</v>
      </c>
      <c r="C22" s="24" t="s">
        <v>451</v>
      </c>
      <c r="D22" s="24" t="s">
        <v>452</v>
      </c>
      <c r="E22" s="24" t="str">
        <f>"0,9060"</f>
        <v>0,9060</v>
      </c>
      <c r="F22" s="24" t="s">
        <v>77</v>
      </c>
      <c r="G22" s="24" t="s">
        <v>78</v>
      </c>
      <c r="H22" s="49" t="s">
        <v>180</v>
      </c>
      <c r="I22" s="41" t="s">
        <v>128</v>
      </c>
      <c r="J22" s="41" t="s">
        <v>128</v>
      </c>
      <c r="K22" s="47"/>
      <c r="L22" s="39">
        <v>67.5</v>
      </c>
      <c r="M22" s="80" t="str">
        <f>"61,1516"</f>
        <v>61,1516</v>
      </c>
      <c r="N22" s="24" t="s">
        <v>901</v>
      </c>
    </row>
    <row r="23" spans="1:14" ht="12.75">
      <c r="A23" s="40" t="s">
        <v>689</v>
      </c>
      <c r="B23" s="25" t="s">
        <v>453</v>
      </c>
      <c r="C23" s="25" t="s">
        <v>454</v>
      </c>
      <c r="D23" s="25" t="s">
        <v>455</v>
      </c>
      <c r="E23" s="25" t="str">
        <f>"0,9000"</f>
        <v>0,9000</v>
      </c>
      <c r="F23" s="25" t="s">
        <v>164</v>
      </c>
      <c r="G23" s="25" t="s">
        <v>224</v>
      </c>
      <c r="H23" s="50" t="s">
        <v>150</v>
      </c>
      <c r="I23" s="48"/>
      <c r="J23" s="48"/>
      <c r="K23" s="48"/>
      <c r="L23" s="40" t="s">
        <v>150</v>
      </c>
      <c r="M23" s="81" t="str">
        <f>"51,0317"</f>
        <v>51,0317</v>
      </c>
      <c r="N23" s="25" t="s">
        <v>813</v>
      </c>
    </row>
    <row r="25" spans="1:13" ht="15.75">
      <c r="A25"/>
      <c r="B25" s="136" t="s">
        <v>167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</row>
    <row r="26" spans="1:14" ht="12.75">
      <c r="A26" s="39" t="s">
        <v>689</v>
      </c>
      <c r="B26" s="24" t="s">
        <v>457</v>
      </c>
      <c r="C26" s="24" t="s">
        <v>458</v>
      </c>
      <c r="D26" s="24" t="s">
        <v>459</v>
      </c>
      <c r="E26" s="24" t="str">
        <f>"0,8396"</f>
        <v>0,8396</v>
      </c>
      <c r="F26" s="24" t="s">
        <v>15</v>
      </c>
      <c r="G26" s="24" t="s">
        <v>807</v>
      </c>
      <c r="H26" s="41" t="s">
        <v>228</v>
      </c>
      <c r="I26" s="49" t="s">
        <v>228</v>
      </c>
      <c r="J26" s="47"/>
      <c r="K26" s="47"/>
      <c r="L26" s="39">
        <v>127.5</v>
      </c>
      <c r="M26" s="80" t="str">
        <f>"107,0554"</f>
        <v>107,0554</v>
      </c>
      <c r="N26" s="24" t="s">
        <v>902</v>
      </c>
    </row>
    <row r="27" spans="1:14" ht="12.75">
      <c r="A27" s="52" t="s">
        <v>689</v>
      </c>
      <c r="B27" s="26" t="s">
        <v>460</v>
      </c>
      <c r="C27" s="26" t="s">
        <v>461</v>
      </c>
      <c r="D27" s="26" t="s">
        <v>442</v>
      </c>
      <c r="E27" s="26" t="str">
        <f>"0,8369"</f>
        <v>0,8369</v>
      </c>
      <c r="F27" s="26" t="s">
        <v>15</v>
      </c>
      <c r="G27" s="26" t="s">
        <v>462</v>
      </c>
      <c r="H27" s="53" t="s">
        <v>165</v>
      </c>
      <c r="I27" s="53" t="s">
        <v>166</v>
      </c>
      <c r="J27" s="53" t="s">
        <v>18</v>
      </c>
      <c r="K27" s="51"/>
      <c r="L27" s="52" t="s">
        <v>18</v>
      </c>
      <c r="M27" s="83" t="str">
        <f>"96,2435"</f>
        <v>96,2435</v>
      </c>
      <c r="N27" s="26" t="s">
        <v>45</v>
      </c>
    </row>
    <row r="28" spans="1:14" ht="12.75">
      <c r="A28" s="52" t="s">
        <v>785</v>
      </c>
      <c r="B28" s="26" t="s">
        <v>463</v>
      </c>
      <c r="C28" s="26" t="s">
        <v>464</v>
      </c>
      <c r="D28" s="26" t="s">
        <v>459</v>
      </c>
      <c r="E28" s="26" t="str">
        <f>"0,8396"</f>
        <v>0,8396</v>
      </c>
      <c r="F28" s="26" t="s">
        <v>15</v>
      </c>
      <c r="G28" s="26" t="s">
        <v>16</v>
      </c>
      <c r="H28" s="53" t="s">
        <v>166</v>
      </c>
      <c r="I28" s="54" t="s">
        <v>18</v>
      </c>
      <c r="J28" s="54" t="s">
        <v>18</v>
      </c>
      <c r="K28" s="51"/>
      <c r="L28" s="52">
        <v>112.5</v>
      </c>
      <c r="M28" s="83" t="str">
        <f>"94,4606"</f>
        <v>94,4606</v>
      </c>
      <c r="N28" s="26" t="s">
        <v>903</v>
      </c>
    </row>
    <row r="29" spans="1:14" ht="12.75">
      <c r="A29" s="52" t="s">
        <v>786</v>
      </c>
      <c r="B29" s="26" t="s">
        <v>465</v>
      </c>
      <c r="C29" s="26" t="s">
        <v>466</v>
      </c>
      <c r="D29" s="26" t="s">
        <v>467</v>
      </c>
      <c r="E29" s="26" t="str">
        <f>"0,8510"</f>
        <v>0,8510</v>
      </c>
      <c r="F29" s="26" t="s">
        <v>15</v>
      </c>
      <c r="G29" s="26" t="s">
        <v>462</v>
      </c>
      <c r="H29" s="53" t="s">
        <v>131</v>
      </c>
      <c r="I29" s="53" t="s">
        <v>151</v>
      </c>
      <c r="J29" s="54" t="s">
        <v>17</v>
      </c>
      <c r="K29" s="51"/>
      <c r="L29" s="52">
        <v>97.5</v>
      </c>
      <c r="M29" s="83" t="str">
        <f>"82,9676"</f>
        <v>82,9676</v>
      </c>
      <c r="N29" s="26" t="s">
        <v>45</v>
      </c>
    </row>
    <row r="30" spans="1:14" ht="12.75">
      <c r="A30" s="40" t="s">
        <v>689</v>
      </c>
      <c r="B30" s="25" t="s">
        <v>185</v>
      </c>
      <c r="C30" s="25" t="s">
        <v>186</v>
      </c>
      <c r="D30" s="25" t="s">
        <v>187</v>
      </c>
      <c r="E30" s="25" t="str">
        <f>"0,8411"</f>
        <v>0,8411</v>
      </c>
      <c r="F30" s="25" t="s">
        <v>77</v>
      </c>
      <c r="G30" s="25" t="s">
        <v>78</v>
      </c>
      <c r="H30" s="50" t="s">
        <v>132</v>
      </c>
      <c r="I30" s="48"/>
      <c r="J30" s="48"/>
      <c r="K30" s="48"/>
      <c r="L30" s="40" t="s">
        <v>132</v>
      </c>
      <c r="M30" s="81" t="str">
        <f>"97,8772"</f>
        <v>97,8772</v>
      </c>
      <c r="N30" s="25" t="s">
        <v>45</v>
      </c>
    </row>
    <row r="32" spans="1:13" ht="15.75">
      <c r="A32"/>
      <c r="B32" s="136" t="s">
        <v>12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</row>
    <row r="33" spans="1:14" ht="12.75">
      <c r="A33" s="39" t="s">
        <v>689</v>
      </c>
      <c r="B33" s="24" t="s">
        <v>468</v>
      </c>
      <c r="C33" s="24" t="s">
        <v>469</v>
      </c>
      <c r="D33" s="24" t="s">
        <v>455</v>
      </c>
      <c r="E33" s="24" t="str">
        <f>"0,7484"</f>
        <v>0,7484</v>
      </c>
      <c r="F33" s="24" t="s">
        <v>15</v>
      </c>
      <c r="G33" s="24" t="s">
        <v>16</v>
      </c>
      <c r="H33" s="49" t="s">
        <v>152</v>
      </c>
      <c r="I33" s="49" t="s">
        <v>19</v>
      </c>
      <c r="J33" s="41" t="s">
        <v>204</v>
      </c>
      <c r="K33" s="47"/>
      <c r="L33" s="39" t="s">
        <v>19</v>
      </c>
      <c r="M33" s="80" t="str">
        <f>"93,5500"</f>
        <v>93,5500</v>
      </c>
      <c r="N33" s="24" t="s">
        <v>45</v>
      </c>
    </row>
    <row r="34" spans="1:14" ht="12.75">
      <c r="A34" s="40" t="s">
        <v>785</v>
      </c>
      <c r="B34" s="25" t="s">
        <v>470</v>
      </c>
      <c r="C34" s="25" t="s">
        <v>471</v>
      </c>
      <c r="D34" s="25" t="s">
        <v>472</v>
      </c>
      <c r="E34" s="25" t="str">
        <f>"0,7908"</f>
        <v>0,7908</v>
      </c>
      <c r="F34" s="25" t="s">
        <v>15</v>
      </c>
      <c r="G34" s="25" t="s">
        <v>16</v>
      </c>
      <c r="H34" s="50" t="s">
        <v>152</v>
      </c>
      <c r="I34" s="50" t="s">
        <v>37</v>
      </c>
      <c r="J34" s="50" t="s">
        <v>166</v>
      </c>
      <c r="K34" s="48"/>
      <c r="L34" s="40">
        <v>112.5</v>
      </c>
      <c r="M34" s="81" t="str">
        <f>"88,9650"</f>
        <v>88,9650</v>
      </c>
      <c r="N34" s="25" t="s">
        <v>45</v>
      </c>
    </row>
    <row r="36" spans="1:13" ht="15.75">
      <c r="A36"/>
      <c r="B36" s="136" t="s">
        <v>25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</row>
    <row r="37" spans="1:14" ht="12.75">
      <c r="A37" s="39" t="s">
        <v>689</v>
      </c>
      <c r="B37" s="24" t="s">
        <v>473</v>
      </c>
      <c r="C37" s="24" t="s">
        <v>474</v>
      </c>
      <c r="D37" s="24" t="s">
        <v>475</v>
      </c>
      <c r="E37" s="24" t="str">
        <f>"0,7102"</f>
        <v>0,7102</v>
      </c>
      <c r="F37" s="24" t="s">
        <v>15</v>
      </c>
      <c r="G37" s="24" t="s">
        <v>16</v>
      </c>
      <c r="H37" s="49" t="s">
        <v>36</v>
      </c>
      <c r="I37" s="41" t="s">
        <v>22</v>
      </c>
      <c r="J37" s="41" t="s">
        <v>22</v>
      </c>
      <c r="K37" s="47"/>
      <c r="L37" s="39" t="s">
        <v>36</v>
      </c>
      <c r="M37" s="80" t="str">
        <f>"92,3260"</f>
        <v>92,3260</v>
      </c>
      <c r="N37" s="24" t="s">
        <v>45</v>
      </c>
    </row>
    <row r="38" spans="1:14" ht="12.75">
      <c r="A38" s="52" t="s">
        <v>785</v>
      </c>
      <c r="B38" s="26" t="s">
        <v>476</v>
      </c>
      <c r="C38" s="26" t="s">
        <v>477</v>
      </c>
      <c r="D38" s="26" t="s">
        <v>478</v>
      </c>
      <c r="E38" s="26" t="str">
        <f>"0,6998"</f>
        <v>0,6998</v>
      </c>
      <c r="F38" s="26" t="s">
        <v>15</v>
      </c>
      <c r="G38" s="26" t="s">
        <v>807</v>
      </c>
      <c r="H38" s="53" t="s">
        <v>166</v>
      </c>
      <c r="I38" s="53" t="s">
        <v>38</v>
      </c>
      <c r="J38" s="51"/>
      <c r="K38" s="51"/>
      <c r="L38" s="52">
        <v>117.5</v>
      </c>
      <c r="M38" s="83" t="str">
        <f>"82,2206"</f>
        <v>82,2206</v>
      </c>
      <c r="N38" s="26" t="s">
        <v>856</v>
      </c>
    </row>
    <row r="39" spans="1:14" ht="12.75">
      <c r="A39" s="52" t="s">
        <v>689</v>
      </c>
      <c r="B39" s="26" t="s">
        <v>479</v>
      </c>
      <c r="C39" s="26" t="s">
        <v>480</v>
      </c>
      <c r="D39" s="26" t="s">
        <v>481</v>
      </c>
      <c r="E39" s="26" t="str">
        <f>"0,6990"</f>
        <v>0,6990</v>
      </c>
      <c r="F39" s="26" t="s">
        <v>15</v>
      </c>
      <c r="G39" s="26" t="s">
        <v>16</v>
      </c>
      <c r="H39" s="53" t="s">
        <v>19</v>
      </c>
      <c r="I39" s="54" t="s">
        <v>22</v>
      </c>
      <c r="J39" s="54" t="s">
        <v>22</v>
      </c>
      <c r="K39" s="51"/>
      <c r="L39" s="52" t="s">
        <v>19</v>
      </c>
      <c r="M39" s="83" t="str">
        <f>"87,3750"</f>
        <v>87,3750</v>
      </c>
      <c r="N39" s="26" t="s">
        <v>45</v>
      </c>
    </row>
    <row r="40" spans="1:14" ht="12.75">
      <c r="A40" s="52" t="s">
        <v>689</v>
      </c>
      <c r="B40" s="26" t="s">
        <v>482</v>
      </c>
      <c r="C40" s="26" t="s">
        <v>483</v>
      </c>
      <c r="D40" s="26" t="s">
        <v>32</v>
      </c>
      <c r="E40" s="26" t="str">
        <f>"0,6940"</f>
        <v>0,6940</v>
      </c>
      <c r="F40" s="26" t="s">
        <v>232</v>
      </c>
      <c r="G40" s="26" t="s">
        <v>233</v>
      </c>
      <c r="H40" s="53" t="s">
        <v>53</v>
      </c>
      <c r="I40" s="53" t="s">
        <v>266</v>
      </c>
      <c r="J40" s="53" t="s">
        <v>89</v>
      </c>
      <c r="K40" s="51"/>
      <c r="L40" s="52" t="s">
        <v>89</v>
      </c>
      <c r="M40" s="83" t="str">
        <f>"121,4500"</f>
        <v>121,4500</v>
      </c>
      <c r="N40" s="26" t="s">
        <v>45</v>
      </c>
    </row>
    <row r="41" spans="1:14" ht="12.75">
      <c r="A41" s="52" t="s">
        <v>785</v>
      </c>
      <c r="B41" s="26" t="s">
        <v>484</v>
      </c>
      <c r="C41" s="26" t="s">
        <v>485</v>
      </c>
      <c r="D41" s="26" t="s">
        <v>486</v>
      </c>
      <c r="E41" s="26" t="str">
        <f>"0,6947"</f>
        <v>0,6947</v>
      </c>
      <c r="F41" s="26" t="s">
        <v>77</v>
      </c>
      <c r="G41" s="26" t="s">
        <v>78</v>
      </c>
      <c r="H41" s="53" t="s">
        <v>191</v>
      </c>
      <c r="I41" s="53" t="s">
        <v>52</v>
      </c>
      <c r="J41" s="53" t="s">
        <v>88</v>
      </c>
      <c r="K41" s="51"/>
      <c r="L41" s="52" t="s">
        <v>88</v>
      </c>
      <c r="M41" s="83" t="str">
        <f>"111,1520"</f>
        <v>111,1520</v>
      </c>
      <c r="N41" s="26" t="s">
        <v>45</v>
      </c>
    </row>
    <row r="42" spans="1:14" ht="12.75">
      <c r="A42" s="52" t="s">
        <v>786</v>
      </c>
      <c r="B42" s="26" t="s">
        <v>487</v>
      </c>
      <c r="C42" s="26" t="s">
        <v>488</v>
      </c>
      <c r="D42" s="26" t="s">
        <v>489</v>
      </c>
      <c r="E42" s="26" t="str">
        <f>"0,6920"</f>
        <v>0,6920</v>
      </c>
      <c r="F42" s="26" t="s">
        <v>232</v>
      </c>
      <c r="G42" s="26" t="s">
        <v>233</v>
      </c>
      <c r="H42" s="53" t="s">
        <v>22</v>
      </c>
      <c r="I42" s="53" t="s">
        <v>23</v>
      </c>
      <c r="J42" s="53" t="s">
        <v>24</v>
      </c>
      <c r="K42" s="51"/>
      <c r="L42" s="52" t="s">
        <v>24</v>
      </c>
      <c r="M42" s="83" t="str">
        <f>"100,3328"</f>
        <v>100,3328</v>
      </c>
      <c r="N42" s="26" t="s">
        <v>904</v>
      </c>
    </row>
    <row r="43" spans="1:14" ht="12.75">
      <c r="A43" s="52" t="s">
        <v>787</v>
      </c>
      <c r="B43" s="26" t="s">
        <v>490</v>
      </c>
      <c r="C43" s="26" t="s">
        <v>491</v>
      </c>
      <c r="D43" s="26" t="s">
        <v>492</v>
      </c>
      <c r="E43" s="26" t="str">
        <f>"0,7005"</f>
        <v>0,7005</v>
      </c>
      <c r="F43" s="26" t="s">
        <v>15</v>
      </c>
      <c r="G43" s="26" t="s">
        <v>16</v>
      </c>
      <c r="H43" s="53" t="s">
        <v>36</v>
      </c>
      <c r="I43" s="53" t="s">
        <v>22</v>
      </c>
      <c r="J43" s="53" t="s">
        <v>23</v>
      </c>
      <c r="K43" s="51"/>
      <c r="L43" s="52" t="s">
        <v>23</v>
      </c>
      <c r="M43" s="83" t="str">
        <f>"98,0630"</f>
        <v>98,0630</v>
      </c>
      <c r="N43" s="26" t="s">
        <v>45</v>
      </c>
    </row>
    <row r="44" spans="1:14" ht="12.75">
      <c r="A44" s="52" t="s">
        <v>789</v>
      </c>
      <c r="B44" s="26" t="s">
        <v>493</v>
      </c>
      <c r="C44" s="26" t="s">
        <v>494</v>
      </c>
      <c r="D44" s="26" t="s">
        <v>495</v>
      </c>
      <c r="E44" s="26" t="str">
        <f>"0,7117"</f>
        <v>0,7117</v>
      </c>
      <c r="F44" s="26" t="s">
        <v>15</v>
      </c>
      <c r="G44" s="26" t="s">
        <v>16</v>
      </c>
      <c r="H44" s="53" t="s">
        <v>19</v>
      </c>
      <c r="I44" s="54" t="s">
        <v>22</v>
      </c>
      <c r="J44" s="54" t="s">
        <v>22</v>
      </c>
      <c r="K44" s="51"/>
      <c r="L44" s="52" t="s">
        <v>19</v>
      </c>
      <c r="M44" s="83" t="str">
        <f>"88,9625"</f>
        <v>88,9625</v>
      </c>
      <c r="N44" s="26" t="s">
        <v>45</v>
      </c>
    </row>
    <row r="45" spans="1:14" ht="12.75">
      <c r="A45" s="52" t="s">
        <v>790</v>
      </c>
      <c r="B45" s="26" t="s">
        <v>496</v>
      </c>
      <c r="C45" s="26" t="s">
        <v>497</v>
      </c>
      <c r="D45" s="26" t="s">
        <v>498</v>
      </c>
      <c r="E45" s="26" t="str">
        <f>"0,6969"</f>
        <v>0,6969</v>
      </c>
      <c r="F45" s="26" t="s">
        <v>15</v>
      </c>
      <c r="G45" s="26" t="s">
        <v>16</v>
      </c>
      <c r="H45" s="53" t="s">
        <v>38</v>
      </c>
      <c r="I45" s="54" t="s">
        <v>35</v>
      </c>
      <c r="J45" s="54" t="s">
        <v>35</v>
      </c>
      <c r="K45" s="51"/>
      <c r="L45" s="52">
        <v>117.5</v>
      </c>
      <c r="M45" s="83" t="str">
        <f>"81,8799"</f>
        <v>81,8799</v>
      </c>
      <c r="N45" s="26" t="s">
        <v>45</v>
      </c>
    </row>
    <row r="46" spans="1:14" ht="12.75">
      <c r="A46" s="52" t="s">
        <v>791</v>
      </c>
      <c r="B46" s="26" t="s">
        <v>499</v>
      </c>
      <c r="C46" s="26" t="s">
        <v>500</v>
      </c>
      <c r="D46" s="26" t="s">
        <v>489</v>
      </c>
      <c r="E46" s="26" t="str">
        <f>"0,6920"</f>
        <v>0,6920</v>
      </c>
      <c r="F46" s="26" t="s">
        <v>15</v>
      </c>
      <c r="G46" s="26" t="s">
        <v>16</v>
      </c>
      <c r="H46" s="54" t="s">
        <v>37</v>
      </c>
      <c r="I46" s="53" t="s">
        <v>166</v>
      </c>
      <c r="J46" s="54" t="s">
        <v>38</v>
      </c>
      <c r="K46" s="51"/>
      <c r="L46" s="52">
        <v>112.5</v>
      </c>
      <c r="M46" s="83" t="str">
        <f>"77,8444"</f>
        <v>77,8444</v>
      </c>
      <c r="N46" s="26" t="s">
        <v>45</v>
      </c>
    </row>
    <row r="47" spans="1:14" ht="12.75">
      <c r="A47" s="52" t="s">
        <v>689</v>
      </c>
      <c r="B47" s="26" t="s">
        <v>501</v>
      </c>
      <c r="C47" s="26" t="s">
        <v>502</v>
      </c>
      <c r="D47" s="26" t="s">
        <v>503</v>
      </c>
      <c r="E47" s="26" t="str">
        <f>"0,6955"</f>
        <v>0,6955</v>
      </c>
      <c r="F47" s="26" t="s">
        <v>77</v>
      </c>
      <c r="G47" s="26" t="s">
        <v>78</v>
      </c>
      <c r="H47" s="53" t="s">
        <v>37</v>
      </c>
      <c r="I47" s="53" t="s">
        <v>38</v>
      </c>
      <c r="J47" s="53" t="s">
        <v>35</v>
      </c>
      <c r="K47" s="51"/>
      <c r="L47" s="52" t="s">
        <v>35</v>
      </c>
      <c r="M47" s="83" t="str">
        <f>"86,0411"</f>
        <v>86,0411</v>
      </c>
      <c r="N47" s="26" t="s">
        <v>901</v>
      </c>
    </row>
    <row r="48" spans="1:14" ht="12.75">
      <c r="A48" s="52" t="s">
        <v>785</v>
      </c>
      <c r="B48" s="26" t="s">
        <v>205</v>
      </c>
      <c r="C48" s="26" t="s">
        <v>206</v>
      </c>
      <c r="D48" s="26" t="s">
        <v>27</v>
      </c>
      <c r="E48" s="26" t="str">
        <f>"0,6885"</f>
        <v>0,6885</v>
      </c>
      <c r="F48" s="26" t="s">
        <v>33</v>
      </c>
      <c r="G48" s="26" t="s">
        <v>34</v>
      </c>
      <c r="H48" s="53" t="s">
        <v>37</v>
      </c>
      <c r="I48" s="51"/>
      <c r="J48" s="51"/>
      <c r="K48" s="51"/>
      <c r="L48" s="52" t="s">
        <v>37</v>
      </c>
      <c r="M48" s="83" t="str">
        <f>"77,2553"</f>
        <v>77,2553</v>
      </c>
      <c r="N48" s="26" t="s">
        <v>855</v>
      </c>
    </row>
    <row r="49" spans="1:14" ht="12.75">
      <c r="A49" s="40" t="s">
        <v>689</v>
      </c>
      <c r="B49" s="25" t="s">
        <v>504</v>
      </c>
      <c r="C49" s="25" t="s">
        <v>505</v>
      </c>
      <c r="D49" s="25" t="s">
        <v>506</v>
      </c>
      <c r="E49" s="25" t="str">
        <f>"0,7095"</f>
        <v>0,7095</v>
      </c>
      <c r="F49" s="25" t="s">
        <v>48</v>
      </c>
      <c r="G49" s="25" t="s">
        <v>49</v>
      </c>
      <c r="H49" s="50" t="s">
        <v>36</v>
      </c>
      <c r="I49" s="50" t="s">
        <v>23</v>
      </c>
      <c r="J49" s="42" t="s">
        <v>24</v>
      </c>
      <c r="K49" s="48"/>
      <c r="L49" s="40" t="s">
        <v>23</v>
      </c>
      <c r="M49" s="81" t="str">
        <f>"138,3569"</f>
        <v>138,3569</v>
      </c>
      <c r="N49" s="25" t="s">
        <v>45</v>
      </c>
    </row>
    <row r="51" spans="1:13" ht="15.75">
      <c r="A51"/>
      <c r="B51" s="136" t="s">
        <v>207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</row>
    <row r="52" spans="1:14" ht="12.75">
      <c r="A52" s="39" t="s">
        <v>689</v>
      </c>
      <c r="B52" s="24" t="s">
        <v>507</v>
      </c>
      <c r="C52" s="24" t="s">
        <v>508</v>
      </c>
      <c r="D52" s="24" t="s">
        <v>217</v>
      </c>
      <c r="E52" s="24" t="str">
        <f>"0,6550"</f>
        <v>0,6550</v>
      </c>
      <c r="F52" s="24" t="s">
        <v>15</v>
      </c>
      <c r="G52" s="24" t="s">
        <v>184</v>
      </c>
      <c r="H52" s="49" t="s">
        <v>35</v>
      </c>
      <c r="I52" s="41" t="s">
        <v>228</v>
      </c>
      <c r="J52" s="49" t="s">
        <v>228</v>
      </c>
      <c r="K52" s="47"/>
      <c r="L52" s="39">
        <v>127.5</v>
      </c>
      <c r="M52" s="80" t="str">
        <f>"83,5189"</f>
        <v>83,5189</v>
      </c>
      <c r="N52" s="24" t="s">
        <v>45</v>
      </c>
    </row>
    <row r="53" spans="1:14" ht="12.75">
      <c r="A53" s="40" t="s">
        <v>689</v>
      </c>
      <c r="B53" s="25" t="s">
        <v>509</v>
      </c>
      <c r="C53" s="25" t="s">
        <v>510</v>
      </c>
      <c r="D53" s="25" t="s">
        <v>511</v>
      </c>
      <c r="E53" s="25" t="str">
        <f>"0,6508"</f>
        <v>0,6508</v>
      </c>
      <c r="F53" s="25" t="s">
        <v>48</v>
      </c>
      <c r="G53" s="25" t="s">
        <v>49</v>
      </c>
      <c r="H53" s="50" t="s">
        <v>23</v>
      </c>
      <c r="I53" s="50" t="s">
        <v>24</v>
      </c>
      <c r="J53" s="42" t="s">
        <v>81</v>
      </c>
      <c r="K53" s="48"/>
      <c r="L53" s="40" t="s">
        <v>24</v>
      </c>
      <c r="M53" s="81" t="str">
        <f>"128,9040"</f>
        <v>128,9040</v>
      </c>
      <c r="N53" s="25" t="s">
        <v>847</v>
      </c>
    </row>
    <row r="55" spans="1:13" ht="15.75">
      <c r="A55"/>
      <c r="B55" s="136" t="s">
        <v>41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</row>
    <row r="56" spans="1:14" ht="12.75">
      <c r="A56" s="39" t="s">
        <v>689</v>
      </c>
      <c r="B56" s="24" t="s">
        <v>512</v>
      </c>
      <c r="C56" s="24" t="s">
        <v>513</v>
      </c>
      <c r="D56" s="24" t="s">
        <v>514</v>
      </c>
      <c r="E56" s="24" t="str">
        <f>"0,6192"</f>
        <v>0,6192</v>
      </c>
      <c r="F56" s="24" t="s">
        <v>15</v>
      </c>
      <c r="G56" s="24" t="s">
        <v>16</v>
      </c>
      <c r="H56" s="49" t="s">
        <v>23</v>
      </c>
      <c r="I56" s="41" t="s">
        <v>24</v>
      </c>
      <c r="J56" s="41" t="s">
        <v>24</v>
      </c>
      <c r="K56" s="47"/>
      <c r="L56" s="39" t="s">
        <v>23</v>
      </c>
      <c r="M56" s="80" t="str">
        <f>"86,6950"</f>
        <v>86,6950</v>
      </c>
      <c r="N56" s="24" t="s">
        <v>45</v>
      </c>
    </row>
    <row r="57" spans="1:14" ht="12.75">
      <c r="A57" s="52" t="s">
        <v>689</v>
      </c>
      <c r="B57" s="26" t="s">
        <v>515</v>
      </c>
      <c r="C57" s="26" t="s">
        <v>516</v>
      </c>
      <c r="D57" s="26" t="s">
        <v>309</v>
      </c>
      <c r="E57" s="26" t="str">
        <f>"0,6177"</f>
        <v>0,6177</v>
      </c>
      <c r="F57" s="26" t="s">
        <v>15</v>
      </c>
      <c r="G57" s="26" t="s">
        <v>49</v>
      </c>
      <c r="H57" s="53" t="s">
        <v>62</v>
      </c>
      <c r="I57" s="53" t="s">
        <v>89</v>
      </c>
      <c r="J57" s="53" t="s">
        <v>64</v>
      </c>
      <c r="K57" s="51"/>
      <c r="L57" s="52" t="s">
        <v>64</v>
      </c>
      <c r="M57" s="83" t="str">
        <f>"111,1860"</f>
        <v>111,1860</v>
      </c>
      <c r="N57" s="26" t="s">
        <v>823</v>
      </c>
    </row>
    <row r="58" spans="1:14" ht="12.75">
      <c r="A58" s="52" t="s">
        <v>785</v>
      </c>
      <c r="B58" s="26" t="s">
        <v>517</v>
      </c>
      <c r="C58" s="26" t="s">
        <v>518</v>
      </c>
      <c r="D58" s="26" t="s">
        <v>519</v>
      </c>
      <c r="E58" s="26" t="str">
        <f>"0,6133"</f>
        <v>0,6133</v>
      </c>
      <c r="F58" s="26" t="s">
        <v>77</v>
      </c>
      <c r="G58" s="26" t="s">
        <v>78</v>
      </c>
      <c r="H58" s="53" t="s">
        <v>288</v>
      </c>
      <c r="I58" s="54" t="s">
        <v>289</v>
      </c>
      <c r="J58" s="54" t="s">
        <v>289</v>
      </c>
      <c r="K58" s="51"/>
      <c r="L58" s="52">
        <v>162.5</v>
      </c>
      <c r="M58" s="83" t="str">
        <f>"99,6694"</f>
        <v>99,6694</v>
      </c>
      <c r="N58" s="26" t="s">
        <v>901</v>
      </c>
    </row>
    <row r="59" spans="1:14" ht="12.75">
      <c r="A59" s="52" t="s">
        <v>786</v>
      </c>
      <c r="B59" s="26" t="s">
        <v>520</v>
      </c>
      <c r="C59" s="26" t="s">
        <v>521</v>
      </c>
      <c r="D59" s="26" t="s">
        <v>514</v>
      </c>
      <c r="E59" s="26" t="str">
        <f>"0,6192"</f>
        <v>0,6192</v>
      </c>
      <c r="F59" s="26" t="s">
        <v>15</v>
      </c>
      <c r="G59" s="26" t="s">
        <v>137</v>
      </c>
      <c r="H59" s="53" t="s">
        <v>82</v>
      </c>
      <c r="I59" s="53" t="s">
        <v>52</v>
      </c>
      <c r="J59" s="54" t="s">
        <v>287</v>
      </c>
      <c r="K59" s="51"/>
      <c r="L59" s="52" t="s">
        <v>52</v>
      </c>
      <c r="M59" s="83" t="str">
        <f>"95,9837"</f>
        <v>95,9837</v>
      </c>
      <c r="N59" s="26" t="s">
        <v>45</v>
      </c>
    </row>
    <row r="60" spans="1:14" ht="12.75">
      <c r="A60" s="52" t="s">
        <v>787</v>
      </c>
      <c r="B60" s="26" t="s">
        <v>522</v>
      </c>
      <c r="C60" s="26" t="s">
        <v>523</v>
      </c>
      <c r="D60" s="26" t="s">
        <v>524</v>
      </c>
      <c r="E60" s="26" t="str">
        <f>"0,6331"</f>
        <v>0,6331</v>
      </c>
      <c r="F60" s="26" t="s">
        <v>164</v>
      </c>
      <c r="G60" s="26" t="s">
        <v>137</v>
      </c>
      <c r="H60" s="53" t="s">
        <v>23</v>
      </c>
      <c r="I60" s="53" t="s">
        <v>82</v>
      </c>
      <c r="J60" s="54" t="s">
        <v>287</v>
      </c>
      <c r="K60" s="51"/>
      <c r="L60" s="52">
        <v>152.5</v>
      </c>
      <c r="M60" s="83" t="str">
        <f>"96,5477"</f>
        <v>96,5477</v>
      </c>
      <c r="N60" s="26" t="s">
        <v>45</v>
      </c>
    </row>
    <row r="61" spans="1:14" ht="12.75">
      <c r="A61" s="52" t="s">
        <v>789</v>
      </c>
      <c r="B61" s="26" t="s">
        <v>525</v>
      </c>
      <c r="C61" s="26" t="s">
        <v>526</v>
      </c>
      <c r="D61" s="26" t="s">
        <v>344</v>
      </c>
      <c r="E61" s="26" t="str">
        <f>"0,6217"</f>
        <v>0,6217</v>
      </c>
      <c r="F61" s="26" t="s">
        <v>15</v>
      </c>
      <c r="G61" s="26" t="s">
        <v>16</v>
      </c>
      <c r="H61" s="53" t="s">
        <v>24</v>
      </c>
      <c r="I61" s="53" t="s">
        <v>82</v>
      </c>
      <c r="J61" s="51"/>
      <c r="K61" s="51"/>
      <c r="L61" s="52">
        <v>152.5</v>
      </c>
      <c r="M61" s="83" t="str">
        <f>"94,8169"</f>
        <v>94,8169</v>
      </c>
      <c r="N61" s="26" t="s">
        <v>45</v>
      </c>
    </row>
    <row r="62" spans="1:14" ht="12.75">
      <c r="A62" s="52" t="s">
        <v>790</v>
      </c>
      <c r="B62" s="26" t="s">
        <v>527</v>
      </c>
      <c r="C62" s="26" t="s">
        <v>528</v>
      </c>
      <c r="D62" s="26" t="s">
        <v>529</v>
      </c>
      <c r="E62" s="26" t="str">
        <f>"0,6255"</f>
        <v>0,6255</v>
      </c>
      <c r="F62" s="26" t="s">
        <v>1034</v>
      </c>
      <c r="G62" s="26" t="s">
        <v>310</v>
      </c>
      <c r="H62" s="53" t="s">
        <v>191</v>
      </c>
      <c r="I62" s="54" t="s">
        <v>52</v>
      </c>
      <c r="J62" s="54" t="s">
        <v>52</v>
      </c>
      <c r="K62" s="51"/>
      <c r="L62" s="52" t="s">
        <v>191</v>
      </c>
      <c r="M62" s="83" t="str">
        <f>"93,8250"</f>
        <v>93,8250</v>
      </c>
      <c r="N62" s="26" t="s">
        <v>905</v>
      </c>
    </row>
    <row r="63" spans="1:14" ht="12.75">
      <c r="A63" s="52" t="s">
        <v>791</v>
      </c>
      <c r="B63" s="26" t="s">
        <v>530</v>
      </c>
      <c r="C63" s="26" t="s">
        <v>531</v>
      </c>
      <c r="D63" s="26" t="s">
        <v>238</v>
      </c>
      <c r="E63" s="26" t="str">
        <f>"0,6201"</f>
        <v>0,6201</v>
      </c>
      <c r="F63" s="26" t="s">
        <v>164</v>
      </c>
      <c r="G63" s="26" t="s">
        <v>137</v>
      </c>
      <c r="H63" s="53" t="s">
        <v>152</v>
      </c>
      <c r="I63" s="53" t="s">
        <v>18</v>
      </c>
      <c r="J63" s="54" t="s">
        <v>35</v>
      </c>
      <c r="K63" s="51"/>
      <c r="L63" s="52" t="s">
        <v>18</v>
      </c>
      <c r="M63" s="83" t="str">
        <f>"71,3115"</f>
        <v>71,3115</v>
      </c>
      <c r="N63" s="26" t="s">
        <v>906</v>
      </c>
    </row>
    <row r="64" spans="1:14" ht="12.75">
      <c r="A64" s="52" t="s">
        <v>792</v>
      </c>
      <c r="B64" s="26" t="s">
        <v>533</v>
      </c>
      <c r="C64" s="26" t="s">
        <v>534</v>
      </c>
      <c r="D64" s="26" t="s">
        <v>535</v>
      </c>
      <c r="E64" s="26" t="str">
        <f>"0,6259"</f>
        <v>0,6259</v>
      </c>
      <c r="F64" s="26" t="s">
        <v>15</v>
      </c>
      <c r="G64" s="26" t="s">
        <v>807</v>
      </c>
      <c r="H64" s="53" t="s">
        <v>17</v>
      </c>
      <c r="I64" s="54" t="s">
        <v>37</v>
      </c>
      <c r="J64" s="54" t="s">
        <v>37</v>
      </c>
      <c r="K64" s="51"/>
      <c r="L64" s="52" t="s">
        <v>17</v>
      </c>
      <c r="M64" s="83" t="str">
        <f>"62,5950"</f>
        <v>62,5950</v>
      </c>
      <c r="N64" s="26" t="s">
        <v>907</v>
      </c>
    </row>
    <row r="65" spans="1:14" ht="12.75">
      <c r="A65" s="52"/>
      <c r="B65" s="26" t="s">
        <v>536</v>
      </c>
      <c r="C65" s="26" t="s">
        <v>537</v>
      </c>
      <c r="D65" s="26" t="s">
        <v>344</v>
      </c>
      <c r="E65" s="26" t="str">
        <f>"0,6217"</f>
        <v>0,6217</v>
      </c>
      <c r="F65" s="26" t="s">
        <v>48</v>
      </c>
      <c r="G65" s="26" t="s">
        <v>49</v>
      </c>
      <c r="H65" s="54" t="s">
        <v>22</v>
      </c>
      <c r="I65" s="54" t="s">
        <v>23</v>
      </c>
      <c r="J65" s="54" t="s">
        <v>23</v>
      </c>
      <c r="K65" s="51"/>
      <c r="L65" s="52">
        <v>0</v>
      </c>
      <c r="M65" s="52" t="s">
        <v>801</v>
      </c>
      <c r="N65" s="26" t="s">
        <v>908</v>
      </c>
    </row>
    <row r="66" spans="1:14" ht="12.75">
      <c r="A66" s="52"/>
      <c r="B66" s="26" t="s">
        <v>538</v>
      </c>
      <c r="C66" s="26" t="s">
        <v>539</v>
      </c>
      <c r="D66" s="26" t="s">
        <v>540</v>
      </c>
      <c r="E66" s="26" t="str">
        <f>"0,6130"</f>
        <v>0,6130</v>
      </c>
      <c r="F66" s="26" t="s">
        <v>1038</v>
      </c>
      <c r="G66" s="26" t="s">
        <v>16</v>
      </c>
      <c r="H66" s="54" t="s">
        <v>35</v>
      </c>
      <c r="I66" s="54" t="s">
        <v>35</v>
      </c>
      <c r="J66" s="54" t="s">
        <v>36</v>
      </c>
      <c r="K66" s="51"/>
      <c r="L66" s="52">
        <v>0</v>
      </c>
      <c r="M66" s="52" t="s">
        <v>801</v>
      </c>
      <c r="N66" s="26" t="s">
        <v>909</v>
      </c>
    </row>
    <row r="67" spans="1:14" ht="12.75">
      <c r="A67" s="52" t="s">
        <v>689</v>
      </c>
      <c r="B67" s="26" t="s">
        <v>520</v>
      </c>
      <c r="C67" s="26" t="s">
        <v>541</v>
      </c>
      <c r="D67" s="26" t="s">
        <v>514</v>
      </c>
      <c r="E67" s="26" t="str">
        <f>"0,6192"</f>
        <v>0,6192</v>
      </c>
      <c r="F67" s="26" t="s">
        <v>15</v>
      </c>
      <c r="G67" s="26" t="s">
        <v>137</v>
      </c>
      <c r="H67" s="53" t="s">
        <v>82</v>
      </c>
      <c r="I67" s="53" t="s">
        <v>52</v>
      </c>
      <c r="J67" s="54" t="s">
        <v>287</v>
      </c>
      <c r="K67" s="51"/>
      <c r="L67" s="52" t="s">
        <v>52</v>
      </c>
      <c r="M67" s="83" t="str">
        <f>"95,9837"</f>
        <v>95,9837</v>
      </c>
      <c r="N67" s="26" t="s">
        <v>45</v>
      </c>
    </row>
    <row r="68" spans="1:14" ht="12.75">
      <c r="A68" s="52" t="s">
        <v>785</v>
      </c>
      <c r="B68" s="26" t="s">
        <v>542</v>
      </c>
      <c r="C68" s="26" t="s">
        <v>543</v>
      </c>
      <c r="D68" s="26" t="s">
        <v>544</v>
      </c>
      <c r="E68" s="26" t="str">
        <f>"0,6122"</f>
        <v>0,6122</v>
      </c>
      <c r="F68" s="26" t="s">
        <v>77</v>
      </c>
      <c r="G68" s="26" t="s">
        <v>78</v>
      </c>
      <c r="H68" s="53" t="s">
        <v>204</v>
      </c>
      <c r="I68" s="53" t="s">
        <v>24</v>
      </c>
      <c r="J68" s="51"/>
      <c r="K68" s="51"/>
      <c r="L68" s="52" t="s">
        <v>24</v>
      </c>
      <c r="M68" s="83" t="str">
        <f>"90,5518"</f>
        <v>90,5518</v>
      </c>
      <c r="N68" s="26" t="s">
        <v>871</v>
      </c>
    </row>
    <row r="69" spans="1:14" ht="12.75">
      <c r="A69" s="40" t="s">
        <v>689</v>
      </c>
      <c r="B69" s="25" t="s">
        <v>545</v>
      </c>
      <c r="C69" s="25" t="s">
        <v>546</v>
      </c>
      <c r="D69" s="25" t="s">
        <v>547</v>
      </c>
      <c r="E69" s="25" t="str">
        <f>"0,6273"</f>
        <v>0,6273</v>
      </c>
      <c r="F69" s="25" t="s">
        <v>15</v>
      </c>
      <c r="G69" s="25" t="s">
        <v>258</v>
      </c>
      <c r="H69" s="50" t="s">
        <v>227</v>
      </c>
      <c r="I69" s="42" t="s">
        <v>228</v>
      </c>
      <c r="J69" s="50" t="s">
        <v>228</v>
      </c>
      <c r="K69" s="42" t="s">
        <v>219</v>
      </c>
      <c r="L69" s="40">
        <v>127.5</v>
      </c>
      <c r="M69" s="81" t="str">
        <f>"103,2469"</f>
        <v>103,2469</v>
      </c>
      <c r="N69" s="25" t="s">
        <v>45</v>
      </c>
    </row>
    <row r="71" spans="1:13" ht="15.75">
      <c r="A71"/>
      <c r="B71" s="136" t="s">
        <v>57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</row>
    <row r="72" spans="1:14" ht="12.75">
      <c r="A72" s="39" t="s">
        <v>689</v>
      </c>
      <c r="B72" s="24" t="s">
        <v>548</v>
      </c>
      <c r="C72" s="24" t="s">
        <v>549</v>
      </c>
      <c r="D72" s="24" t="s">
        <v>550</v>
      </c>
      <c r="E72" s="24" t="str">
        <f>"0,5818"</f>
        <v>0,5818</v>
      </c>
      <c r="F72" s="24" t="s">
        <v>1034</v>
      </c>
      <c r="G72" s="24" t="s">
        <v>322</v>
      </c>
      <c r="H72" s="41" t="s">
        <v>64</v>
      </c>
      <c r="I72" s="49" t="s">
        <v>64</v>
      </c>
      <c r="J72" s="41" t="s">
        <v>70</v>
      </c>
      <c r="K72" s="47"/>
      <c r="L72" s="39" t="s">
        <v>64</v>
      </c>
      <c r="M72" s="80" t="str">
        <f>"104,7240"</f>
        <v>104,7240</v>
      </c>
      <c r="N72" s="24" t="s">
        <v>910</v>
      </c>
    </row>
    <row r="73" spans="1:14" ht="12.75">
      <c r="A73" s="52" t="s">
        <v>785</v>
      </c>
      <c r="B73" s="26" t="s">
        <v>551</v>
      </c>
      <c r="C73" s="26" t="s">
        <v>552</v>
      </c>
      <c r="D73" s="26" t="s">
        <v>553</v>
      </c>
      <c r="E73" s="26" t="str">
        <f>"0,5925"</f>
        <v>0,5925</v>
      </c>
      <c r="F73" s="26" t="s">
        <v>77</v>
      </c>
      <c r="G73" s="26" t="s">
        <v>78</v>
      </c>
      <c r="H73" s="53" t="s">
        <v>53</v>
      </c>
      <c r="I73" s="53" t="s">
        <v>62</v>
      </c>
      <c r="J73" s="53" t="s">
        <v>89</v>
      </c>
      <c r="K73" s="51"/>
      <c r="L73" s="52" t="s">
        <v>89</v>
      </c>
      <c r="M73" s="83" t="str">
        <f>"103,6962"</f>
        <v>103,6962</v>
      </c>
      <c r="N73" s="26" t="s">
        <v>901</v>
      </c>
    </row>
    <row r="74" spans="1:14" ht="12.75">
      <c r="A74" s="52" t="s">
        <v>786</v>
      </c>
      <c r="B74" s="26" t="s">
        <v>887</v>
      </c>
      <c r="C74" s="26" t="s">
        <v>554</v>
      </c>
      <c r="D74" s="26" t="s">
        <v>555</v>
      </c>
      <c r="E74" s="26" t="str">
        <f>"0,5889"</f>
        <v>0,5889</v>
      </c>
      <c r="F74" s="26" t="s">
        <v>48</v>
      </c>
      <c r="G74" s="26" t="s">
        <v>49</v>
      </c>
      <c r="H74" s="53" t="s">
        <v>23</v>
      </c>
      <c r="I74" s="53" t="s">
        <v>191</v>
      </c>
      <c r="J74" s="54" t="s">
        <v>288</v>
      </c>
      <c r="K74" s="51"/>
      <c r="L74" s="52" t="s">
        <v>191</v>
      </c>
      <c r="M74" s="83" t="str">
        <f>"88,3275"</f>
        <v>88,3275</v>
      </c>
      <c r="N74" s="26" t="s">
        <v>908</v>
      </c>
    </row>
    <row r="75" spans="1:14" ht="12.75">
      <c r="A75" s="52" t="s">
        <v>787</v>
      </c>
      <c r="B75" s="26" t="s">
        <v>556</v>
      </c>
      <c r="C75" s="26" t="s">
        <v>557</v>
      </c>
      <c r="D75" s="26" t="s">
        <v>558</v>
      </c>
      <c r="E75" s="26" t="str">
        <f>"0,5864"</f>
        <v>0,5864</v>
      </c>
      <c r="F75" s="26" t="s">
        <v>164</v>
      </c>
      <c r="G75" s="26" t="s">
        <v>137</v>
      </c>
      <c r="H75" s="53" t="s">
        <v>171</v>
      </c>
      <c r="I75" s="54" t="s">
        <v>21</v>
      </c>
      <c r="J75" s="54" t="s">
        <v>132</v>
      </c>
      <c r="K75" s="51"/>
      <c r="L75" s="52">
        <v>87.5</v>
      </c>
      <c r="M75" s="83" t="str">
        <f>"51,3056"</f>
        <v>51,3056</v>
      </c>
      <c r="N75" s="26" t="s">
        <v>45</v>
      </c>
    </row>
    <row r="76" spans="1:14" ht="12.75">
      <c r="A76" s="40" t="s">
        <v>689</v>
      </c>
      <c r="B76" s="25" t="s">
        <v>888</v>
      </c>
      <c r="C76" s="25" t="s">
        <v>559</v>
      </c>
      <c r="D76" s="25" t="s">
        <v>560</v>
      </c>
      <c r="E76" s="25" t="str">
        <f>"0,5900"</f>
        <v>0,5900</v>
      </c>
      <c r="F76" s="25" t="s">
        <v>15</v>
      </c>
      <c r="G76" s="25" t="s">
        <v>49</v>
      </c>
      <c r="H76" s="50" t="s">
        <v>37</v>
      </c>
      <c r="I76" s="50" t="s">
        <v>38</v>
      </c>
      <c r="J76" s="50" t="s">
        <v>35</v>
      </c>
      <c r="K76" s="48"/>
      <c r="L76" s="40" t="s">
        <v>35</v>
      </c>
      <c r="M76" s="81" t="str">
        <f>"109,2351"</f>
        <v>109,2351</v>
      </c>
      <c r="N76" s="25" t="s">
        <v>45</v>
      </c>
    </row>
    <row r="78" spans="1:13" ht="15.75">
      <c r="A78"/>
      <c r="B78" s="136" t="s">
        <v>95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</row>
    <row r="79" spans="1:14" ht="12.75">
      <c r="A79" s="181" t="s">
        <v>1117</v>
      </c>
      <c r="B79" s="24" t="s">
        <v>561</v>
      </c>
      <c r="C79" s="24" t="s">
        <v>562</v>
      </c>
      <c r="D79" s="24" t="s">
        <v>563</v>
      </c>
      <c r="E79" s="24" t="str">
        <f>"0,5767"</f>
        <v>0,5767</v>
      </c>
      <c r="F79" s="24" t="s">
        <v>232</v>
      </c>
      <c r="G79" s="24" t="s">
        <v>233</v>
      </c>
      <c r="H79" s="49" t="s">
        <v>64</v>
      </c>
      <c r="I79" s="49" t="s">
        <v>39</v>
      </c>
      <c r="J79" s="41" t="s">
        <v>40</v>
      </c>
      <c r="K79" s="47"/>
      <c r="L79" s="39" t="s">
        <v>39</v>
      </c>
      <c r="M79" s="80" t="str">
        <f>"109,5730"</f>
        <v>109,5730</v>
      </c>
      <c r="N79" s="24" t="s">
        <v>45</v>
      </c>
    </row>
    <row r="80" spans="1:14" ht="12.75">
      <c r="A80" s="52" t="s">
        <v>689</v>
      </c>
      <c r="B80" s="26" t="s">
        <v>889</v>
      </c>
      <c r="C80" s="26" t="s">
        <v>564</v>
      </c>
      <c r="D80" s="26" t="s">
        <v>565</v>
      </c>
      <c r="E80" s="26" t="str">
        <f>"0,5720"</f>
        <v>0,5720</v>
      </c>
      <c r="F80" s="26" t="s">
        <v>48</v>
      </c>
      <c r="G80" s="26" t="s">
        <v>49</v>
      </c>
      <c r="H80" s="53" t="s">
        <v>62</v>
      </c>
      <c r="I80" s="54" t="s">
        <v>89</v>
      </c>
      <c r="J80" s="53" t="s">
        <v>63</v>
      </c>
      <c r="K80" s="51"/>
      <c r="L80" s="52">
        <v>177.5</v>
      </c>
      <c r="M80" s="83" t="str">
        <f>"101,5300"</f>
        <v>101,5300</v>
      </c>
      <c r="N80" s="26" t="s">
        <v>908</v>
      </c>
    </row>
    <row r="81" spans="1:14" ht="12.75">
      <c r="A81" s="52" t="s">
        <v>785</v>
      </c>
      <c r="B81" s="26" t="s">
        <v>890</v>
      </c>
      <c r="C81" s="26" t="s">
        <v>566</v>
      </c>
      <c r="D81" s="26" t="s">
        <v>567</v>
      </c>
      <c r="E81" s="26" t="str">
        <f>"0,5659"</f>
        <v>0,5659</v>
      </c>
      <c r="F81" s="26" t="s">
        <v>146</v>
      </c>
      <c r="G81" s="26" t="s">
        <v>147</v>
      </c>
      <c r="H81" s="53" t="s">
        <v>52</v>
      </c>
      <c r="I81" s="53" t="s">
        <v>288</v>
      </c>
      <c r="J81" s="53" t="s">
        <v>289</v>
      </c>
      <c r="K81" s="51"/>
      <c r="L81" s="52">
        <v>167.5</v>
      </c>
      <c r="M81" s="83" t="str">
        <f>"94,7966"</f>
        <v>94,7966</v>
      </c>
      <c r="N81" s="26" t="s">
        <v>911</v>
      </c>
    </row>
    <row r="82" spans="1:14" ht="12.75">
      <c r="A82" s="52" t="s">
        <v>689</v>
      </c>
      <c r="B82" s="26" t="s">
        <v>891</v>
      </c>
      <c r="C82" s="26" t="s">
        <v>568</v>
      </c>
      <c r="D82" s="26" t="s">
        <v>569</v>
      </c>
      <c r="E82" s="26" t="str">
        <f>"0,5650"</f>
        <v>0,5650</v>
      </c>
      <c r="F82" s="26" t="s">
        <v>1036</v>
      </c>
      <c r="G82" s="26" t="s">
        <v>16</v>
      </c>
      <c r="H82" s="53" t="s">
        <v>81</v>
      </c>
      <c r="I82" s="53" t="s">
        <v>191</v>
      </c>
      <c r="J82" s="54" t="s">
        <v>52</v>
      </c>
      <c r="K82" s="51"/>
      <c r="L82" s="52" t="s">
        <v>191</v>
      </c>
      <c r="M82" s="83" t="str">
        <f>"87,3772"</f>
        <v>87,3772</v>
      </c>
      <c r="N82" s="26" t="s">
        <v>311</v>
      </c>
    </row>
    <row r="83" spans="1:14" ht="12.75">
      <c r="A83" s="52" t="s">
        <v>689</v>
      </c>
      <c r="B83" s="26" t="s">
        <v>892</v>
      </c>
      <c r="C83" s="26" t="s">
        <v>570</v>
      </c>
      <c r="D83" s="26" t="s">
        <v>571</v>
      </c>
      <c r="E83" s="26" t="str">
        <f>"0,5663"</f>
        <v>0,5663</v>
      </c>
      <c r="F83" s="26" t="s">
        <v>15</v>
      </c>
      <c r="G83" s="26" t="s">
        <v>16</v>
      </c>
      <c r="H83" s="53" t="s">
        <v>24</v>
      </c>
      <c r="I83" s="54" t="s">
        <v>191</v>
      </c>
      <c r="J83" s="53" t="s">
        <v>82</v>
      </c>
      <c r="K83" s="51"/>
      <c r="L83" s="52">
        <v>152.5</v>
      </c>
      <c r="M83" s="83" t="str">
        <f>"102,2511"</f>
        <v>102,2511</v>
      </c>
      <c r="N83" s="26" t="s">
        <v>912</v>
      </c>
    </row>
    <row r="84" spans="1:14" ht="12.75">
      <c r="A84" s="40" t="s">
        <v>689</v>
      </c>
      <c r="B84" s="25" t="s">
        <v>435</v>
      </c>
      <c r="C84" s="25" t="s">
        <v>418</v>
      </c>
      <c r="D84" s="25" t="s">
        <v>419</v>
      </c>
      <c r="E84" s="25" t="str">
        <f>"0,5648"</f>
        <v>0,5648</v>
      </c>
      <c r="F84" s="25" t="s">
        <v>48</v>
      </c>
      <c r="G84" s="25" t="s">
        <v>49</v>
      </c>
      <c r="H84" s="42" t="s">
        <v>35</v>
      </c>
      <c r="I84" s="50" t="s">
        <v>35</v>
      </c>
      <c r="J84" s="42" t="s">
        <v>36</v>
      </c>
      <c r="K84" s="48"/>
      <c r="L84" s="40" t="s">
        <v>35</v>
      </c>
      <c r="M84" s="81" t="str">
        <f>"85,9476"</f>
        <v>85,9476</v>
      </c>
      <c r="N84" s="25" t="s">
        <v>45</v>
      </c>
    </row>
    <row r="86" spans="1:13" ht="15.75">
      <c r="A86"/>
      <c r="B86" s="136" t="s">
        <v>420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</row>
    <row r="87" spans="1:14" ht="12.75">
      <c r="A87" s="39" t="s">
        <v>689</v>
      </c>
      <c r="B87" s="24" t="s">
        <v>893</v>
      </c>
      <c r="C87" s="24" t="s">
        <v>572</v>
      </c>
      <c r="D87" s="24" t="s">
        <v>573</v>
      </c>
      <c r="E87" s="24" t="str">
        <f>"0,5499"</f>
        <v>0,5499</v>
      </c>
      <c r="F87" s="24" t="s">
        <v>15</v>
      </c>
      <c r="G87" s="24" t="s">
        <v>16</v>
      </c>
      <c r="H87" s="49" t="s">
        <v>88</v>
      </c>
      <c r="I87" s="49" t="s">
        <v>63</v>
      </c>
      <c r="J87" s="49" t="s">
        <v>70</v>
      </c>
      <c r="K87" s="47"/>
      <c r="L87" s="39" t="s">
        <v>70</v>
      </c>
      <c r="M87" s="80" t="str">
        <f>"101,7315"</f>
        <v>101,7315</v>
      </c>
      <c r="N87" s="24" t="s">
        <v>913</v>
      </c>
    </row>
    <row r="88" spans="1:14" ht="12.75">
      <c r="A88" s="52" t="s">
        <v>785</v>
      </c>
      <c r="B88" s="26" t="s">
        <v>894</v>
      </c>
      <c r="C88" s="26" t="s">
        <v>574</v>
      </c>
      <c r="D88" s="26" t="s">
        <v>575</v>
      </c>
      <c r="E88" s="26" t="str">
        <f>"0,5518"</f>
        <v>0,5518</v>
      </c>
      <c r="F88" s="26" t="s">
        <v>1036</v>
      </c>
      <c r="G88" s="26" t="s">
        <v>16</v>
      </c>
      <c r="H88" s="54" t="s">
        <v>266</v>
      </c>
      <c r="I88" s="53" t="s">
        <v>266</v>
      </c>
      <c r="J88" s="54" t="s">
        <v>63</v>
      </c>
      <c r="K88" s="51"/>
      <c r="L88" s="52">
        <v>172.5</v>
      </c>
      <c r="M88" s="83" t="str">
        <f>"95,1769"</f>
        <v>95,1769</v>
      </c>
      <c r="N88" s="26" t="s">
        <v>857</v>
      </c>
    </row>
    <row r="89" spans="1:14" ht="12.75">
      <c r="A89" s="40" t="s">
        <v>689</v>
      </c>
      <c r="B89" s="25" t="s">
        <v>895</v>
      </c>
      <c r="C89" s="25" t="s">
        <v>576</v>
      </c>
      <c r="D89" s="25" t="s">
        <v>577</v>
      </c>
      <c r="E89" s="25" t="str">
        <f>"0,5531"</f>
        <v>0,5531</v>
      </c>
      <c r="F89" s="25" t="s">
        <v>15</v>
      </c>
      <c r="G89" s="25" t="s">
        <v>16</v>
      </c>
      <c r="H89" s="50" t="s">
        <v>287</v>
      </c>
      <c r="I89" s="50" t="s">
        <v>288</v>
      </c>
      <c r="J89" s="42" t="s">
        <v>289</v>
      </c>
      <c r="K89" s="48"/>
      <c r="L89" s="40">
        <v>162.5</v>
      </c>
      <c r="M89" s="81" t="str">
        <f>"125,2124"</f>
        <v>125,2124</v>
      </c>
      <c r="N89" s="25" t="s">
        <v>45</v>
      </c>
    </row>
    <row r="91" spans="2:3" ht="18">
      <c r="B91" s="27" t="s">
        <v>107</v>
      </c>
      <c r="C91" s="27"/>
    </row>
    <row r="92" spans="2:3" ht="15.75">
      <c r="B92" s="28" t="s">
        <v>116</v>
      </c>
      <c r="C92" s="28"/>
    </row>
    <row r="93" spans="2:6" ht="13.5">
      <c r="B93" s="32" t="s">
        <v>110</v>
      </c>
      <c r="C93" s="32" t="s">
        <v>111</v>
      </c>
      <c r="D93" s="32" t="s">
        <v>112</v>
      </c>
      <c r="E93" s="32" t="s">
        <v>690</v>
      </c>
      <c r="F93" s="32" t="s">
        <v>114</v>
      </c>
    </row>
    <row r="94" spans="1:6" ht="12.75">
      <c r="A94" s="36" t="s">
        <v>689</v>
      </c>
      <c r="B94" s="29" t="s">
        <v>482</v>
      </c>
      <c r="C94" s="22" t="s">
        <v>109</v>
      </c>
      <c r="D94" s="22" t="s">
        <v>138</v>
      </c>
      <c r="E94" s="36" t="s">
        <v>89</v>
      </c>
      <c r="F94" s="33" t="s">
        <v>1086</v>
      </c>
    </row>
    <row r="95" spans="1:6" ht="12.75">
      <c r="A95" s="36" t="s">
        <v>785</v>
      </c>
      <c r="B95" s="29" t="s">
        <v>515</v>
      </c>
      <c r="C95" s="22" t="s">
        <v>109</v>
      </c>
      <c r="D95" s="22" t="s">
        <v>131</v>
      </c>
      <c r="E95" s="36" t="s">
        <v>64</v>
      </c>
      <c r="F95" s="33" t="s">
        <v>578</v>
      </c>
    </row>
    <row r="96" spans="1:6" ht="12.75">
      <c r="A96" s="36" t="s">
        <v>786</v>
      </c>
      <c r="B96" s="29" t="s">
        <v>484</v>
      </c>
      <c r="C96" s="22" t="s">
        <v>109</v>
      </c>
      <c r="D96" s="22" t="s">
        <v>138</v>
      </c>
      <c r="E96" s="36" t="s">
        <v>88</v>
      </c>
      <c r="F96" s="33" t="s">
        <v>1087</v>
      </c>
    </row>
    <row r="98" spans="2:3" ht="15.75">
      <c r="B98" s="28" t="s">
        <v>1081</v>
      </c>
      <c r="C98" s="28"/>
    </row>
    <row r="99" spans="2:6" ht="13.5">
      <c r="B99" s="32" t="s">
        <v>110</v>
      </c>
      <c r="C99" s="32" t="s">
        <v>111</v>
      </c>
      <c r="D99" s="32" t="s">
        <v>112</v>
      </c>
      <c r="E99" s="32" t="s">
        <v>690</v>
      </c>
      <c r="F99" s="99" t="s">
        <v>114</v>
      </c>
    </row>
    <row r="100" spans="1:6" ht="12.75">
      <c r="A100" s="36" t="s">
        <v>689</v>
      </c>
      <c r="B100" s="29" t="s">
        <v>504</v>
      </c>
      <c r="C100" s="22" t="s">
        <v>1081</v>
      </c>
      <c r="D100" s="22" t="s">
        <v>138</v>
      </c>
      <c r="E100" s="36" t="s">
        <v>23</v>
      </c>
      <c r="F100" s="100" t="str">
        <f>"138,3569"</f>
        <v>138,3569</v>
      </c>
    </row>
    <row r="101" spans="1:6" ht="12.75">
      <c r="A101" s="36" t="s">
        <v>785</v>
      </c>
      <c r="B101" s="29" t="s">
        <v>509</v>
      </c>
      <c r="C101" s="22" t="s">
        <v>1081</v>
      </c>
      <c r="D101" s="22" t="s">
        <v>148</v>
      </c>
      <c r="E101" s="36" t="s">
        <v>24</v>
      </c>
      <c r="F101" s="33" t="s">
        <v>1083</v>
      </c>
    </row>
    <row r="102" spans="1:6" ht="12.75">
      <c r="A102" s="36" t="s">
        <v>786</v>
      </c>
      <c r="B102" s="29" t="s">
        <v>895</v>
      </c>
      <c r="C102" s="22" t="s">
        <v>1081</v>
      </c>
      <c r="D102" s="22" t="s">
        <v>19</v>
      </c>
      <c r="E102" s="36" t="s">
        <v>288</v>
      </c>
      <c r="F102" s="33" t="s">
        <v>1082</v>
      </c>
    </row>
  </sheetData>
  <sheetProtection/>
  <mergeCells count="25">
    <mergeCell ref="A3:A4"/>
    <mergeCell ref="B78:M78"/>
    <mergeCell ref="B86:M86"/>
    <mergeCell ref="B15:M15"/>
    <mergeCell ref="B21:M21"/>
    <mergeCell ref="B25:M25"/>
    <mergeCell ref="B32:M32"/>
    <mergeCell ref="B36:M36"/>
    <mergeCell ref="B51:M51"/>
    <mergeCell ref="N3:N4"/>
    <mergeCell ref="B5:M5"/>
    <mergeCell ref="B8:M8"/>
    <mergeCell ref="B12:M12"/>
    <mergeCell ref="B55:M55"/>
    <mergeCell ref="B71:M71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24">
      <selection activeCell="G57" sqref="G57"/>
    </sheetView>
  </sheetViews>
  <sheetFormatPr defaultColWidth="8.75390625" defaultRowHeight="12.75"/>
  <cols>
    <col min="1" max="1" width="7.875" style="36" bestFit="1" customWidth="1"/>
    <col min="2" max="2" width="22.375" style="22" customWidth="1"/>
    <col min="3" max="3" width="26.875" style="22" bestFit="1" customWidth="1"/>
    <col min="4" max="4" width="10.625" style="22" bestFit="1" customWidth="1"/>
    <col min="5" max="5" width="12.75390625" style="22" customWidth="1"/>
    <col min="6" max="6" width="18.875" style="22" customWidth="1"/>
    <col min="7" max="7" width="34.00390625" style="22" bestFit="1" customWidth="1"/>
    <col min="8" max="10" width="5.625" style="36" bestFit="1" customWidth="1"/>
    <col min="11" max="11" width="5.125" style="36" bestFit="1" customWidth="1"/>
    <col min="12" max="12" width="11.625" style="36" customWidth="1"/>
    <col min="13" max="13" width="8.625" style="22" bestFit="1" customWidth="1"/>
    <col min="14" max="14" width="21.875" style="22" bestFit="1" customWidth="1"/>
  </cols>
  <sheetData>
    <row r="1" spans="2:14" s="1" customFormat="1" ht="15" customHeight="1">
      <c r="B1" s="124" t="s">
        <v>1041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s="1" customFormat="1" ht="83.2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5</v>
      </c>
      <c r="I3" s="132"/>
      <c r="J3" s="132"/>
      <c r="K3" s="146"/>
      <c r="L3" s="130" t="s">
        <v>690</v>
      </c>
      <c r="M3" s="132" t="s">
        <v>9</v>
      </c>
      <c r="N3" s="146" t="s">
        <v>10</v>
      </c>
    </row>
    <row r="4" spans="1:14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131"/>
      <c r="M4" s="133"/>
      <c r="N4" s="147"/>
    </row>
    <row r="5" spans="1:13" ht="15.75">
      <c r="A5"/>
      <c r="B5" s="137" t="s">
        <v>167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2.75">
      <c r="A6" s="39" t="s">
        <v>689</v>
      </c>
      <c r="B6" s="24" t="s">
        <v>914</v>
      </c>
      <c r="C6" s="24" t="s">
        <v>366</v>
      </c>
      <c r="D6" s="24" t="s">
        <v>367</v>
      </c>
      <c r="E6" s="24" t="str">
        <f>"1,0306"</f>
        <v>1,0306</v>
      </c>
      <c r="F6" s="24" t="s">
        <v>48</v>
      </c>
      <c r="G6" s="24" t="s">
        <v>49</v>
      </c>
      <c r="H6" s="49" t="s">
        <v>150</v>
      </c>
      <c r="I6" s="41" t="s">
        <v>127</v>
      </c>
      <c r="J6" s="41" t="s">
        <v>127</v>
      </c>
      <c r="K6" s="47"/>
      <c r="L6" s="39" t="s">
        <v>150</v>
      </c>
      <c r="M6" s="80" t="str">
        <f>"56,6830"</f>
        <v>56,6830</v>
      </c>
      <c r="N6" s="24" t="s">
        <v>930</v>
      </c>
    </row>
    <row r="7" spans="1:14" ht="12.75">
      <c r="A7" s="40" t="s">
        <v>689</v>
      </c>
      <c r="B7" s="25" t="s">
        <v>915</v>
      </c>
      <c r="C7" s="25" t="s">
        <v>369</v>
      </c>
      <c r="D7" s="25" t="s">
        <v>370</v>
      </c>
      <c r="E7" s="25" t="str">
        <f>"1,0024"</f>
        <v>1,0024</v>
      </c>
      <c r="F7" s="25" t="s">
        <v>15</v>
      </c>
      <c r="G7" s="25" t="s">
        <v>929</v>
      </c>
      <c r="H7" s="50" t="s">
        <v>18</v>
      </c>
      <c r="I7" s="42" t="s">
        <v>35</v>
      </c>
      <c r="J7" s="50" t="s">
        <v>35</v>
      </c>
      <c r="K7" s="48"/>
      <c r="L7" s="40" t="s">
        <v>35</v>
      </c>
      <c r="M7" s="81" t="str">
        <f>"120,2880"</f>
        <v>120,2880</v>
      </c>
      <c r="N7" s="25" t="s">
        <v>931</v>
      </c>
    </row>
    <row r="9" spans="1:13" ht="15.75">
      <c r="A9"/>
      <c r="B9" s="136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4" ht="12.75">
      <c r="A10" s="35" t="s">
        <v>689</v>
      </c>
      <c r="B10" s="23" t="s">
        <v>371</v>
      </c>
      <c r="C10" s="23" t="s">
        <v>372</v>
      </c>
      <c r="D10" s="23" t="s">
        <v>197</v>
      </c>
      <c r="E10" s="23" t="str">
        <f>"0,9135"</f>
        <v>0,9135</v>
      </c>
      <c r="F10" s="23" t="s">
        <v>15</v>
      </c>
      <c r="G10" s="23" t="s">
        <v>802</v>
      </c>
      <c r="H10" s="38" t="s">
        <v>19</v>
      </c>
      <c r="I10" s="38" t="s">
        <v>36</v>
      </c>
      <c r="J10" s="38" t="s">
        <v>373</v>
      </c>
      <c r="K10" s="34"/>
      <c r="L10" s="35" t="s">
        <v>373</v>
      </c>
      <c r="M10" s="79" t="s">
        <v>1057</v>
      </c>
      <c r="N10" s="23" t="s">
        <v>374</v>
      </c>
    </row>
    <row r="12" spans="1:13" ht="15.75">
      <c r="A12"/>
      <c r="B12" s="136" t="s">
        <v>25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4" ht="12.75">
      <c r="A13" s="35" t="s">
        <v>689</v>
      </c>
      <c r="B13" s="23" t="s">
        <v>916</v>
      </c>
      <c r="C13" s="23" t="s">
        <v>375</v>
      </c>
      <c r="D13" s="23" t="s">
        <v>376</v>
      </c>
      <c r="E13" s="23" t="str">
        <f>"0,7079"</f>
        <v>0,7079</v>
      </c>
      <c r="F13" s="23" t="s">
        <v>15</v>
      </c>
      <c r="G13" s="23" t="s">
        <v>49</v>
      </c>
      <c r="H13" s="38" t="s">
        <v>35</v>
      </c>
      <c r="I13" s="37" t="s">
        <v>36</v>
      </c>
      <c r="J13" s="37" t="s">
        <v>22</v>
      </c>
      <c r="K13" s="34"/>
      <c r="L13" s="35" t="s">
        <v>35</v>
      </c>
      <c r="M13" s="79" t="str">
        <f>"84,9480"</f>
        <v>84,9480</v>
      </c>
      <c r="N13" s="23" t="s">
        <v>45</v>
      </c>
    </row>
    <row r="15" spans="1:13" ht="15.75">
      <c r="A15"/>
      <c r="B15" s="136" t="s">
        <v>207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1:14" ht="12.75">
      <c r="A16" s="39" t="s">
        <v>689</v>
      </c>
      <c r="B16" s="24" t="s">
        <v>917</v>
      </c>
      <c r="C16" s="24" t="s">
        <v>377</v>
      </c>
      <c r="D16" s="24" t="s">
        <v>378</v>
      </c>
      <c r="E16" s="24" t="str">
        <f>"0,6540"</f>
        <v>0,6540</v>
      </c>
      <c r="F16" s="24" t="s">
        <v>48</v>
      </c>
      <c r="G16" s="24" t="s">
        <v>49</v>
      </c>
      <c r="H16" s="49" t="s">
        <v>53</v>
      </c>
      <c r="I16" s="41" t="s">
        <v>266</v>
      </c>
      <c r="J16" s="41" t="s">
        <v>89</v>
      </c>
      <c r="K16" s="47"/>
      <c r="L16" s="39" t="s">
        <v>53</v>
      </c>
      <c r="M16" s="80" t="str">
        <f>"107,9100"</f>
        <v>107,9100</v>
      </c>
      <c r="N16" s="24" t="s">
        <v>930</v>
      </c>
    </row>
    <row r="17" spans="1:14" ht="12.75">
      <c r="A17" s="40" t="s">
        <v>785</v>
      </c>
      <c r="B17" s="25" t="s">
        <v>918</v>
      </c>
      <c r="C17" s="25" t="s">
        <v>379</v>
      </c>
      <c r="D17" s="25" t="s">
        <v>380</v>
      </c>
      <c r="E17" s="25" t="str">
        <f>"0,6623"</f>
        <v>0,6623</v>
      </c>
      <c r="F17" s="25" t="s">
        <v>248</v>
      </c>
      <c r="G17" s="25" t="s">
        <v>249</v>
      </c>
      <c r="H17" s="50" t="s">
        <v>22</v>
      </c>
      <c r="I17" s="50" t="s">
        <v>204</v>
      </c>
      <c r="J17" s="50" t="s">
        <v>191</v>
      </c>
      <c r="K17" s="48"/>
      <c r="L17" s="40" t="s">
        <v>191</v>
      </c>
      <c r="M17" s="81" t="str">
        <f>"99,3525"</f>
        <v>99,3525</v>
      </c>
      <c r="N17" s="25" t="s">
        <v>852</v>
      </c>
    </row>
    <row r="19" spans="1:13" ht="15.75">
      <c r="A19"/>
      <c r="B19" s="136" t="s">
        <v>41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</row>
    <row r="20" spans="1:14" ht="12.75">
      <c r="A20" s="39" t="s">
        <v>689</v>
      </c>
      <c r="B20" s="24" t="s">
        <v>381</v>
      </c>
      <c r="C20" s="24" t="s">
        <v>382</v>
      </c>
      <c r="D20" s="24" t="s">
        <v>383</v>
      </c>
      <c r="E20" s="24" t="str">
        <f>"0,6188"</f>
        <v>0,6188</v>
      </c>
      <c r="F20" s="24" t="s">
        <v>15</v>
      </c>
      <c r="G20" s="24" t="s">
        <v>1058</v>
      </c>
      <c r="H20" s="49" t="s">
        <v>218</v>
      </c>
      <c r="I20" s="41" t="s">
        <v>384</v>
      </c>
      <c r="J20" s="41" t="s">
        <v>384</v>
      </c>
      <c r="K20" s="47"/>
      <c r="L20" s="39" t="s">
        <v>218</v>
      </c>
      <c r="M20" s="80" t="str">
        <f>"120,6757"</f>
        <v>120,6757</v>
      </c>
      <c r="N20" s="24" t="s">
        <v>932</v>
      </c>
    </row>
    <row r="21" spans="1:14" ht="12.75">
      <c r="A21" s="52" t="s">
        <v>785</v>
      </c>
      <c r="B21" s="26" t="s">
        <v>919</v>
      </c>
      <c r="C21" s="26" t="s">
        <v>385</v>
      </c>
      <c r="D21" s="26" t="s">
        <v>253</v>
      </c>
      <c r="E21" s="26" t="str">
        <f>"0,6181"</f>
        <v>0,6181</v>
      </c>
      <c r="F21" s="26" t="s">
        <v>48</v>
      </c>
      <c r="G21" s="26" t="s">
        <v>49</v>
      </c>
      <c r="H21" s="53" t="s">
        <v>88</v>
      </c>
      <c r="I21" s="53" t="s">
        <v>62</v>
      </c>
      <c r="J21" s="53" t="s">
        <v>89</v>
      </c>
      <c r="K21" s="51"/>
      <c r="L21" s="52" t="s">
        <v>89</v>
      </c>
      <c r="M21" s="83" t="str">
        <f>"108,1675"</f>
        <v>108,1675</v>
      </c>
      <c r="N21" s="26" t="s">
        <v>930</v>
      </c>
    </row>
    <row r="22" spans="1:14" ht="12.75">
      <c r="A22" s="52" t="s">
        <v>786</v>
      </c>
      <c r="B22" s="26" t="s">
        <v>920</v>
      </c>
      <c r="C22" s="26" t="s">
        <v>386</v>
      </c>
      <c r="D22" s="26" t="s">
        <v>383</v>
      </c>
      <c r="E22" s="26" t="str">
        <f>"0,6188"</f>
        <v>0,6188</v>
      </c>
      <c r="F22" s="26" t="s">
        <v>48</v>
      </c>
      <c r="G22" s="26" t="s">
        <v>49</v>
      </c>
      <c r="H22" s="53" t="s">
        <v>53</v>
      </c>
      <c r="I22" s="54" t="s">
        <v>89</v>
      </c>
      <c r="J22" s="54" t="s">
        <v>89</v>
      </c>
      <c r="K22" s="51"/>
      <c r="L22" s="52" t="s">
        <v>53</v>
      </c>
      <c r="M22" s="83" t="str">
        <f>"102,1102"</f>
        <v>102,1102</v>
      </c>
      <c r="N22" s="26" t="s">
        <v>908</v>
      </c>
    </row>
    <row r="23" spans="1:14" ht="12.75">
      <c r="A23" s="52" t="s">
        <v>787</v>
      </c>
      <c r="B23" s="26" t="s">
        <v>312</v>
      </c>
      <c r="C23" s="26" t="s">
        <v>313</v>
      </c>
      <c r="D23" s="26" t="s">
        <v>314</v>
      </c>
      <c r="E23" s="26" t="str">
        <f>"0,6145"</f>
        <v>0,6145</v>
      </c>
      <c r="F23" s="26" t="s">
        <v>15</v>
      </c>
      <c r="G23" s="26" t="s">
        <v>802</v>
      </c>
      <c r="H23" s="53" t="s">
        <v>204</v>
      </c>
      <c r="I23" s="51"/>
      <c r="J23" s="51"/>
      <c r="K23" s="51"/>
      <c r="L23" s="52">
        <v>142.5</v>
      </c>
      <c r="M23" s="83" t="str">
        <f>"87,5734"</f>
        <v>87,5734</v>
      </c>
      <c r="N23" s="26" t="s">
        <v>803</v>
      </c>
    </row>
    <row r="24" spans="1:14" ht="12.75">
      <c r="A24" s="52" t="s">
        <v>789</v>
      </c>
      <c r="B24" s="26" t="s">
        <v>921</v>
      </c>
      <c r="C24" s="26" t="s">
        <v>387</v>
      </c>
      <c r="D24" s="26" t="s">
        <v>388</v>
      </c>
      <c r="E24" s="26" t="str">
        <f>"0,6153"</f>
        <v>0,6153</v>
      </c>
      <c r="F24" s="26" t="s">
        <v>844</v>
      </c>
      <c r="G24" s="26" t="s">
        <v>16</v>
      </c>
      <c r="H24" s="54" t="s">
        <v>36</v>
      </c>
      <c r="I24" s="53" t="s">
        <v>36</v>
      </c>
      <c r="J24" s="54" t="s">
        <v>287</v>
      </c>
      <c r="K24" s="51"/>
      <c r="L24" s="52" t="s">
        <v>36</v>
      </c>
      <c r="M24" s="83" t="str">
        <f>"79,9890"</f>
        <v>79,9890</v>
      </c>
      <c r="N24" s="26" t="s">
        <v>933</v>
      </c>
    </row>
    <row r="25" spans="1:14" ht="12.75">
      <c r="A25" s="52"/>
      <c r="B25" s="26" t="s">
        <v>389</v>
      </c>
      <c r="C25" s="26" t="s">
        <v>390</v>
      </c>
      <c r="D25" s="26" t="s">
        <v>391</v>
      </c>
      <c r="E25" s="26" t="str">
        <f>"0,6137"</f>
        <v>0,6137</v>
      </c>
      <c r="F25" s="26" t="s">
        <v>15</v>
      </c>
      <c r="G25" s="26" t="s">
        <v>49</v>
      </c>
      <c r="H25" s="54" t="s">
        <v>22</v>
      </c>
      <c r="I25" s="54" t="s">
        <v>22</v>
      </c>
      <c r="J25" s="54" t="s">
        <v>22</v>
      </c>
      <c r="K25" s="54"/>
      <c r="L25" s="52">
        <v>0</v>
      </c>
      <c r="M25" s="52" t="s">
        <v>801</v>
      </c>
      <c r="N25" s="26" t="s">
        <v>45</v>
      </c>
    </row>
    <row r="26" spans="1:14" ht="12.75">
      <c r="A26" s="52" t="s">
        <v>689</v>
      </c>
      <c r="B26" s="26" t="s">
        <v>456</v>
      </c>
      <c r="C26" s="26" t="s">
        <v>392</v>
      </c>
      <c r="D26" s="26" t="s">
        <v>393</v>
      </c>
      <c r="E26" s="26" t="str">
        <f>"0,6165"</f>
        <v>0,6165</v>
      </c>
      <c r="F26" s="26" t="s">
        <v>164</v>
      </c>
      <c r="G26" s="26" t="s">
        <v>224</v>
      </c>
      <c r="H26" s="54" t="s">
        <v>24</v>
      </c>
      <c r="I26" s="53" t="s">
        <v>24</v>
      </c>
      <c r="J26" s="54" t="s">
        <v>81</v>
      </c>
      <c r="K26" s="51"/>
      <c r="L26" s="52" t="s">
        <v>24</v>
      </c>
      <c r="M26" s="83" t="str">
        <f>"98,0556"</f>
        <v>98,0556</v>
      </c>
      <c r="N26" s="26" t="s">
        <v>45</v>
      </c>
    </row>
    <row r="27" spans="1:14" ht="12.75">
      <c r="A27" s="40" t="s">
        <v>689</v>
      </c>
      <c r="B27" s="25" t="s">
        <v>818</v>
      </c>
      <c r="C27" s="25" t="s">
        <v>394</v>
      </c>
      <c r="D27" s="25" t="s">
        <v>352</v>
      </c>
      <c r="E27" s="25" t="str">
        <f>"0,6184"</f>
        <v>0,6184</v>
      </c>
      <c r="F27" s="25" t="s">
        <v>164</v>
      </c>
      <c r="G27" s="25" t="s">
        <v>395</v>
      </c>
      <c r="H27" s="50" t="s">
        <v>19</v>
      </c>
      <c r="I27" s="48"/>
      <c r="J27" s="48"/>
      <c r="K27" s="48"/>
      <c r="L27" s="40" t="s">
        <v>19</v>
      </c>
      <c r="M27" s="81" t="str">
        <f>"145,0265"</f>
        <v>145,0265</v>
      </c>
      <c r="N27" s="25" t="s">
        <v>45</v>
      </c>
    </row>
    <row r="29" spans="1:13" ht="15.75">
      <c r="A29"/>
      <c r="B29" s="136" t="s">
        <v>57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</row>
    <row r="30" spans="1:14" ht="12.75">
      <c r="A30" s="39" t="s">
        <v>689</v>
      </c>
      <c r="B30" s="24" t="s">
        <v>396</v>
      </c>
      <c r="C30" s="24" t="s">
        <v>397</v>
      </c>
      <c r="D30" s="24" t="s">
        <v>92</v>
      </c>
      <c r="E30" s="24" t="str">
        <f>"0,5846"</f>
        <v>0,5846</v>
      </c>
      <c r="F30" s="24" t="s">
        <v>77</v>
      </c>
      <c r="G30" s="24" t="s">
        <v>78</v>
      </c>
      <c r="H30" s="49" t="s">
        <v>70</v>
      </c>
      <c r="I30" s="49" t="s">
        <v>298</v>
      </c>
      <c r="J30" s="41" t="s">
        <v>40</v>
      </c>
      <c r="K30" s="47"/>
      <c r="L30" s="39">
        <v>192.5</v>
      </c>
      <c r="M30" s="80" t="str">
        <f>"112,5259"</f>
        <v>112,5259</v>
      </c>
      <c r="N30" s="24" t="s">
        <v>901</v>
      </c>
    </row>
    <row r="31" spans="1:14" ht="12.75">
      <c r="A31" s="52" t="s">
        <v>785</v>
      </c>
      <c r="B31" s="26" t="s">
        <v>922</v>
      </c>
      <c r="C31" s="26" t="s">
        <v>398</v>
      </c>
      <c r="D31" s="26" t="s">
        <v>399</v>
      </c>
      <c r="E31" s="26" t="str">
        <f>"0,5871"</f>
        <v>0,5871</v>
      </c>
      <c r="F31" s="26" t="s">
        <v>48</v>
      </c>
      <c r="G31" s="26" t="s">
        <v>49</v>
      </c>
      <c r="H31" s="54" t="s">
        <v>89</v>
      </c>
      <c r="I31" s="54" t="s">
        <v>89</v>
      </c>
      <c r="J31" s="53" t="s">
        <v>64</v>
      </c>
      <c r="K31" s="51"/>
      <c r="L31" s="52" t="s">
        <v>64</v>
      </c>
      <c r="M31" s="83" t="str">
        <f>"105,6870"</f>
        <v>105,6870</v>
      </c>
      <c r="N31" s="26" t="s">
        <v>930</v>
      </c>
    </row>
    <row r="32" spans="1:14" ht="12.75">
      <c r="A32" s="52" t="s">
        <v>786</v>
      </c>
      <c r="B32" s="26" t="s">
        <v>923</v>
      </c>
      <c r="C32" s="26" t="s">
        <v>85</v>
      </c>
      <c r="D32" s="26" t="s">
        <v>86</v>
      </c>
      <c r="E32" s="26" t="str">
        <f>"0,5870"</f>
        <v>0,5870</v>
      </c>
      <c r="F32" s="26" t="s">
        <v>33</v>
      </c>
      <c r="G32" s="26" t="s">
        <v>87</v>
      </c>
      <c r="H32" s="53" t="s">
        <v>62</v>
      </c>
      <c r="I32" s="51"/>
      <c r="J32" s="51"/>
      <c r="K32" s="51"/>
      <c r="L32" s="52" t="s">
        <v>62</v>
      </c>
      <c r="M32" s="83" t="str">
        <f>"99,7815"</f>
        <v>99,7815</v>
      </c>
      <c r="N32" s="26" t="s">
        <v>872</v>
      </c>
    </row>
    <row r="33" spans="1:14" ht="12.75">
      <c r="A33" s="52" t="s">
        <v>787</v>
      </c>
      <c r="B33" s="26" t="s">
        <v>924</v>
      </c>
      <c r="C33" s="26" t="s">
        <v>400</v>
      </c>
      <c r="D33" s="26" t="s">
        <v>401</v>
      </c>
      <c r="E33" s="26" t="str">
        <f>"0,5828"</f>
        <v>0,5828</v>
      </c>
      <c r="F33" s="26" t="s">
        <v>15</v>
      </c>
      <c r="G33" s="26" t="s">
        <v>224</v>
      </c>
      <c r="H33" s="54" t="s">
        <v>191</v>
      </c>
      <c r="I33" s="53" t="s">
        <v>191</v>
      </c>
      <c r="J33" s="54" t="s">
        <v>88</v>
      </c>
      <c r="K33" s="51"/>
      <c r="L33" s="52" t="s">
        <v>191</v>
      </c>
      <c r="M33" s="83" t="str">
        <f>"87,4200"</f>
        <v>87,4200</v>
      </c>
      <c r="N33" s="26" t="s">
        <v>934</v>
      </c>
    </row>
    <row r="34" spans="1:14" ht="12.75">
      <c r="A34" s="52"/>
      <c r="B34" s="26" t="s">
        <v>402</v>
      </c>
      <c r="C34" s="26" t="s">
        <v>403</v>
      </c>
      <c r="D34" s="26" t="s">
        <v>404</v>
      </c>
      <c r="E34" s="26" t="str">
        <f>"0,5914"</f>
        <v>0,5914</v>
      </c>
      <c r="F34" s="26" t="s">
        <v>15</v>
      </c>
      <c r="G34" s="26" t="s">
        <v>16</v>
      </c>
      <c r="H34" s="54" t="s">
        <v>40</v>
      </c>
      <c r="I34" s="54" t="s">
        <v>93</v>
      </c>
      <c r="J34" s="54" t="s">
        <v>93</v>
      </c>
      <c r="K34" s="51"/>
      <c r="L34" s="52">
        <v>0</v>
      </c>
      <c r="M34" s="52" t="s">
        <v>801</v>
      </c>
      <c r="N34" s="26" t="s">
        <v>45</v>
      </c>
    </row>
    <row r="35" spans="1:14" ht="12.75">
      <c r="A35" s="40" t="s">
        <v>689</v>
      </c>
      <c r="B35" s="25" t="s">
        <v>925</v>
      </c>
      <c r="C35" s="25" t="s">
        <v>406</v>
      </c>
      <c r="D35" s="25" t="s">
        <v>407</v>
      </c>
      <c r="E35" s="25" t="str">
        <f>"0,5835"</f>
        <v>0,5835</v>
      </c>
      <c r="F35" s="25" t="s">
        <v>15</v>
      </c>
      <c r="G35" s="25" t="s">
        <v>364</v>
      </c>
      <c r="H35" s="50" t="s">
        <v>191</v>
      </c>
      <c r="I35" s="50" t="s">
        <v>287</v>
      </c>
      <c r="J35" s="50" t="s">
        <v>288</v>
      </c>
      <c r="K35" s="48"/>
      <c r="L35" s="40">
        <v>162.5</v>
      </c>
      <c r="M35" s="81" t="str">
        <f>"105,5423"</f>
        <v>105,5423</v>
      </c>
      <c r="N35" s="25" t="s">
        <v>45</v>
      </c>
    </row>
    <row r="37" spans="1:13" ht="15.75">
      <c r="A37"/>
      <c r="B37" s="136" t="s">
        <v>95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</row>
    <row r="38" spans="1:14" ht="12.75">
      <c r="A38" s="39" t="s">
        <v>689</v>
      </c>
      <c r="B38" s="24" t="s">
        <v>926</v>
      </c>
      <c r="C38" s="24" t="s">
        <v>408</v>
      </c>
      <c r="D38" s="24" t="s">
        <v>409</v>
      </c>
      <c r="E38" s="24" t="str">
        <f>"0,5655"</f>
        <v>0,5655</v>
      </c>
      <c r="F38" s="24" t="s">
        <v>15</v>
      </c>
      <c r="G38" s="24" t="s">
        <v>1079</v>
      </c>
      <c r="H38" s="49" t="s">
        <v>93</v>
      </c>
      <c r="I38" s="41" t="s">
        <v>50</v>
      </c>
      <c r="J38" s="49" t="s">
        <v>250</v>
      </c>
      <c r="K38" s="47"/>
      <c r="L38" s="39">
        <v>212.5</v>
      </c>
      <c r="M38" s="80" t="str">
        <f>"120,1688"</f>
        <v>120,1688</v>
      </c>
      <c r="N38" s="24" t="s">
        <v>45</v>
      </c>
    </row>
    <row r="39" spans="1:14" ht="12.75">
      <c r="A39" s="52" t="s">
        <v>689</v>
      </c>
      <c r="B39" s="26" t="s">
        <v>410</v>
      </c>
      <c r="C39" s="26" t="s">
        <v>411</v>
      </c>
      <c r="D39" s="26" t="s">
        <v>412</v>
      </c>
      <c r="E39" s="26" t="str">
        <f>"0,5699"</f>
        <v>0,5699</v>
      </c>
      <c r="F39" s="26" t="s">
        <v>843</v>
      </c>
      <c r="G39" s="26" t="s">
        <v>802</v>
      </c>
      <c r="H39" s="53" t="s">
        <v>340</v>
      </c>
      <c r="I39" s="53" t="s">
        <v>79</v>
      </c>
      <c r="J39" s="54" t="s">
        <v>220</v>
      </c>
      <c r="K39" s="51"/>
      <c r="L39" s="52" t="s">
        <v>79</v>
      </c>
      <c r="M39" s="83" t="str">
        <f>"128,2387"</f>
        <v>128,2387</v>
      </c>
      <c r="N39" s="26" t="s">
        <v>45</v>
      </c>
    </row>
    <row r="40" spans="1:14" ht="12.75">
      <c r="A40" s="52" t="s">
        <v>785</v>
      </c>
      <c r="B40" s="26" t="s">
        <v>927</v>
      </c>
      <c r="C40" s="26" t="s">
        <v>413</v>
      </c>
      <c r="D40" s="26" t="s">
        <v>414</v>
      </c>
      <c r="E40" s="26" t="str">
        <f>"0,5666"</f>
        <v>0,5666</v>
      </c>
      <c r="F40" s="26" t="s">
        <v>1033</v>
      </c>
      <c r="G40" s="26" t="s">
        <v>233</v>
      </c>
      <c r="H40" s="53" t="s">
        <v>94</v>
      </c>
      <c r="I40" s="54" t="s">
        <v>296</v>
      </c>
      <c r="J40" s="54" t="s">
        <v>296</v>
      </c>
      <c r="K40" s="51"/>
      <c r="L40" s="52" t="s">
        <v>94</v>
      </c>
      <c r="M40" s="83" t="str">
        <f>"121,8297"</f>
        <v>121,8297</v>
      </c>
      <c r="N40" s="26" t="s">
        <v>45</v>
      </c>
    </row>
    <row r="41" spans="1:14" ht="12.75">
      <c r="A41" s="52" t="s">
        <v>689</v>
      </c>
      <c r="B41" s="26" t="s">
        <v>415</v>
      </c>
      <c r="C41" s="26" t="s">
        <v>416</v>
      </c>
      <c r="D41" s="26" t="s">
        <v>417</v>
      </c>
      <c r="E41" s="26" t="str">
        <f>"0,5684"</f>
        <v>0,5684</v>
      </c>
      <c r="F41" s="26" t="s">
        <v>15</v>
      </c>
      <c r="G41" s="26" t="s">
        <v>802</v>
      </c>
      <c r="H41" s="54" t="s">
        <v>218</v>
      </c>
      <c r="I41" s="53" t="s">
        <v>218</v>
      </c>
      <c r="J41" s="54" t="s">
        <v>40</v>
      </c>
      <c r="K41" s="51"/>
      <c r="L41" s="52" t="s">
        <v>218</v>
      </c>
      <c r="M41" s="83" t="str">
        <f>"118,3854"</f>
        <v>118,3854</v>
      </c>
      <c r="N41" s="26" t="s">
        <v>45</v>
      </c>
    </row>
    <row r="42" spans="1:14" ht="12.75">
      <c r="A42" s="40" t="s">
        <v>689</v>
      </c>
      <c r="B42" s="25" t="s">
        <v>435</v>
      </c>
      <c r="C42" s="25" t="s">
        <v>418</v>
      </c>
      <c r="D42" s="25" t="s">
        <v>419</v>
      </c>
      <c r="E42" s="25" t="str">
        <f>"0,5648"</f>
        <v>0,5648</v>
      </c>
      <c r="F42" s="25" t="s">
        <v>48</v>
      </c>
      <c r="G42" s="25" t="s">
        <v>49</v>
      </c>
      <c r="H42" s="50" t="s">
        <v>35</v>
      </c>
      <c r="I42" s="48"/>
      <c r="J42" s="48"/>
      <c r="K42" s="48"/>
      <c r="L42" s="40" t="s">
        <v>35</v>
      </c>
      <c r="M42" s="81" t="str">
        <f>"85,9476"</f>
        <v>85,9476</v>
      </c>
      <c r="N42" s="25" t="s">
        <v>45</v>
      </c>
    </row>
    <row r="44" spans="1:13" ht="15.75">
      <c r="A44"/>
      <c r="B44" s="136" t="s">
        <v>420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</row>
    <row r="45" spans="1:14" ht="12.75">
      <c r="A45" s="39" t="s">
        <v>689</v>
      </c>
      <c r="B45" s="24" t="s">
        <v>421</v>
      </c>
      <c r="C45" s="24" t="s">
        <v>422</v>
      </c>
      <c r="D45" s="24" t="s">
        <v>423</v>
      </c>
      <c r="E45" s="24" t="str">
        <f>"0,5555"</f>
        <v>0,5555</v>
      </c>
      <c r="F45" s="24" t="s">
        <v>77</v>
      </c>
      <c r="G45" s="24" t="s">
        <v>78</v>
      </c>
      <c r="H45" s="41" t="s">
        <v>51</v>
      </c>
      <c r="I45" s="49" t="s">
        <v>51</v>
      </c>
      <c r="J45" s="49" t="s">
        <v>79</v>
      </c>
      <c r="K45" s="47"/>
      <c r="L45" s="39" t="s">
        <v>79</v>
      </c>
      <c r="M45" s="80" t="str">
        <f>"124,9763"</f>
        <v>124,9763</v>
      </c>
      <c r="N45" s="24" t="s">
        <v>901</v>
      </c>
    </row>
    <row r="46" spans="1:14" ht="12.75">
      <c r="A46" s="52" t="s">
        <v>785</v>
      </c>
      <c r="B46" s="26" t="s">
        <v>424</v>
      </c>
      <c r="C46" s="26" t="s">
        <v>425</v>
      </c>
      <c r="D46" s="26" t="s">
        <v>426</v>
      </c>
      <c r="E46" s="26" t="str">
        <f>"0,5480"</f>
        <v>0,5480</v>
      </c>
      <c r="F46" s="26" t="s">
        <v>843</v>
      </c>
      <c r="G46" s="26" t="s">
        <v>427</v>
      </c>
      <c r="H46" s="53" t="s">
        <v>93</v>
      </c>
      <c r="I46" s="53" t="s">
        <v>250</v>
      </c>
      <c r="J46" s="54" t="s">
        <v>340</v>
      </c>
      <c r="K46" s="51"/>
      <c r="L46" s="52">
        <v>212.5</v>
      </c>
      <c r="M46" s="83" t="str">
        <f>"116,4500"</f>
        <v>116,4500</v>
      </c>
      <c r="N46" s="26" t="s">
        <v>45</v>
      </c>
    </row>
    <row r="47" spans="1:14" ht="12.75">
      <c r="A47" s="40" t="s">
        <v>786</v>
      </c>
      <c r="B47" s="25" t="s">
        <v>928</v>
      </c>
      <c r="C47" s="25" t="s">
        <v>428</v>
      </c>
      <c r="D47" s="25" t="s">
        <v>429</v>
      </c>
      <c r="E47" s="25" t="str">
        <f>"0,5519"</f>
        <v>0,5519</v>
      </c>
      <c r="F47" s="25" t="s">
        <v>48</v>
      </c>
      <c r="G47" s="25" t="s">
        <v>49</v>
      </c>
      <c r="H47" s="50" t="s">
        <v>64</v>
      </c>
      <c r="I47" s="50" t="s">
        <v>39</v>
      </c>
      <c r="J47" s="42" t="s">
        <v>40</v>
      </c>
      <c r="K47" s="48"/>
      <c r="L47" s="40" t="s">
        <v>39</v>
      </c>
      <c r="M47" s="81" t="str">
        <f>"104,8515"</f>
        <v>104,8515</v>
      </c>
      <c r="N47" s="25" t="s">
        <v>930</v>
      </c>
    </row>
    <row r="50" spans="2:3" ht="18">
      <c r="B50" s="27" t="s">
        <v>107</v>
      </c>
      <c r="C50" s="27"/>
    </row>
    <row r="51" spans="2:3" ht="15.75">
      <c r="B51" s="28" t="s">
        <v>116</v>
      </c>
      <c r="C51" s="28"/>
    </row>
    <row r="52" spans="2:6" ht="13.5">
      <c r="B52" s="32" t="s">
        <v>110</v>
      </c>
      <c r="C52" s="32" t="s">
        <v>111</v>
      </c>
      <c r="D52" s="32" t="s">
        <v>112</v>
      </c>
      <c r="E52" s="32" t="s">
        <v>690</v>
      </c>
      <c r="F52" s="32" t="s">
        <v>114</v>
      </c>
    </row>
    <row r="53" spans="1:6" ht="12.75">
      <c r="A53" s="36" t="s">
        <v>689</v>
      </c>
      <c r="B53" s="29" t="s">
        <v>410</v>
      </c>
      <c r="C53" s="22" t="s">
        <v>109</v>
      </c>
      <c r="D53" s="22" t="s">
        <v>37</v>
      </c>
      <c r="E53" s="36" t="s">
        <v>79</v>
      </c>
      <c r="F53" s="33" t="s">
        <v>1085</v>
      </c>
    </row>
    <row r="54" spans="1:6" ht="12.75">
      <c r="A54" s="36" t="s">
        <v>785</v>
      </c>
      <c r="B54" s="29" t="s">
        <v>421</v>
      </c>
      <c r="C54" s="22" t="s">
        <v>109</v>
      </c>
      <c r="D54" s="22" t="s">
        <v>19</v>
      </c>
      <c r="E54" s="36" t="s">
        <v>79</v>
      </c>
      <c r="F54" s="33" t="s">
        <v>430</v>
      </c>
    </row>
    <row r="55" spans="1:6" ht="12.75">
      <c r="A55" s="36" t="s">
        <v>786</v>
      </c>
      <c r="B55" s="29" t="s">
        <v>1090</v>
      </c>
      <c r="C55" s="22" t="s">
        <v>109</v>
      </c>
      <c r="D55" s="22" t="s">
        <v>37</v>
      </c>
      <c r="E55" s="36" t="s">
        <v>94</v>
      </c>
      <c r="F55" s="33" t="s">
        <v>1091</v>
      </c>
    </row>
  </sheetData>
  <sheetProtection/>
  <mergeCells count="20">
    <mergeCell ref="A3:A4"/>
    <mergeCell ref="B15:M15"/>
    <mergeCell ref="B19:M19"/>
    <mergeCell ref="B29:M29"/>
    <mergeCell ref="B37:M37"/>
    <mergeCell ref="B44:M44"/>
    <mergeCell ref="L3:L4"/>
    <mergeCell ref="M3:M4"/>
    <mergeCell ref="G3:G4"/>
    <mergeCell ref="H3:K3"/>
    <mergeCell ref="N3:N4"/>
    <mergeCell ref="B5:M5"/>
    <mergeCell ref="B9:M9"/>
    <mergeCell ref="B12:M12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22" sqref="G22"/>
    </sheetView>
  </sheetViews>
  <sheetFormatPr defaultColWidth="8.75390625" defaultRowHeight="12.75"/>
  <cols>
    <col min="1" max="1" width="7.875" style="36" bestFit="1" customWidth="1"/>
    <col min="2" max="2" width="19.375" style="22" customWidth="1"/>
    <col min="3" max="3" width="26.00390625" style="22" customWidth="1"/>
    <col min="4" max="4" width="10.625" style="22" bestFit="1" customWidth="1"/>
    <col min="5" max="5" width="8.375" style="22" bestFit="1" customWidth="1"/>
    <col min="6" max="6" width="12.00390625" style="22" customWidth="1"/>
    <col min="7" max="7" width="31.375" style="22" bestFit="1" customWidth="1"/>
    <col min="8" max="10" width="5.625" style="36" bestFit="1" customWidth="1"/>
    <col min="11" max="11" width="5.125" style="36" bestFit="1" customWidth="1"/>
    <col min="12" max="12" width="11.75390625" style="36" customWidth="1"/>
    <col min="13" max="13" width="8.625" style="22" bestFit="1" customWidth="1"/>
    <col min="14" max="14" width="15.75390625" style="22" bestFit="1" customWidth="1"/>
  </cols>
  <sheetData>
    <row r="1" spans="2:14" s="1" customFormat="1" ht="15" customHeight="1">
      <c r="B1" s="124" t="s">
        <v>1056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s="1" customFormat="1" ht="76.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4</v>
      </c>
      <c r="I3" s="132"/>
      <c r="J3" s="132"/>
      <c r="K3" s="146"/>
      <c r="L3" s="130" t="s">
        <v>690</v>
      </c>
      <c r="M3" s="132" t="s">
        <v>9</v>
      </c>
      <c r="N3" s="146" t="s">
        <v>10</v>
      </c>
    </row>
    <row r="4" spans="1:14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131"/>
      <c r="M4" s="133"/>
      <c r="N4" s="147"/>
    </row>
    <row r="5" spans="1:13" ht="15.75">
      <c r="A5"/>
      <c r="B5" s="136" t="s">
        <v>355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4" ht="12.75">
      <c r="A6" s="35" t="s">
        <v>689</v>
      </c>
      <c r="B6" s="23" t="s">
        <v>356</v>
      </c>
      <c r="C6" s="23" t="s">
        <v>357</v>
      </c>
      <c r="D6" s="23" t="s">
        <v>358</v>
      </c>
      <c r="E6" s="23" t="str">
        <f>"0,5403"</f>
        <v>0,5403</v>
      </c>
      <c r="F6" s="23" t="s">
        <v>15</v>
      </c>
      <c r="G6" s="23" t="s">
        <v>359</v>
      </c>
      <c r="H6" s="38" t="s">
        <v>360</v>
      </c>
      <c r="I6" s="37" t="s">
        <v>361</v>
      </c>
      <c r="J6" s="38" t="s">
        <v>284</v>
      </c>
      <c r="K6" s="34"/>
      <c r="L6" s="45" t="s">
        <v>284</v>
      </c>
      <c r="M6" s="35" t="s">
        <v>798</v>
      </c>
      <c r="N6" s="23" t="s">
        <v>799</v>
      </c>
    </row>
  </sheetData>
  <sheetProtection/>
  <mergeCells count="13">
    <mergeCell ref="N3:N4"/>
    <mergeCell ref="B1:N2"/>
    <mergeCell ref="A3:A4"/>
    <mergeCell ref="B3:B4"/>
    <mergeCell ref="C3:C4"/>
    <mergeCell ref="D3:D4"/>
    <mergeCell ref="E3:E4"/>
    <mergeCell ref="F3:F4"/>
    <mergeCell ref="G3:G4"/>
    <mergeCell ref="H3:K3"/>
    <mergeCell ref="B5:M5"/>
    <mergeCell ref="L3:L4"/>
    <mergeCell ref="M3:M4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26" sqref="F26"/>
    </sheetView>
  </sheetViews>
  <sheetFormatPr defaultColWidth="8.75390625" defaultRowHeight="12.75"/>
  <cols>
    <col min="1" max="1" width="7.875" style="36" bestFit="1" customWidth="1"/>
    <col min="2" max="2" width="26.00390625" style="22" bestFit="1" customWidth="1"/>
    <col min="3" max="3" width="27.375" style="22" customWidth="1"/>
    <col min="4" max="4" width="9.00390625" style="22" bestFit="1" customWidth="1"/>
    <col min="5" max="5" width="8.00390625" style="22" customWidth="1"/>
    <col min="6" max="6" width="19.00390625" style="22" customWidth="1"/>
    <col min="7" max="7" width="33.25390625" style="22" customWidth="1"/>
    <col min="8" max="10" width="5.625" style="36" bestFit="1" customWidth="1"/>
    <col min="11" max="11" width="5.125" style="36" bestFit="1" customWidth="1"/>
    <col min="12" max="12" width="11.625" style="36" customWidth="1"/>
    <col min="13" max="13" width="6.625" style="22" bestFit="1" customWidth="1"/>
    <col min="14" max="14" width="15.75390625" style="22" bestFit="1" customWidth="1"/>
  </cols>
  <sheetData>
    <row r="1" spans="2:14" s="1" customFormat="1" ht="15" customHeight="1">
      <c r="B1" s="124" t="s">
        <v>1055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s="1" customFormat="1" ht="105.7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687</v>
      </c>
      <c r="H3" s="139" t="s">
        <v>4</v>
      </c>
      <c r="I3" s="132"/>
      <c r="J3" s="132"/>
      <c r="K3" s="146"/>
      <c r="L3" s="130" t="s">
        <v>690</v>
      </c>
      <c r="M3" s="132" t="s">
        <v>9</v>
      </c>
      <c r="N3" s="146" t="s">
        <v>10</v>
      </c>
    </row>
    <row r="4" spans="1:14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131"/>
      <c r="M4" s="133"/>
      <c r="N4" s="147"/>
    </row>
    <row r="5" spans="1:13" ht="15.75">
      <c r="A5"/>
      <c r="B5" s="137" t="s">
        <v>41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2.75">
      <c r="A6" s="35" t="s">
        <v>689</v>
      </c>
      <c r="B6" s="23" t="s">
        <v>345</v>
      </c>
      <c r="C6" s="23" t="s">
        <v>346</v>
      </c>
      <c r="D6" s="23" t="s">
        <v>231</v>
      </c>
      <c r="E6" s="23" t="str">
        <f>"0,6169"</f>
        <v>0,6169</v>
      </c>
      <c r="F6" s="23" t="s">
        <v>164</v>
      </c>
      <c r="G6" s="23" t="s">
        <v>691</v>
      </c>
      <c r="H6" s="37" t="s">
        <v>105</v>
      </c>
      <c r="I6" s="37" t="s">
        <v>105</v>
      </c>
      <c r="J6" s="37" t="s">
        <v>105</v>
      </c>
      <c r="K6" s="37"/>
      <c r="L6" s="35">
        <v>0</v>
      </c>
      <c r="M6" s="35" t="s">
        <v>801</v>
      </c>
      <c r="N6" s="23" t="s">
        <v>45</v>
      </c>
    </row>
  </sheetData>
  <sheetProtection/>
  <mergeCells count="13">
    <mergeCell ref="F3:F4"/>
    <mergeCell ref="G3:G4"/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F23" sqref="F23"/>
    </sheetView>
  </sheetViews>
  <sheetFormatPr defaultColWidth="8.75390625" defaultRowHeight="12.75"/>
  <cols>
    <col min="1" max="1" width="7.875" style="36" bestFit="1" customWidth="1"/>
    <col min="2" max="2" width="20.875" style="22" customWidth="1"/>
    <col min="3" max="3" width="27.25390625" style="22" customWidth="1"/>
    <col min="4" max="4" width="10.625" style="22" bestFit="1" customWidth="1"/>
    <col min="5" max="5" width="15.75390625" style="22" customWidth="1"/>
    <col min="6" max="6" width="30.25390625" style="22" bestFit="1" customWidth="1"/>
    <col min="7" max="7" width="13.125" style="36" customWidth="1"/>
    <col min="8" max="8" width="26.125" style="22" bestFit="1" customWidth="1"/>
    <col min="9" max="9" width="0.12890625" style="0" customWidth="1"/>
    <col min="10" max="16" width="9.125" style="0" hidden="1" customWidth="1"/>
  </cols>
  <sheetData>
    <row r="1" spans="2:16" s="1" customFormat="1" ht="15" customHeight="1">
      <c r="B1" s="124" t="s">
        <v>1023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2:16" s="1" customFormat="1" ht="75.7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8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2</v>
      </c>
      <c r="F3" s="122" t="s">
        <v>692</v>
      </c>
      <c r="G3" s="132" t="s">
        <v>690</v>
      </c>
      <c r="H3" s="134" t="s">
        <v>10</v>
      </c>
    </row>
    <row r="4" spans="1:8" s="4" customFormat="1" ht="23.25" customHeight="1" thickBot="1">
      <c r="A4" s="131"/>
      <c r="B4" s="140"/>
      <c r="C4" s="133"/>
      <c r="D4" s="133"/>
      <c r="E4" s="133"/>
      <c r="F4" s="123"/>
      <c r="G4" s="133"/>
      <c r="H4" s="135"/>
    </row>
    <row r="5" spans="1:7" ht="15.75">
      <c r="A5"/>
      <c r="B5" s="137" t="s">
        <v>796</v>
      </c>
      <c r="C5" s="137"/>
      <c r="D5" s="137"/>
      <c r="E5" s="137"/>
      <c r="F5" s="137"/>
      <c r="G5" s="138"/>
    </row>
    <row r="6" spans="1:8" ht="12.75">
      <c r="A6" s="39" t="s">
        <v>689</v>
      </c>
      <c r="B6" s="24" t="s">
        <v>371</v>
      </c>
      <c r="C6" s="24" t="s">
        <v>372</v>
      </c>
      <c r="D6" s="24" t="s">
        <v>197</v>
      </c>
      <c r="E6" s="24" t="s">
        <v>15</v>
      </c>
      <c r="F6" s="24" t="s">
        <v>952</v>
      </c>
      <c r="G6" s="39">
        <v>26.2</v>
      </c>
      <c r="H6" s="24" t="s">
        <v>374</v>
      </c>
    </row>
    <row r="7" spans="1:8" ht="12.75">
      <c r="A7" s="40" t="s">
        <v>785</v>
      </c>
      <c r="B7" s="25" t="s">
        <v>782</v>
      </c>
      <c r="C7" s="25" t="s">
        <v>783</v>
      </c>
      <c r="D7" s="25" t="s">
        <v>784</v>
      </c>
      <c r="E7" s="25" t="s">
        <v>15</v>
      </c>
      <c r="F7" s="25" t="s">
        <v>1019</v>
      </c>
      <c r="G7" s="40">
        <v>18.7</v>
      </c>
      <c r="H7" s="25" t="s">
        <v>1020</v>
      </c>
    </row>
    <row r="9" spans="1:7" ht="15.75">
      <c r="A9"/>
      <c r="B9" s="136" t="s">
        <v>797</v>
      </c>
      <c r="C9" s="136"/>
      <c r="D9" s="136"/>
      <c r="E9" s="136"/>
      <c r="F9" s="136"/>
      <c r="G9" s="136"/>
    </row>
    <row r="10" spans="1:8" ht="12.75">
      <c r="A10" s="86" t="s">
        <v>689</v>
      </c>
      <c r="B10" s="24" t="s">
        <v>761</v>
      </c>
      <c r="C10" s="24" t="s">
        <v>762</v>
      </c>
      <c r="D10" s="24" t="s">
        <v>763</v>
      </c>
      <c r="E10" s="89" t="s">
        <v>15</v>
      </c>
      <c r="F10" s="24" t="s">
        <v>764</v>
      </c>
      <c r="G10" s="39" t="s">
        <v>431</v>
      </c>
      <c r="H10" s="24" t="s">
        <v>45</v>
      </c>
    </row>
    <row r="11" spans="1:8" ht="12.75">
      <c r="A11" s="40" t="s">
        <v>785</v>
      </c>
      <c r="B11" s="25" t="s">
        <v>765</v>
      </c>
      <c r="C11" s="25" t="s">
        <v>766</v>
      </c>
      <c r="D11" s="25" t="s">
        <v>767</v>
      </c>
      <c r="E11" s="25" t="s">
        <v>15</v>
      </c>
      <c r="F11" s="25" t="s">
        <v>764</v>
      </c>
      <c r="G11" s="40" t="s">
        <v>431</v>
      </c>
      <c r="H11" s="25" t="s">
        <v>45</v>
      </c>
    </row>
  </sheetData>
  <sheetProtection/>
  <mergeCells count="11">
    <mergeCell ref="B1:P2"/>
    <mergeCell ref="A3:A4"/>
    <mergeCell ref="G3:G4"/>
    <mergeCell ref="H3:H4"/>
    <mergeCell ref="B5:G5"/>
    <mergeCell ref="B9:G9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N9" sqref="N9"/>
    </sheetView>
  </sheetViews>
  <sheetFormatPr defaultColWidth="8.75390625" defaultRowHeight="12.75"/>
  <cols>
    <col min="1" max="1" width="8.125" style="36" customWidth="1"/>
    <col min="2" max="2" width="24.00390625" style="22" customWidth="1"/>
    <col min="3" max="3" width="29.75390625" style="22" customWidth="1"/>
    <col min="4" max="4" width="10.625" style="22" bestFit="1" customWidth="1"/>
    <col min="5" max="5" width="8.375" style="22" bestFit="1" customWidth="1"/>
    <col min="6" max="6" width="22.75390625" style="22" bestFit="1" customWidth="1"/>
    <col min="7" max="7" width="25.625" style="22" customWidth="1"/>
    <col min="8" max="11" width="6.00390625" style="36" customWidth="1"/>
    <col min="12" max="12" width="11.875" style="36" customWidth="1"/>
    <col min="13" max="13" width="10.125" style="22" customWidth="1"/>
    <col min="14" max="14" width="14.625" style="22" bestFit="1" customWidth="1"/>
  </cols>
  <sheetData>
    <row r="1" spans="2:14" s="1" customFormat="1" ht="15" customHeight="1">
      <c r="B1" s="124" t="s">
        <v>1053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s="1" customFormat="1" ht="79.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4" customFormat="1" ht="12.75" customHeight="1">
      <c r="A3" s="130" t="s">
        <v>688</v>
      </c>
      <c r="B3" s="139" t="s">
        <v>0</v>
      </c>
      <c r="C3" s="141" t="s">
        <v>1054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4</v>
      </c>
      <c r="I3" s="132"/>
      <c r="J3" s="132"/>
      <c r="K3" s="146"/>
      <c r="L3" s="130" t="s">
        <v>690</v>
      </c>
      <c r="M3" s="132" t="s">
        <v>9</v>
      </c>
      <c r="N3" s="146" t="s">
        <v>10</v>
      </c>
    </row>
    <row r="4" spans="1:14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131"/>
      <c r="M4" s="133"/>
      <c r="N4" s="147"/>
    </row>
    <row r="5" spans="1:13" ht="15.75">
      <c r="A5"/>
      <c r="B5" s="137" t="s">
        <v>12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2.75">
      <c r="A6" s="35" t="s">
        <v>689</v>
      </c>
      <c r="B6" s="23" t="s">
        <v>293</v>
      </c>
      <c r="C6" s="23" t="s">
        <v>294</v>
      </c>
      <c r="D6" s="23" t="s">
        <v>295</v>
      </c>
      <c r="E6" s="23" t="str">
        <f>"0,7551"</f>
        <v>0,7551</v>
      </c>
      <c r="F6" s="23" t="s">
        <v>15</v>
      </c>
      <c r="G6" s="23" t="s">
        <v>802</v>
      </c>
      <c r="H6" s="38" t="s">
        <v>296</v>
      </c>
      <c r="I6" s="34"/>
      <c r="J6" s="34"/>
      <c r="K6" s="34"/>
      <c r="L6" s="35" t="s">
        <v>296</v>
      </c>
      <c r="M6" s="79" t="s">
        <v>1021</v>
      </c>
      <c r="N6" s="23" t="s">
        <v>45</v>
      </c>
    </row>
    <row r="8" spans="1:13" ht="15.75">
      <c r="A8"/>
      <c r="B8" s="136" t="s">
        <v>41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4" ht="12.75">
      <c r="A9" s="35" t="s">
        <v>689</v>
      </c>
      <c r="B9" s="23" t="s">
        <v>312</v>
      </c>
      <c r="C9" s="23" t="s">
        <v>313</v>
      </c>
      <c r="D9" s="23" t="s">
        <v>314</v>
      </c>
      <c r="E9" s="23" t="str">
        <f>"0,6145"</f>
        <v>0,6145</v>
      </c>
      <c r="F9" s="23" t="s">
        <v>15</v>
      </c>
      <c r="G9" s="23" t="s">
        <v>802</v>
      </c>
      <c r="H9" s="38" t="s">
        <v>40</v>
      </c>
      <c r="I9" s="34"/>
      <c r="J9" s="34"/>
      <c r="K9" s="34"/>
      <c r="L9" s="35" t="s">
        <v>40</v>
      </c>
      <c r="M9" s="79" t="str">
        <f>"122,9100"</f>
        <v>122,9100</v>
      </c>
      <c r="N9" s="23" t="s">
        <v>803</v>
      </c>
    </row>
  </sheetData>
  <sheetProtection/>
  <mergeCells count="14">
    <mergeCell ref="L3:L4"/>
    <mergeCell ref="M3:M4"/>
    <mergeCell ref="N3:N4"/>
    <mergeCell ref="B5:M5"/>
    <mergeCell ref="B8:M8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W17"/>
  <sheetViews>
    <sheetView workbookViewId="0" topLeftCell="A1">
      <selection activeCell="P36" sqref="P36"/>
    </sheetView>
  </sheetViews>
  <sheetFormatPr defaultColWidth="8.75390625" defaultRowHeight="12.75"/>
  <cols>
    <col min="1" max="1" width="7.875" style="36" bestFit="1" customWidth="1"/>
    <col min="2" max="2" width="23.875" style="22" customWidth="1"/>
    <col min="3" max="3" width="26.875" style="22" bestFit="1" customWidth="1"/>
    <col min="4" max="4" width="10.625" style="22" bestFit="1" customWidth="1"/>
    <col min="5" max="5" width="8.375" style="22" bestFit="1" customWidth="1"/>
    <col min="6" max="6" width="22.75390625" style="22" bestFit="1" customWidth="1"/>
    <col min="7" max="7" width="34.00390625" style="22" bestFit="1" customWidth="1"/>
    <col min="8" max="10" width="5.625" style="36" bestFit="1" customWidth="1"/>
    <col min="11" max="11" width="5.125" style="36" bestFit="1" customWidth="1"/>
    <col min="12" max="12" width="7.875" style="36" bestFit="1" customWidth="1"/>
    <col min="13" max="13" width="8.625" style="22" bestFit="1" customWidth="1"/>
    <col min="14" max="14" width="16.875" style="22" bestFit="1" customWidth="1"/>
  </cols>
  <sheetData>
    <row r="1" spans="2:14" s="1" customFormat="1" ht="15" customHeight="1">
      <c r="B1" s="124" t="s">
        <v>1052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s="1" customFormat="1" ht="10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4</v>
      </c>
      <c r="I3" s="132"/>
      <c r="J3" s="132"/>
      <c r="K3" s="146"/>
      <c r="L3" s="130" t="s">
        <v>690</v>
      </c>
      <c r="M3" s="132" t="s">
        <v>9</v>
      </c>
      <c r="N3" s="146" t="s">
        <v>10</v>
      </c>
    </row>
    <row r="4" spans="1:14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131"/>
      <c r="M4" s="133"/>
      <c r="N4" s="147"/>
    </row>
    <row r="5" spans="1:13" ht="15.75">
      <c r="A5"/>
      <c r="B5" s="137" t="s">
        <v>154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2.75">
      <c r="A6" s="39"/>
      <c r="B6" s="24" t="s">
        <v>681</v>
      </c>
      <c r="C6" s="24" t="s">
        <v>682</v>
      </c>
      <c r="D6" s="24" t="s">
        <v>683</v>
      </c>
      <c r="E6" s="24" t="str">
        <f>"1,0926"</f>
        <v>1,0926</v>
      </c>
      <c r="F6" s="24" t="s">
        <v>15</v>
      </c>
      <c r="G6" s="24" t="s">
        <v>691</v>
      </c>
      <c r="H6" s="41" t="s">
        <v>140</v>
      </c>
      <c r="I6" s="41" t="s">
        <v>140</v>
      </c>
      <c r="J6" s="41" t="s">
        <v>140</v>
      </c>
      <c r="K6" s="41"/>
      <c r="L6" s="39">
        <v>0</v>
      </c>
      <c r="M6" s="39" t="s">
        <v>801</v>
      </c>
      <c r="N6" s="24" t="s">
        <v>45</v>
      </c>
    </row>
    <row r="7" spans="1:14" ht="12.75">
      <c r="A7" s="40"/>
      <c r="B7" s="25" t="s">
        <v>161</v>
      </c>
      <c r="C7" s="25" t="s">
        <v>162</v>
      </c>
      <c r="D7" s="25" t="s">
        <v>163</v>
      </c>
      <c r="E7" s="25" t="str">
        <f>"1,0439"</f>
        <v>1,0439</v>
      </c>
      <c r="F7" s="25" t="s">
        <v>164</v>
      </c>
      <c r="G7" s="25" t="s">
        <v>691</v>
      </c>
      <c r="H7" s="42" t="s">
        <v>132</v>
      </c>
      <c r="I7" s="42" t="s">
        <v>132</v>
      </c>
      <c r="J7" s="42" t="s">
        <v>165</v>
      </c>
      <c r="K7" s="42"/>
      <c r="L7" s="40">
        <v>0</v>
      </c>
      <c r="M7" s="40" t="s">
        <v>801</v>
      </c>
      <c r="N7" s="25" t="s">
        <v>804</v>
      </c>
    </row>
    <row r="9" spans="1:13" ht="15.75">
      <c r="A9"/>
      <c r="B9" s="136" t="s">
        <v>207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4" ht="12.75">
      <c r="A10" s="35" t="s">
        <v>689</v>
      </c>
      <c r="B10" s="23" t="s">
        <v>684</v>
      </c>
      <c r="C10" s="23" t="s">
        <v>685</v>
      </c>
      <c r="D10" s="23" t="s">
        <v>686</v>
      </c>
      <c r="E10" s="23" t="str">
        <f>"0,6578"</f>
        <v>0,6578</v>
      </c>
      <c r="F10" s="23" t="s">
        <v>15</v>
      </c>
      <c r="G10" s="23" t="s">
        <v>807</v>
      </c>
      <c r="H10" s="38" t="s">
        <v>52</v>
      </c>
      <c r="I10" s="38" t="s">
        <v>53</v>
      </c>
      <c r="J10" s="38" t="s">
        <v>89</v>
      </c>
      <c r="K10" s="34"/>
      <c r="L10" s="46" t="s">
        <v>89</v>
      </c>
      <c r="M10" s="79" t="str">
        <f>"115,1150"</f>
        <v>115,1150</v>
      </c>
      <c r="N10" s="23" t="s">
        <v>805</v>
      </c>
    </row>
    <row r="12" spans="1:13" ht="15.75">
      <c r="A12"/>
      <c r="B12" s="136" t="s">
        <v>41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49" s="21" customFormat="1" ht="12.75">
      <c r="A13" s="35" t="s">
        <v>689</v>
      </c>
      <c r="B13" s="23" t="s">
        <v>236</v>
      </c>
      <c r="C13" s="23" t="s">
        <v>237</v>
      </c>
      <c r="D13" s="23" t="s">
        <v>238</v>
      </c>
      <c r="E13" s="23" t="str">
        <f>"0,6201"</f>
        <v>0,6201</v>
      </c>
      <c r="F13" s="23" t="s">
        <v>164</v>
      </c>
      <c r="G13" s="23" t="s">
        <v>224</v>
      </c>
      <c r="H13" s="44" t="s">
        <v>239</v>
      </c>
      <c r="I13" s="44" t="s">
        <v>211</v>
      </c>
      <c r="J13" s="44" t="s">
        <v>94</v>
      </c>
      <c r="K13" s="37"/>
      <c r="L13" s="45" t="s">
        <v>94</v>
      </c>
      <c r="M13" s="79" t="s">
        <v>694</v>
      </c>
      <c r="N13" s="23" t="s">
        <v>45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5" spans="1:13" ht="15.75">
      <c r="A15"/>
      <c r="B15" s="136" t="s">
        <v>95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1:49" s="21" customFormat="1" ht="12.75">
      <c r="A16" s="35" t="s">
        <v>689</v>
      </c>
      <c r="B16" s="23" t="s">
        <v>273</v>
      </c>
      <c r="C16" s="24" t="s">
        <v>274</v>
      </c>
      <c r="D16" s="23" t="s">
        <v>275</v>
      </c>
      <c r="E16" s="23" t="str">
        <f>"0,5688"</f>
        <v>0,5688</v>
      </c>
      <c r="F16" s="23" t="s">
        <v>33</v>
      </c>
      <c r="G16" s="23" t="s">
        <v>34</v>
      </c>
      <c r="H16" s="38" t="s">
        <v>51</v>
      </c>
      <c r="I16" s="34"/>
      <c r="J16" s="34"/>
      <c r="K16" s="34"/>
      <c r="L16" s="46" t="s">
        <v>51</v>
      </c>
      <c r="M16" s="79" t="s">
        <v>693</v>
      </c>
      <c r="N16" s="23" t="s">
        <v>806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21" customFormat="1" ht="12.75">
      <c r="A17" s="35" t="s">
        <v>689</v>
      </c>
      <c r="B17" s="23" t="s">
        <v>273</v>
      </c>
      <c r="C17" s="23" t="s">
        <v>276</v>
      </c>
      <c r="D17" s="23" t="s">
        <v>275</v>
      </c>
      <c r="E17" s="23" t="str">
        <f>"0,5688"</f>
        <v>0,5688</v>
      </c>
      <c r="F17" s="23" t="s">
        <v>33</v>
      </c>
      <c r="G17" s="23" t="s">
        <v>34</v>
      </c>
      <c r="H17" s="38" t="s">
        <v>51</v>
      </c>
      <c r="I17" s="34"/>
      <c r="J17" s="34"/>
      <c r="K17" s="34"/>
      <c r="L17" s="46" t="s">
        <v>51</v>
      </c>
      <c r="M17" s="79" t="s">
        <v>693</v>
      </c>
      <c r="N17" s="23" t="s">
        <v>806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</sheetData>
  <sheetProtection/>
  <mergeCells count="16">
    <mergeCell ref="B15:M15"/>
    <mergeCell ref="A3:A4"/>
    <mergeCell ref="L3:L4"/>
    <mergeCell ref="M3:M4"/>
    <mergeCell ref="N3:N4"/>
    <mergeCell ref="B5:M5"/>
    <mergeCell ref="B9:M9"/>
    <mergeCell ref="B12:M12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40" sqref="F40"/>
    </sheetView>
  </sheetViews>
  <sheetFormatPr defaultColWidth="8.75390625" defaultRowHeight="12.75"/>
  <cols>
    <col min="1" max="1" width="7.875" style="36" bestFit="1" customWidth="1"/>
    <col min="2" max="2" width="22.375" style="22" customWidth="1"/>
    <col min="3" max="3" width="25.625" style="22" customWidth="1"/>
    <col min="4" max="4" width="10.625" style="22" bestFit="1" customWidth="1"/>
    <col min="5" max="5" width="8.375" style="22" bestFit="1" customWidth="1"/>
    <col min="6" max="6" width="22.75390625" style="22" bestFit="1" customWidth="1"/>
    <col min="7" max="7" width="28.625" style="22" customWidth="1"/>
    <col min="8" max="10" width="5.625" style="36" bestFit="1" customWidth="1"/>
    <col min="11" max="11" width="5.125" style="36" bestFit="1" customWidth="1"/>
    <col min="12" max="12" width="12.625" style="36" customWidth="1"/>
    <col min="13" max="13" width="8.625" style="22" bestFit="1" customWidth="1"/>
    <col min="14" max="14" width="23.375" style="22" bestFit="1" customWidth="1"/>
  </cols>
  <sheetData>
    <row r="1" spans="2:14" s="1" customFormat="1" ht="15" customHeight="1">
      <c r="B1" s="124" t="s">
        <v>1051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s="1" customFormat="1" ht="86.2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4</v>
      </c>
      <c r="I3" s="132"/>
      <c r="J3" s="132"/>
      <c r="K3" s="146"/>
      <c r="L3" s="130" t="s">
        <v>690</v>
      </c>
      <c r="M3" s="132" t="s">
        <v>9</v>
      </c>
      <c r="N3" s="146" t="s">
        <v>10</v>
      </c>
    </row>
    <row r="4" spans="1:14" s="4" customFormat="1" ht="30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131"/>
      <c r="M4" s="133"/>
      <c r="N4" s="147"/>
    </row>
    <row r="5" spans="1:13" ht="15.75">
      <c r="A5"/>
      <c r="B5" s="137" t="s">
        <v>420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2.75">
      <c r="A6" s="35" t="s">
        <v>689</v>
      </c>
      <c r="B6" s="23" t="s">
        <v>153</v>
      </c>
      <c r="C6" s="23" t="s">
        <v>679</v>
      </c>
      <c r="D6" s="23" t="s">
        <v>680</v>
      </c>
      <c r="E6" s="23" t="str">
        <f>"0,5583"</f>
        <v>0,5583</v>
      </c>
      <c r="F6" s="23" t="s">
        <v>146</v>
      </c>
      <c r="G6" s="23" t="s">
        <v>808</v>
      </c>
      <c r="H6" s="38" t="s">
        <v>191</v>
      </c>
      <c r="I6" s="38" t="s">
        <v>62</v>
      </c>
      <c r="J6" s="38" t="s">
        <v>64</v>
      </c>
      <c r="K6" s="34"/>
      <c r="L6" s="35" t="s">
        <v>64</v>
      </c>
      <c r="M6" s="79" t="str">
        <f>"100,4940"</f>
        <v>100,4940</v>
      </c>
      <c r="N6" s="23" t="s">
        <v>809</v>
      </c>
    </row>
  </sheetData>
  <sheetProtection/>
  <mergeCells count="13">
    <mergeCell ref="F3:F4"/>
    <mergeCell ref="G3:G4"/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B1">
      <selection activeCell="F34" sqref="F34"/>
    </sheetView>
  </sheetViews>
  <sheetFormatPr defaultColWidth="8.75390625" defaultRowHeight="12.75"/>
  <cols>
    <col min="1" max="1" width="7.875" style="36" bestFit="1" customWidth="1"/>
    <col min="2" max="2" width="26.375" style="22" bestFit="1" customWidth="1"/>
    <col min="3" max="3" width="26.875" style="22" bestFit="1" customWidth="1"/>
    <col min="4" max="4" width="10.625" style="22" bestFit="1" customWidth="1"/>
    <col min="5" max="5" width="8.375" style="22" bestFit="1" customWidth="1"/>
    <col min="6" max="6" width="21.125" style="22" customWidth="1"/>
    <col min="7" max="7" width="34.00390625" style="22" bestFit="1" customWidth="1"/>
    <col min="8" max="10" width="5.625" style="36" bestFit="1" customWidth="1"/>
    <col min="11" max="11" width="5.125" style="36" bestFit="1" customWidth="1"/>
    <col min="12" max="14" width="5.625" style="36" bestFit="1" customWidth="1"/>
    <col min="15" max="15" width="5.125" style="36" bestFit="1" customWidth="1"/>
    <col min="16" max="16" width="7.875" style="36" bestFit="1" customWidth="1"/>
    <col min="17" max="17" width="8.625" style="22" bestFit="1" customWidth="1"/>
    <col min="18" max="18" width="16.875" style="22" customWidth="1"/>
  </cols>
  <sheetData>
    <row r="1" spans="2:18" s="1" customFormat="1" ht="15" customHeight="1">
      <c r="B1" s="170" t="s">
        <v>1050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2"/>
    </row>
    <row r="2" spans="2:18" s="1" customFormat="1" ht="91.5" customHeight="1" thickBot="1"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5"/>
    </row>
    <row r="3" spans="1:18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5</v>
      </c>
      <c r="I3" s="132"/>
      <c r="J3" s="132"/>
      <c r="K3" s="146"/>
      <c r="L3" s="139" t="s">
        <v>6</v>
      </c>
      <c r="M3" s="132"/>
      <c r="N3" s="132"/>
      <c r="O3" s="146"/>
      <c r="P3" s="130" t="s">
        <v>8</v>
      </c>
      <c r="Q3" s="132" t="s">
        <v>9</v>
      </c>
      <c r="R3" s="146" t="s">
        <v>10</v>
      </c>
    </row>
    <row r="4" spans="1:18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6">
        <v>1</v>
      </c>
      <c r="M4" s="7">
        <v>2</v>
      </c>
      <c r="N4" s="7">
        <v>3</v>
      </c>
      <c r="O4" s="8" t="s">
        <v>7</v>
      </c>
      <c r="P4" s="131"/>
      <c r="Q4" s="133"/>
      <c r="R4" s="147"/>
    </row>
    <row r="5" spans="1:17" ht="15.75">
      <c r="A5"/>
      <c r="B5" s="137" t="s">
        <v>12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8" ht="12.75">
      <c r="A6" s="35" t="s">
        <v>689</v>
      </c>
      <c r="B6" s="23" t="s">
        <v>453</v>
      </c>
      <c r="C6" s="23" t="s">
        <v>454</v>
      </c>
      <c r="D6" s="23" t="s">
        <v>455</v>
      </c>
      <c r="E6" s="23" t="str">
        <f>"0,9000"</f>
        <v>0,9000</v>
      </c>
      <c r="F6" s="23" t="s">
        <v>164</v>
      </c>
      <c r="G6" s="23" t="s">
        <v>224</v>
      </c>
      <c r="H6" s="38" t="s">
        <v>149</v>
      </c>
      <c r="I6" s="37" t="s">
        <v>150</v>
      </c>
      <c r="J6" s="38" t="s">
        <v>150</v>
      </c>
      <c r="K6" s="34"/>
      <c r="L6" s="38" t="s">
        <v>140</v>
      </c>
      <c r="M6" s="38" t="s">
        <v>131</v>
      </c>
      <c r="N6" s="38" t="s">
        <v>132</v>
      </c>
      <c r="O6" s="34"/>
      <c r="P6" s="35" t="s">
        <v>191</v>
      </c>
      <c r="Q6" s="79" t="str">
        <f>"139,1773"</f>
        <v>139,1773</v>
      </c>
      <c r="R6" s="23" t="s">
        <v>813</v>
      </c>
    </row>
    <row r="8" spans="1:17" ht="15.75">
      <c r="A8"/>
      <c r="B8" s="136" t="s">
        <v>207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8" ht="12.75">
      <c r="A9" s="35" t="s">
        <v>689</v>
      </c>
      <c r="B9" s="23" t="s">
        <v>810</v>
      </c>
      <c r="C9" s="23" t="s">
        <v>341</v>
      </c>
      <c r="D9" s="23" t="s">
        <v>223</v>
      </c>
      <c r="E9" s="23" t="str">
        <f>"0,6482"</f>
        <v>0,6482</v>
      </c>
      <c r="F9" s="23" t="s">
        <v>1033</v>
      </c>
      <c r="G9" s="23" t="s">
        <v>16</v>
      </c>
      <c r="H9" s="38" t="s">
        <v>52</v>
      </c>
      <c r="I9" s="38" t="s">
        <v>88</v>
      </c>
      <c r="J9" s="37" t="s">
        <v>53</v>
      </c>
      <c r="K9" s="34"/>
      <c r="L9" s="38" t="s">
        <v>83</v>
      </c>
      <c r="M9" s="38" t="s">
        <v>71</v>
      </c>
      <c r="N9" s="37" t="s">
        <v>342</v>
      </c>
      <c r="O9" s="34"/>
      <c r="P9" s="35" t="s">
        <v>811</v>
      </c>
      <c r="Q9" s="79" t="str">
        <f>"298,1720"</f>
        <v>298,1720</v>
      </c>
      <c r="R9" s="23" t="s">
        <v>311</v>
      </c>
    </row>
    <row r="11" spans="1:17" ht="15.75">
      <c r="A11"/>
      <c r="B11" s="136" t="s">
        <v>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8" ht="12.75">
      <c r="A12" s="39" t="s">
        <v>689</v>
      </c>
      <c r="B12" s="24" t="s">
        <v>532</v>
      </c>
      <c r="C12" s="24" t="s">
        <v>237</v>
      </c>
      <c r="D12" s="24" t="s">
        <v>238</v>
      </c>
      <c r="E12" s="24" t="str">
        <f>"0,6201"</f>
        <v>0,6201</v>
      </c>
      <c r="F12" s="24" t="s">
        <v>164</v>
      </c>
      <c r="G12" s="24" t="s">
        <v>224</v>
      </c>
      <c r="H12" s="49" t="s">
        <v>36</v>
      </c>
      <c r="I12" s="49" t="s">
        <v>23</v>
      </c>
      <c r="J12" s="41" t="s">
        <v>81</v>
      </c>
      <c r="K12" s="47"/>
      <c r="L12" s="49" t="s">
        <v>220</v>
      </c>
      <c r="M12" s="49" t="s">
        <v>105</v>
      </c>
      <c r="N12" s="49" t="s">
        <v>90</v>
      </c>
      <c r="O12" s="47"/>
      <c r="P12" s="39" t="s">
        <v>812</v>
      </c>
      <c r="Q12" s="80" t="str">
        <f>"241,8390"</f>
        <v>241,8390</v>
      </c>
      <c r="R12" s="24" t="s">
        <v>45</v>
      </c>
    </row>
    <row r="13" spans="1:18" ht="12.75">
      <c r="A13" s="40" t="s">
        <v>785</v>
      </c>
      <c r="B13" s="25" t="s">
        <v>673</v>
      </c>
      <c r="C13" s="25" t="s">
        <v>674</v>
      </c>
      <c r="D13" s="25" t="s">
        <v>675</v>
      </c>
      <c r="E13" s="25" t="str">
        <f>"0,6247"</f>
        <v>0,6247</v>
      </c>
      <c r="F13" s="25" t="s">
        <v>99</v>
      </c>
      <c r="G13" s="25" t="s">
        <v>100</v>
      </c>
      <c r="H13" s="50" t="s">
        <v>18</v>
      </c>
      <c r="I13" s="50" t="s">
        <v>35</v>
      </c>
      <c r="J13" s="42" t="s">
        <v>19</v>
      </c>
      <c r="K13" s="48"/>
      <c r="L13" s="50" t="s">
        <v>64</v>
      </c>
      <c r="M13" s="50" t="s">
        <v>39</v>
      </c>
      <c r="N13" s="50" t="s">
        <v>365</v>
      </c>
      <c r="O13" s="48"/>
      <c r="P13" s="40">
        <v>327.5</v>
      </c>
      <c r="Q13" s="81" t="str">
        <f>"204,5729"</f>
        <v>204,5729</v>
      </c>
      <c r="R13" s="25" t="s">
        <v>814</v>
      </c>
    </row>
    <row r="15" spans="1:17" ht="15.75">
      <c r="A15"/>
      <c r="B15" s="136" t="s">
        <v>420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20" s="21" customFormat="1" ht="12.75">
      <c r="A16" s="35" t="s">
        <v>689</v>
      </c>
      <c r="B16" s="23" t="s">
        <v>676</v>
      </c>
      <c r="C16" s="23" t="s">
        <v>677</v>
      </c>
      <c r="D16" s="23" t="s">
        <v>678</v>
      </c>
      <c r="E16" s="23" t="str">
        <f>"0,5454"</f>
        <v>0,5454</v>
      </c>
      <c r="F16" s="23" t="s">
        <v>15</v>
      </c>
      <c r="G16" s="23" t="s">
        <v>462</v>
      </c>
      <c r="H16" s="37" t="s">
        <v>64</v>
      </c>
      <c r="I16" s="38" t="s">
        <v>64</v>
      </c>
      <c r="J16" s="37" t="s">
        <v>297</v>
      </c>
      <c r="K16" s="34"/>
      <c r="L16" s="38" t="s">
        <v>50</v>
      </c>
      <c r="M16" s="38" t="s">
        <v>51</v>
      </c>
      <c r="N16" s="37" t="s">
        <v>104</v>
      </c>
      <c r="O16" s="34"/>
      <c r="P16" s="35" t="s">
        <v>284</v>
      </c>
      <c r="Q16" s="79" t="str">
        <f>"218,1600"</f>
        <v>218,1600</v>
      </c>
      <c r="R16" s="23" t="s">
        <v>815</v>
      </c>
      <c r="S16" s="82"/>
      <c r="T16" s="82"/>
    </row>
  </sheetData>
  <sheetProtection/>
  <mergeCells count="17">
    <mergeCell ref="A3:A4"/>
    <mergeCell ref="B15:Q15"/>
    <mergeCell ref="P3:P4"/>
    <mergeCell ref="Q3:Q4"/>
    <mergeCell ref="R3:R4"/>
    <mergeCell ref="B5:Q5"/>
    <mergeCell ref="B8:Q8"/>
    <mergeCell ref="B11:Q11"/>
    <mergeCell ref="B1:R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D36" sqref="D36"/>
    </sheetView>
  </sheetViews>
  <sheetFormatPr defaultColWidth="8.75390625" defaultRowHeight="12.75"/>
  <cols>
    <col min="1" max="1" width="7.875" style="36" bestFit="1" customWidth="1"/>
    <col min="2" max="2" width="26.00390625" style="22" bestFit="1" customWidth="1"/>
    <col min="3" max="3" width="26.875" style="22" bestFit="1" customWidth="1"/>
    <col min="4" max="4" width="10.625" style="22" bestFit="1" customWidth="1"/>
    <col min="5" max="5" width="8.375" style="22" bestFit="1" customWidth="1"/>
    <col min="6" max="6" width="16.00390625" style="22" customWidth="1"/>
    <col min="7" max="7" width="36.00390625" style="22" customWidth="1"/>
    <col min="8" max="10" width="5.625" style="36" bestFit="1" customWidth="1"/>
    <col min="11" max="11" width="5.125" style="36" bestFit="1" customWidth="1"/>
    <col min="12" max="14" width="5.625" style="36" bestFit="1" customWidth="1"/>
    <col min="15" max="15" width="5.125" style="36" bestFit="1" customWidth="1"/>
    <col min="16" max="16" width="7.875" style="36" bestFit="1" customWidth="1"/>
    <col min="17" max="17" width="8.625" style="22" bestFit="1" customWidth="1"/>
    <col min="18" max="18" width="15.75390625" style="22" bestFit="1" customWidth="1"/>
  </cols>
  <sheetData>
    <row r="1" spans="2:18" s="1" customFormat="1" ht="15" customHeight="1">
      <c r="B1" s="170" t="s">
        <v>1049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2"/>
    </row>
    <row r="2" spans="2:18" s="1" customFormat="1" ht="86.25" customHeight="1" thickBot="1"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5"/>
    </row>
    <row r="3" spans="1:18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5</v>
      </c>
      <c r="I3" s="132"/>
      <c r="J3" s="132"/>
      <c r="K3" s="146"/>
      <c r="L3" s="139" t="s">
        <v>6</v>
      </c>
      <c r="M3" s="132"/>
      <c r="N3" s="132"/>
      <c r="O3" s="146"/>
      <c r="P3" s="130" t="s">
        <v>8</v>
      </c>
      <c r="Q3" s="132" t="s">
        <v>9</v>
      </c>
      <c r="R3" s="146" t="s">
        <v>10</v>
      </c>
    </row>
    <row r="4" spans="1:18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6">
        <v>1</v>
      </c>
      <c r="M4" s="7">
        <v>2</v>
      </c>
      <c r="N4" s="7">
        <v>3</v>
      </c>
      <c r="O4" s="8" t="s">
        <v>7</v>
      </c>
      <c r="P4" s="131"/>
      <c r="Q4" s="133"/>
      <c r="R4" s="147"/>
    </row>
    <row r="5" spans="1:17" ht="15.75">
      <c r="A5"/>
      <c r="B5" s="137" t="s">
        <v>41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8" ht="12.75">
      <c r="A6" s="39" t="s">
        <v>689</v>
      </c>
      <c r="B6" s="24" t="s">
        <v>816</v>
      </c>
      <c r="C6" s="24" t="s">
        <v>43</v>
      </c>
      <c r="D6" s="24" t="s">
        <v>44</v>
      </c>
      <c r="E6" s="24" t="str">
        <f>"0,6269"</f>
        <v>0,6269</v>
      </c>
      <c r="F6" s="24" t="s">
        <v>15</v>
      </c>
      <c r="G6" s="24" t="s">
        <v>820</v>
      </c>
      <c r="H6" s="49" t="s">
        <v>128</v>
      </c>
      <c r="I6" s="49" t="s">
        <v>140</v>
      </c>
      <c r="J6" s="41" t="s">
        <v>171</v>
      </c>
      <c r="K6" s="47"/>
      <c r="L6" s="49" t="s">
        <v>88</v>
      </c>
      <c r="M6" s="49" t="s">
        <v>64</v>
      </c>
      <c r="N6" s="41" t="s">
        <v>40</v>
      </c>
      <c r="O6" s="47"/>
      <c r="P6" s="39" t="s">
        <v>61</v>
      </c>
      <c r="Q6" s="80" t="str">
        <f>"162,9810"</f>
        <v>162,9810</v>
      </c>
      <c r="R6" s="24" t="s">
        <v>45</v>
      </c>
    </row>
    <row r="7" spans="1:18" ht="12.75">
      <c r="A7" s="52" t="s">
        <v>689</v>
      </c>
      <c r="B7" s="26" t="s">
        <v>30</v>
      </c>
      <c r="C7" s="26" t="s">
        <v>670</v>
      </c>
      <c r="D7" s="26" t="s">
        <v>671</v>
      </c>
      <c r="E7" s="26" t="str">
        <f>"0,6157"</f>
        <v>0,6157</v>
      </c>
      <c r="F7" s="26" t="s">
        <v>28</v>
      </c>
      <c r="G7" s="26" t="s">
        <v>820</v>
      </c>
      <c r="H7" s="54" t="s">
        <v>88</v>
      </c>
      <c r="I7" s="53" t="s">
        <v>88</v>
      </c>
      <c r="J7" s="53" t="s">
        <v>53</v>
      </c>
      <c r="K7" s="51"/>
      <c r="L7" s="53" t="s">
        <v>90</v>
      </c>
      <c r="M7" s="53" t="s">
        <v>353</v>
      </c>
      <c r="N7" s="54" t="s">
        <v>672</v>
      </c>
      <c r="O7" s="51"/>
      <c r="P7" s="52">
        <v>427.5</v>
      </c>
      <c r="Q7" s="83" t="str">
        <f>"263,2118"</f>
        <v>263,2118</v>
      </c>
      <c r="R7" s="26" t="s">
        <v>45</v>
      </c>
    </row>
    <row r="8" spans="1:18" ht="12.75">
      <c r="A8" s="52" t="s">
        <v>785</v>
      </c>
      <c r="B8" s="26" t="s">
        <v>817</v>
      </c>
      <c r="C8" s="26" t="s">
        <v>313</v>
      </c>
      <c r="D8" s="26" t="s">
        <v>314</v>
      </c>
      <c r="E8" s="26" t="str">
        <f>"0,6145"</f>
        <v>0,6145</v>
      </c>
      <c r="F8" s="26" t="s">
        <v>15</v>
      </c>
      <c r="G8" s="26" t="s">
        <v>802</v>
      </c>
      <c r="H8" s="53" t="s">
        <v>204</v>
      </c>
      <c r="I8" s="51"/>
      <c r="J8" s="51"/>
      <c r="K8" s="51"/>
      <c r="L8" s="53" t="s">
        <v>90</v>
      </c>
      <c r="M8" s="51"/>
      <c r="N8" s="51"/>
      <c r="O8" s="51"/>
      <c r="P8" s="52">
        <v>392.5</v>
      </c>
      <c r="Q8" s="83" t="str">
        <f>"241,2109"</f>
        <v>241,2109</v>
      </c>
      <c r="R8" s="26" t="s">
        <v>803</v>
      </c>
    </row>
    <row r="9" spans="1:18" ht="12.75">
      <c r="A9" s="40" t="s">
        <v>689</v>
      </c>
      <c r="B9" s="25" t="s">
        <v>818</v>
      </c>
      <c r="C9" s="25" t="s">
        <v>394</v>
      </c>
      <c r="D9" s="25" t="s">
        <v>352</v>
      </c>
      <c r="E9" s="25" t="str">
        <f>"0,6184"</f>
        <v>0,6184</v>
      </c>
      <c r="F9" s="25" t="s">
        <v>164</v>
      </c>
      <c r="G9" s="25" t="s">
        <v>395</v>
      </c>
      <c r="H9" s="50" t="s">
        <v>18</v>
      </c>
      <c r="I9" s="50" t="s">
        <v>35</v>
      </c>
      <c r="J9" s="50" t="s">
        <v>19</v>
      </c>
      <c r="K9" s="48"/>
      <c r="L9" s="50" t="s">
        <v>191</v>
      </c>
      <c r="M9" s="50" t="s">
        <v>53</v>
      </c>
      <c r="N9" s="50" t="s">
        <v>89</v>
      </c>
      <c r="O9" s="48"/>
      <c r="P9" s="40" t="s">
        <v>71</v>
      </c>
      <c r="Q9" s="81" t="str">
        <f>"348,0637"</f>
        <v>348,0637</v>
      </c>
      <c r="R9" s="25" t="s">
        <v>45</v>
      </c>
    </row>
    <row r="11" spans="1:17" ht="15.75">
      <c r="A11"/>
      <c r="B11" s="136" t="s">
        <v>57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8" ht="12.75">
      <c r="A12" s="35" t="s">
        <v>689</v>
      </c>
      <c r="B12" s="23" t="s">
        <v>819</v>
      </c>
      <c r="C12" s="23" t="s">
        <v>323</v>
      </c>
      <c r="D12" s="23" t="s">
        <v>324</v>
      </c>
      <c r="E12" s="23" t="str">
        <f>"0,6104"</f>
        <v>0,6104</v>
      </c>
      <c r="F12" s="23" t="s">
        <v>15</v>
      </c>
      <c r="G12" s="23" t="s">
        <v>821</v>
      </c>
      <c r="H12" s="38" t="s">
        <v>23</v>
      </c>
      <c r="I12" s="38" t="s">
        <v>191</v>
      </c>
      <c r="J12" s="37" t="s">
        <v>82</v>
      </c>
      <c r="K12" s="34"/>
      <c r="L12" s="38" t="s">
        <v>50</v>
      </c>
      <c r="M12" s="37" t="s">
        <v>79</v>
      </c>
      <c r="N12" s="37" t="s">
        <v>79</v>
      </c>
      <c r="O12" s="34"/>
      <c r="P12" s="35" t="s">
        <v>822</v>
      </c>
      <c r="Q12" s="79" t="str">
        <f>"248,3107"</f>
        <v>248,3107</v>
      </c>
      <c r="R12" s="23" t="s">
        <v>45</v>
      </c>
    </row>
  </sheetData>
  <sheetProtection/>
  <mergeCells count="15"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A3:A4"/>
    <mergeCell ref="R3:R4"/>
    <mergeCell ref="B5:Q5"/>
    <mergeCell ref="B11:Q11"/>
  </mergeCells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G26" sqref="G26"/>
    </sheetView>
  </sheetViews>
  <sheetFormatPr defaultColWidth="8.75390625" defaultRowHeight="12.75"/>
  <cols>
    <col min="1" max="1" width="7.875" style="36" bestFit="1" customWidth="1"/>
    <col min="2" max="2" width="16.25390625" style="22" customWidth="1"/>
    <col min="3" max="3" width="26.875" style="22" customWidth="1"/>
    <col min="4" max="4" width="11.125" style="22" customWidth="1"/>
    <col min="5" max="5" width="8.375" style="22" bestFit="1" customWidth="1"/>
    <col min="6" max="6" width="19.00390625" style="22" customWidth="1"/>
    <col min="7" max="7" width="26.125" style="22" bestFit="1" customWidth="1"/>
    <col min="8" max="10" width="5.625" style="36" bestFit="1" customWidth="1"/>
    <col min="11" max="11" width="5.125" style="36" bestFit="1" customWidth="1"/>
    <col min="12" max="14" width="5.625" style="36" bestFit="1" customWidth="1"/>
    <col min="15" max="15" width="5.125" style="36" bestFit="1" customWidth="1"/>
    <col min="16" max="18" width="5.625" style="36" bestFit="1" customWidth="1"/>
    <col min="19" max="19" width="5.125" style="36" bestFit="1" customWidth="1"/>
    <col min="20" max="20" width="7.875" style="36" bestFit="1" customWidth="1"/>
    <col min="21" max="21" width="8.625" style="22" bestFit="1" customWidth="1"/>
    <col min="22" max="22" width="17.375" style="22" customWidth="1"/>
  </cols>
  <sheetData>
    <row r="1" spans="2:22" s="1" customFormat="1" ht="15" customHeight="1">
      <c r="B1" s="124" t="s">
        <v>1040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spans="2:22" s="1" customFormat="1" ht="82.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4</v>
      </c>
      <c r="I3" s="132"/>
      <c r="J3" s="132"/>
      <c r="K3" s="146"/>
      <c r="L3" s="139" t="s">
        <v>5</v>
      </c>
      <c r="M3" s="132"/>
      <c r="N3" s="132"/>
      <c r="O3" s="146"/>
      <c r="P3" s="139" t="s">
        <v>6</v>
      </c>
      <c r="Q3" s="132"/>
      <c r="R3" s="132"/>
      <c r="S3" s="146"/>
      <c r="T3" s="130" t="s">
        <v>8</v>
      </c>
      <c r="U3" s="132" t="s">
        <v>9</v>
      </c>
      <c r="V3" s="146" t="s">
        <v>10</v>
      </c>
    </row>
    <row r="4" spans="1:22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6">
        <v>1</v>
      </c>
      <c r="M4" s="7">
        <v>2</v>
      </c>
      <c r="N4" s="7">
        <v>3</v>
      </c>
      <c r="O4" s="8" t="s">
        <v>7</v>
      </c>
      <c r="P4" s="6">
        <v>1</v>
      </c>
      <c r="Q4" s="7">
        <v>2</v>
      </c>
      <c r="R4" s="7">
        <v>3</v>
      </c>
      <c r="S4" s="8" t="s">
        <v>7</v>
      </c>
      <c r="T4" s="131"/>
      <c r="U4" s="133"/>
      <c r="V4" s="147"/>
    </row>
    <row r="5" spans="1:21" ht="15.75">
      <c r="A5"/>
      <c r="B5" s="137" t="s">
        <v>95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1:22" ht="12.75">
      <c r="A6" s="35" t="s">
        <v>689</v>
      </c>
      <c r="B6" s="23" t="s">
        <v>935</v>
      </c>
      <c r="C6" s="23" t="s">
        <v>362</v>
      </c>
      <c r="D6" s="23" t="s">
        <v>363</v>
      </c>
      <c r="E6" s="23" t="str">
        <f>"0,5653"</f>
        <v>0,5653</v>
      </c>
      <c r="F6" s="23" t="s">
        <v>1033</v>
      </c>
      <c r="G6" s="23" t="s">
        <v>364</v>
      </c>
      <c r="H6" s="38" t="s">
        <v>39</v>
      </c>
      <c r="I6" s="38" t="s">
        <v>40</v>
      </c>
      <c r="J6" s="38" t="s">
        <v>365</v>
      </c>
      <c r="K6" s="34"/>
      <c r="L6" s="38" t="s">
        <v>35</v>
      </c>
      <c r="M6" s="38" t="s">
        <v>228</v>
      </c>
      <c r="N6" s="37" t="s">
        <v>36</v>
      </c>
      <c r="O6" s="34"/>
      <c r="P6" s="38" t="s">
        <v>62</v>
      </c>
      <c r="Q6" s="38" t="s">
        <v>64</v>
      </c>
      <c r="R6" s="38" t="s">
        <v>39</v>
      </c>
      <c r="S6" s="34"/>
      <c r="T6" s="35" t="s">
        <v>936</v>
      </c>
      <c r="U6" s="79" t="str">
        <f>"296,7825"</f>
        <v>296,7825</v>
      </c>
      <c r="V6" s="23" t="s">
        <v>311</v>
      </c>
    </row>
  </sheetData>
  <sheetProtection/>
  <mergeCells count="15">
    <mergeCell ref="F3:F4"/>
    <mergeCell ref="G3:G4"/>
    <mergeCell ref="H3:K3"/>
    <mergeCell ref="L3:O3"/>
    <mergeCell ref="P3:S3"/>
    <mergeCell ref="T3:T4"/>
    <mergeCell ref="U3:U4"/>
    <mergeCell ref="A3:A4"/>
    <mergeCell ref="V3:V4"/>
    <mergeCell ref="B5:U5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E12" sqref="E12"/>
    </sheetView>
  </sheetViews>
  <sheetFormatPr defaultColWidth="8.75390625" defaultRowHeight="12.75"/>
  <cols>
    <col min="1" max="1" width="7.875" style="36" bestFit="1" customWidth="1"/>
    <col min="2" max="2" width="16.625" style="22" customWidth="1"/>
    <col min="3" max="3" width="26.00390625" style="22" customWidth="1"/>
    <col min="4" max="4" width="10.625" style="22" bestFit="1" customWidth="1"/>
    <col min="5" max="5" width="8.375" style="22" bestFit="1" customWidth="1"/>
    <col min="6" max="6" width="11.00390625" style="22" customWidth="1"/>
    <col min="7" max="7" width="31.375" style="22" bestFit="1" customWidth="1"/>
    <col min="8" max="10" width="5.625" style="36" bestFit="1" customWidth="1"/>
    <col min="11" max="11" width="5.125" style="36" bestFit="1" customWidth="1"/>
    <col min="12" max="14" width="5.625" style="36" bestFit="1" customWidth="1"/>
    <col min="15" max="15" width="5.125" style="36" bestFit="1" customWidth="1"/>
    <col min="16" max="18" width="5.625" style="36" bestFit="1" customWidth="1"/>
    <col min="19" max="19" width="5.125" style="36" bestFit="1" customWidth="1"/>
    <col min="20" max="20" width="7.875" style="36" bestFit="1" customWidth="1"/>
    <col min="21" max="21" width="8.625" style="22" bestFit="1" customWidth="1"/>
    <col min="22" max="22" width="15.75390625" style="22" bestFit="1" customWidth="1"/>
  </cols>
  <sheetData>
    <row r="1" spans="2:22" s="1" customFormat="1" ht="15" customHeight="1">
      <c r="B1" s="124" t="s">
        <v>1039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spans="2:22" s="1" customFormat="1" ht="76.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4</v>
      </c>
      <c r="I3" s="132"/>
      <c r="J3" s="132"/>
      <c r="K3" s="146"/>
      <c r="L3" s="139" t="s">
        <v>5</v>
      </c>
      <c r="M3" s="132"/>
      <c r="N3" s="132"/>
      <c r="O3" s="146"/>
      <c r="P3" s="139" t="s">
        <v>6</v>
      </c>
      <c r="Q3" s="132"/>
      <c r="R3" s="132"/>
      <c r="S3" s="146"/>
      <c r="T3" s="130" t="s">
        <v>8</v>
      </c>
      <c r="U3" s="132" t="s">
        <v>9</v>
      </c>
      <c r="V3" s="146" t="s">
        <v>10</v>
      </c>
    </row>
    <row r="4" spans="1:22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6">
        <v>1</v>
      </c>
      <c r="M4" s="7">
        <v>2</v>
      </c>
      <c r="N4" s="7">
        <v>3</v>
      </c>
      <c r="O4" s="8" t="s">
        <v>7</v>
      </c>
      <c r="P4" s="6">
        <v>1</v>
      </c>
      <c r="Q4" s="7">
        <v>2</v>
      </c>
      <c r="R4" s="7">
        <v>3</v>
      </c>
      <c r="S4" s="8" t="s">
        <v>7</v>
      </c>
      <c r="T4" s="131"/>
      <c r="U4" s="133"/>
      <c r="V4" s="147"/>
    </row>
    <row r="5" spans="1:21" ht="15.75">
      <c r="A5"/>
      <c r="B5" s="137" t="s">
        <v>207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1:22" ht="12.75">
      <c r="A6" s="35" t="s">
        <v>689</v>
      </c>
      <c r="B6" s="23" t="s">
        <v>937</v>
      </c>
      <c r="C6" s="23" t="s">
        <v>347</v>
      </c>
      <c r="D6" s="23" t="s">
        <v>348</v>
      </c>
      <c r="E6" s="23" t="str">
        <f>"0,6518"</f>
        <v>0,6518</v>
      </c>
      <c r="F6" s="23" t="s">
        <v>15</v>
      </c>
      <c r="G6" s="23" t="s">
        <v>349</v>
      </c>
      <c r="H6" s="38" t="s">
        <v>55</v>
      </c>
      <c r="I6" s="37" t="s">
        <v>56</v>
      </c>
      <c r="J6" s="38" t="s">
        <v>56</v>
      </c>
      <c r="K6" s="34"/>
      <c r="L6" s="38" t="s">
        <v>24</v>
      </c>
      <c r="M6" s="38" t="s">
        <v>82</v>
      </c>
      <c r="N6" s="37" t="s">
        <v>52</v>
      </c>
      <c r="O6" s="34"/>
      <c r="P6" s="38" t="s">
        <v>350</v>
      </c>
      <c r="Q6" s="38" t="s">
        <v>55</v>
      </c>
      <c r="R6" s="37" t="s">
        <v>61</v>
      </c>
      <c r="S6" s="34"/>
      <c r="T6" s="35">
        <v>672.5</v>
      </c>
      <c r="U6" s="23" t="str">
        <f>"438,3691"</f>
        <v>438,3691</v>
      </c>
      <c r="V6" s="23" t="s">
        <v>45</v>
      </c>
    </row>
    <row r="8" spans="1:21" ht="15.75">
      <c r="A8"/>
      <c r="B8" s="136" t="s">
        <v>41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</row>
    <row r="9" spans="1:22" ht="12.75">
      <c r="A9" s="35" t="s">
        <v>689</v>
      </c>
      <c r="B9" s="23" t="s">
        <v>938</v>
      </c>
      <c r="C9" s="23" t="s">
        <v>351</v>
      </c>
      <c r="D9" s="23" t="s">
        <v>352</v>
      </c>
      <c r="E9" s="23" t="str">
        <f>"0,6184"</f>
        <v>0,6184</v>
      </c>
      <c r="F9" s="23" t="s">
        <v>15</v>
      </c>
      <c r="G9" s="23" t="s">
        <v>349</v>
      </c>
      <c r="H9" s="38" t="s">
        <v>353</v>
      </c>
      <c r="I9" s="38" t="s">
        <v>354</v>
      </c>
      <c r="J9" s="38" t="s">
        <v>83</v>
      </c>
      <c r="K9" s="34"/>
      <c r="L9" s="38" t="s">
        <v>88</v>
      </c>
      <c r="M9" s="38" t="s">
        <v>53</v>
      </c>
      <c r="N9" s="37" t="s">
        <v>62</v>
      </c>
      <c r="O9" s="34"/>
      <c r="P9" s="38" t="s">
        <v>315</v>
      </c>
      <c r="Q9" s="38" t="s">
        <v>350</v>
      </c>
      <c r="R9" s="37" t="s">
        <v>55</v>
      </c>
      <c r="S9" s="34"/>
      <c r="T9" s="35">
        <v>692.5</v>
      </c>
      <c r="U9" s="79" t="str">
        <f>"428,2766"</f>
        <v>428,2766</v>
      </c>
      <c r="V9" s="23" t="s">
        <v>45</v>
      </c>
    </row>
    <row r="11" spans="1:21" ht="15.75">
      <c r="A11"/>
      <c r="B11" s="136" t="s">
        <v>355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</row>
    <row r="12" spans="1:22" ht="12.75">
      <c r="A12" s="35"/>
      <c r="B12" s="23" t="s">
        <v>356</v>
      </c>
      <c r="C12" s="23" t="s">
        <v>357</v>
      </c>
      <c r="D12" s="23" t="s">
        <v>358</v>
      </c>
      <c r="E12" s="23" t="str">
        <f>"0,5403"</f>
        <v>0,5403</v>
      </c>
      <c r="F12" s="23" t="s">
        <v>15</v>
      </c>
      <c r="G12" s="23" t="s">
        <v>359</v>
      </c>
      <c r="H12" s="38" t="s">
        <v>360</v>
      </c>
      <c r="I12" s="37" t="s">
        <v>361</v>
      </c>
      <c r="J12" s="38" t="s">
        <v>284</v>
      </c>
      <c r="K12" s="34"/>
      <c r="L12" s="37" t="s">
        <v>265</v>
      </c>
      <c r="M12" s="37" t="s">
        <v>66</v>
      </c>
      <c r="N12" s="37" t="s">
        <v>66</v>
      </c>
      <c r="O12" s="34"/>
      <c r="P12" s="37" t="s">
        <v>29</v>
      </c>
      <c r="Q12" s="34"/>
      <c r="R12" s="34"/>
      <c r="S12" s="34"/>
      <c r="T12" s="35">
        <v>0</v>
      </c>
      <c r="U12" s="35" t="s">
        <v>801</v>
      </c>
      <c r="V12" s="23" t="s">
        <v>799</v>
      </c>
    </row>
  </sheetData>
  <sheetProtection/>
  <mergeCells count="17">
    <mergeCell ref="A3:A4"/>
    <mergeCell ref="T3:T4"/>
    <mergeCell ref="U3:U4"/>
    <mergeCell ref="V3:V4"/>
    <mergeCell ref="B5:U5"/>
    <mergeCell ref="B8:U8"/>
    <mergeCell ref="P3:S3"/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C1">
      <selection activeCell="N29" sqref="N29"/>
    </sheetView>
  </sheetViews>
  <sheetFormatPr defaultColWidth="8.75390625" defaultRowHeight="12.75"/>
  <cols>
    <col min="1" max="1" width="7.875" style="36" bestFit="1" customWidth="1"/>
    <col min="2" max="2" width="19.125" style="22" customWidth="1"/>
    <col min="3" max="3" width="26.00390625" style="22" bestFit="1" customWidth="1"/>
    <col min="4" max="4" width="10.625" style="22" bestFit="1" customWidth="1"/>
    <col min="5" max="5" width="8.375" style="22" bestFit="1" customWidth="1"/>
    <col min="6" max="6" width="18.00390625" style="22" customWidth="1"/>
    <col min="7" max="7" width="33.00390625" style="22" customWidth="1"/>
    <col min="8" max="10" width="5.625" style="36" bestFit="1" customWidth="1"/>
    <col min="11" max="11" width="5.125" style="36" bestFit="1" customWidth="1"/>
    <col min="12" max="14" width="5.625" style="36" bestFit="1" customWidth="1"/>
    <col min="15" max="15" width="5.125" style="36" bestFit="1" customWidth="1"/>
    <col min="16" max="18" width="5.625" style="36" bestFit="1" customWidth="1"/>
    <col min="19" max="19" width="5.125" style="36" bestFit="1" customWidth="1"/>
    <col min="20" max="20" width="7.875" style="36" bestFit="1" customWidth="1"/>
    <col min="21" max="21" width="8.625" style="22" bestFit="1" customWidth="1"/>
    <col min="22" max="22" width="16.375" style="22" customWidth="1"/>
  </cols>
  <sheetData>
    <row r="1" spans="2:22" s="1" customFormat="1" ht="15" customHeight="1">
      <c r="B1" s="124" t="s">
        <v>1037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spans="2:22" s="1" customFormat="1" ht="76.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4</v>
      </c>
      <c r="I3" s="132"/>
      <c r="J3" s="132"/>
      <c r="K3" s="146"/>
      <c r="L3" s="139" t="s">
        <v>5</v>
      </c>
      <c r="M3" s="132"/>
      <c r="N3" s="132"/>
      <c r="O3" s="146"/>
      <c r="P3" s="139" t="s">
        <v>6</v>
      </c>
      <c r="Q3" s="132"/>
      <c r="R3" s="132"/>
      <c r="S3" s="146"/>
      <c r="T3" s="130" t="s">
        <v>8</v>
      </c>
      <c r="U3" s="132" t="s">
        <v>9</v>
      </c>
      <c r="V3" s="146" t="s">
        <v>10</v>
      </c>
    </row>
    <row r="4" spans="1:22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6">
        <v>1</v>
      </c>
      <c r="M4" s="7">
        <v>2</v>
      </c>
      <c r="N4" s="7">
        <v>3</v>
      </c>
      <c r="O4" s="8" t="s">
        <v>7</v>
      </c>
      <c r="P4" s="6">
        <v>1</v>
      </c>
      <c r="Q4" s="7">
        <v>2</v>
      </c>
      <c r="R4" s="7">
        <v>3</v>
      </c>
      <c r="S4" s="8" t="s">
        <v>7</v>
      </c>
      <c r="T4" s="131"/>
      <c r="U4" s="133"/>
      <c r="V4" s="147"/>
    </row>
    <row r="5" spans="1:21" ht="15.75">
      <c r="A5"/>
      <c r="B5" s="137" t="s">
        <v>142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1:22" ht="12.75">
      <c r="A6" s="35" t="s">
        <v>689</v>
      </c>
      <c r="B6" s="23" t="s">
        <v>939</v>
      </c>
      <c r="C6" s="23" t="s">
        <v>177</v>
      </c>
      <c r="D6" s="23" t="s">
        <v>178</v>
      </c>
      <c r="E6" s="23" t="str">
        <f>"0,9875"</f>
        <v>0,9875</v>
      </c>
      <c r="F6" s="23" t="s">
        <v>1033</v>
      </c>
      <c r="G6" s="23" t="s">
        <v>179</v>
      </c>
      <c r="H6" s="37" t="s">
        <v>36</v>
      </c>
      <c r="I6" s="38" t="s">
        <v>36</v>
      </c>
      <c r="J6" s="38" t="s">
        <v>219</v>
      </c>
      <c r="K6" s="34"/>
      <c r="L6" s="38" t="s">
        <v>180</v>
      </c>
      <c r="M6" s="38" t="s">
        <v>128</v>
      </c>
      <c r="N6" s="38" t="s">
        <v>331</v>
      </c>
      <c r="O6" s="34"/>
      <c r="P6" s="38" t="s">
        <v>23</v>
      </c>
      <c r="Q6" s="37" t="s">
        <v>24</v>
      </c>
      <c r="R6" s="37" t="s">
        <v>24</v>
      </c>
      <c r="S6" s="34"/>
      <c r="T6" s="35" t="s">
        <v>942</v>
      </c>
      <c r="U6" s="79" t="str">
        <f>"340,6875"</f>
        <v>340,6875</v>
      </c>
      <c r="V6" s="23" t="s">
        <v>945</v>
      </c>
    </row>
    <row r="8" spans="1:21" ht="15.75">
      <c r="A8"/>
      <c r="B8" s="136" t="s">
        <v>25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</row>
    <row r="9" spans="1:22" ht="12.75">
      <c r="A9" s="39" t="s">
        <v>689</v>
      </c>
      <c r="B9" s="24" t="s">
        <v>940</v>
      </c>
      <c r="C9" s="24" t="s">
        <v>332</v>
      </c>
      <c r="D9" s="24" t="s">
        <v>333</v>
      </c>
      <c r="E9" s="24" t="str">
        <f>"0,7172"</f>
        <v>0,7172</v>
      </c>
      <c r="F9" s="24" t="s">
        <v>1038</v>
      </c>
      <c r="G9" s="24" t="s">
        <v>16</v>
      </c>
      <c r="H9" s="41" t="s">
        <v>88</v>
      </c>
      <c r="I9" s="49" t="s">
        <v>88</v>
      </c>
      <c r="J9" s="41" t="s">
        <v>62</v>
      </c>
      <c r="K9" s="47"/>
      <c r="L9" s="49" t="s">
        <v>131</v>
      </c>
      <c r="M9" s="49" t="s">
        <v>17</v>
      </c>
      <c r="N9" s="41" t="s">
        <v>165</v>
      </c>
      <c r="O9" s="47"/>
      <c r="P9" s="49" t="s">
        <v>88</v>
      </c>
      <c r="Q9" s="41" t="s">
        <v>62</v>
      </c>
      <c r="R9" s="41" t="s">
        <v>62</v>
      </c>
      <c r="S9" s="47"/>
      <c r="T9" s="39" t="s">
        <v>943</v>
      </c>
      <c r="U9" s="80" t="str">
        <f>"301,2450"</f>
        <v>301,2450</v>
      </c>
      <c r="V9" s="24" t="s">
        <v>909</v>
      </c>
    </row>
    <row r="10" spans="1:22" ht="12.75">
      <c r="A10" s="40"/>
      <c r="B10" s="25" t="s">
        <v>334</v>
      </c>
      <c r="C10" s="25" t="s">
        <v>335</v>
      </c>
      <c r="D10" s="25" t="s">
        <v>336</v>
      </c>
      <c r="E10" s="25" t="str">
        <f>"0,7064"</f>
        <v>0,7064</v>
      </c>
      <c r="F10" s="25" t="s">
        <v>1038</v>
      </c>
      <c r="G10" s="25" t="s">
        <v>16</v>
      </c>
      <c r="H10" s="42" t="s">
        <v>53</v>
      </c>
      <c r="I10" s="42" t="s">
        <v>53</v>
      </c>
      <c r="J10" s="42" t="s">
        <v>53</v>
      </c>
      <c r="K10" s="48"/>
      <c r="L10" s="42" t="s">
        <v>29</v>
      </c>
      <c r="M10" s="48"/>
      <c r="N10" s="48"/>
      <c r="O10" s="48"/>
      <c r="P10" s="42" t="s">
        <v>29</v>
      </c>
      <c r="Q10" s="48"/>
      <c r="R10" s="48"/>
      <c r="S10" s="48"/>
      <c r="T10" s="40">
        <v>0</v>
      </c>
      <c r="U10" s="40" t="s">
        <v>801</v>
      </c>
      <c r="V10" s="25" t="s">
        <v>909</v>
      </c>
    </row>
    <row r="12" spans="1:21" ht="15.75">
      <c r="A12"/>
      <c r="B12" s="136" t="s">
        <v>207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</row>
    <row r="13" spans="1:22" ht="12.75">
      <c r="A13" s="39"/>
      <c r="B13" s="24" t="s">
        <v>337</v>
      </c>
      <c r="C13" s="24" t="s">
        <v>338</v>
      </c>
      <c r="D13" s="24" t="s">
        <v>210</v>
      </c>
      <c r="E13" s="24" t="str">
        <f>"0,6456"</f>
        <v>0,6456</v>
      </c>
      <c r="F13" s="24" t="s">
        <v>15</v>
      </c>
      <c r="G13" s="24" t="s">
        <v>339</v>
      </c>
      <c r="H13" s="41" t="s">
        <v>50</v>
      </c>
      <c r="I13" s="41" t="s">
        <v>340</v>
      </c>
      <c r="J13" s="41" t="s">
        <v>340</v>
      </c>
      <c r="K13" s="47"/>
      <c r="L13" s="41" t="s">
        <v>37</v>
      </c>
      <c r="M13" s="47"/>
      <c r="N13" s="47"/>
      <c r="O13" s="47"/>
      <c r="P13" s="41" t="s">
        <v>29</v>
      </c>
      <c r="Q13" s="47"/>
      <c r="R13" s="47"/>
      <c r="S13" s="47"/>
      <c r="T13" s="39">
        <v>0</v>
      </c>
      <c r="U13" s="39" t="s">
        <v>801</v>
      </c>
      <c r="V13" s="24" t="s">
        <v>45</v>
      </c>
    </row>
    <row r="14" spans="1:22" ht="12.75">
      <c r="A14" s="40" t="s">
        <v>689</v>
      </c>
      <c r="B14" s="25" t="s">
        <v>810</v>
      </c>
      <c r="C14" s="25" t="s">
        <v>341</v>
      </c>
      <c r="D14" s="25" t="s">
        <v>223</v>
      </c>
      <c r="E14" s="25" t="str">
        <f>"0,6482"</f>
        <v>0,6482</v>
      </c>
      <c r="F14" s="25" t="s">
        <v>1033</v>
      </c>
      <c r="G14" s="25" t="s">
        <v>16</v>
      </c>
      <c r="H14" s="50" t="s">
        <v>54</v>
      </c>
      <c r="I14" s="50" t="s">
        <v>90</v>
      </c>
      <c r="J14" s="42" t="s">
        <v>55</v>
      </c>
      <c r="K14" s="48"/>
      <c r="L14" s="50" t="s">
        <v>52</v>
      </c>
      <c r="M14" s="50" t="s">
        <v>88</v>
      </c>
      <c r="N14" s="42" t="s">
        <v>53</v>
      </c>
      <c r="O14" s="48"/>
      <c r="P14" s="50" t="s">
        <v>83</v>
      </c>
      <c r="Q14" s="50" t="s">
        <v>71</v>
      </c>
      <c r="R14" s="42" t="s">
        <v>342</v>
      </c>
      <c r="S14" s="48"/>
      <c r="T14" s="40" t="s">
        <v>944</v>
      </c>
      <c r="U14" s="81" t="str">
        <f>"460,2220"</f>
        <v>460,2220</v>
      </c>
      <c r="V14" s="25" t="s">
        <v>857</v>
      </c>
    </row>
    <row r="16" spans="1:21" ht="15.75">
      <c r="A16"/>
      <c r="B16" s="136" t="s">
        <v>41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</row>
    <row r="17" spans="1:22" ht="12.75">
      <c r="A17" s="39" t="s">
        <v>689</v>
      </c>
      <c r="B17" s="24" t="s">
        <v>941</v>
      </c>
      <c r="C17" s="24" t="s">
        <v>343</v>
      </c>
      <c r="D17" s="24" t="s">
        <v>344</v>
      </c>
      <c r="E17" s="24" t="str">
        <f>"0,6217"</f>
        <v>0,6217</v>
      </c>
      <c r="F17" s="24" t="s">
        <v>1038</v>
      </c>
      <c r="G17" s="24" t="s">
        <v>16</v>
      </c>
      <c r="H17" s="41" t="s">
        <v>52</v>
      </c>
      <c r="I17" s="49" t="s">
        <v>88</v>
      </c>
      <c r="J17" s="41" t="s">
        <v>62</v>
      </c>
      <c r="K17" s="47"/>
      <c r="L17" s="49" t="s">
        <v>140</v>
      </c>
      <c r="M17" s="41" t="s">
        <v>131</v>
      </c>
      <c r="N17" s="49" t="s">
        <v>131</v>
      </c>
      <c r="O17" s="47"/>
      <c r="P17" s="49" t="s">
        <v>88</v>
      </c>
      <c r="Q17" s="49" t="s">
        <v>62</v>
      </c>
      <c r="R17" s="49" t="s">
        <v>297</v>
      </c>
      <c r="S17" s="47"/>
      <c r="T17" s="39">
        <v>432.5</v>
      </c>
      <c r="U17" s="80" t="str">
        <f>"268,9069"</f>
        <v>268,9069</v>
      </c>
      <c r="V17" s="24" t="s">
        <v>909</v>
      </c>
    </row>
    <row r="18" spans="1:22" ht="12.75">
      <c r="A18" s="40"/>
      <c r="B18" s="25" t="s">
        <v>345</v>
      </c>
      <c r="C18" s="25" t="s">
        <v>346</v>
      </c>
      <c r="D18" s="25" t="s">
        <v>231</v>
      </c>
      <c r="E18" s="25" t="str">
        <f>"0,6169"</f>
        <v>0,6169</v>
      </c>
      <c r="F18" s="25" t="s">
        <v>164</v>
      </c>
      <c r="G18" s="25" t="s">
        <v>224</v>
      </c>
      <c r="H18" s="42" t="s">
        <v>105</v>
      </c>
      <c r="I18" s="42" t="s">
        <v>105</v>
      </c>
      <c r="J18" s="42" t="s">
        <v>105</v>
      </c>
      <c r="K18" s="48"/>
      <c r="L18" s="42" t="s">
        <v>29</v>
      </c>
      <c r="M18" s="48"/>
      <c r="N18" s="48"/>
      <c r="O18" s="48"/>
      <c r="P18" s="42" t="s">
        <v>29</v>
      </c>
      <c r="Q18" s="48"/>
      <c r="R18" s="48"/>
      <c r="S18" s="48"/>
      <c r="T18" s="40">
        <v>0</v>
      </c>
      <c r="U18" s="40" t="s">
        <v>801</v>
      </c>
      <c r="V18" s="25" t="s">
        <v>45</v>
      </c>
    </row>
  </sheetData>
  <sheetProtection/>
  <mergeCells count="18">
    <mergeCell ref="A3:A4"/>
    <mergeCell ref="B16:U16"/>
    <mergeCell ref="T3:T4"/>
    <mergeCell ref="U3:U4"/>
    <mergeCell ref="V3:V4"/>
    <mergeCell ref="B5:U5"/>
    <mergeCell ref="B8:U8"/>
    <mergeCell ref="B12:U12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B4">
      <selection activeCell="D3" sqref="D3:D4"/>
    </sheetView>
  </sheetViews>
  <sheetFormatPr defaultColWidth="8.75390625" defaultRowHeight="12.75"/>
  <cols>
    <col min="1" max="1" width="7.875" style="36" bestFit="1" customWidth="1"/>
    <col min="2" max="2" width="26.25390625" style="22" customWidth="1"/>
    <col min="3" max="3" width="26.875" style="22" bestFit="1" customWidth="1"/>
    <col min="4" max="4" width="10.625" style="22" bestFit="1" customWidth="1"/>
    <col min="5" max="5" width="9.25390625" style="22" customWidth="1"/>
    <col min="6" max="6" width="18.00390625" style="22" customWidth="1"/>
    <col min="7" max="7" width="36.25390625" style="22" customWidth="1"/>
    <col min="8" max="10" width="5.625" style="36" bestFit="1" customWidth="1"/>
    <col min="11" max="11" width="5.125" style="36" bestFit="1" customWidth="1"/>
    <col min="12" max="14" width="5.625" style="36" bestFit="1" customWidth="1"/>
    <col min="15" max="15" width="5.125" style="36" bestFit="1" customWidth="1"/>
    <col min="16" max="18" width="5.625" style="36" bestFit="1" customWidth="1"/>
    <col min="19" max="19" width="5.125" style="36" bestFit="1" customWidth="1"/>
    <col min="20" max="20" width="7.875" style="36" bestFit="1" customWidth="1"/>
    <col min="21" max="21" width="8.625" style="22" bestFit="1" customWidth="1"/>
    <col min="22" max="22" width="26.875" style="22" customWidth="1"/>
  </cols>
  <sheetData>
    <row r="1" spans="2:22" s="1" customFormat="1" ht="15" customHeight="1">
      <c r="B1" s="124" t="s">
        <v>1035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spans="2:22" s="1" customFormat="1" ht="80.2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4</v>
      </c>
      <c r="I3" s="132"/>
      <c r="J3" s="132"/>
      <c r="K3" s="146"/>
      <c r="L3" s="139" t="s">
        <v>5</v>
      </c>
      <c r="M3" s="132"/>
      <c r="N3" s="132"/>
      <c r="O3" s="146"/>
      <c r="P3" s="139" t="s">
        <v>6</v>
      </c>
      <c r="Q3" s="132"/>
      <c r="R3" s="132"/>
      <c r="S3" s="146"/>
      <c r="T3" s="130" t="s">
        <v>8</v>
      </c>
      <c r="U3" s="132" t="s">
        <v>9</v>
      </c>
      <c r="V3" s="146" t="s">
        <v>10</v>
      </c>
    </row>
    <row r="4" spans="1:22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6">
        <v>1</v>
      </c>
      <c r="M4" s="7">
        <v>2</v>
      </c>
      <c r="N4" s="7">
        <v>3</v>
      </c>
      <c r="O4" s="8" t="s">
        <v>7</v>
      </c>
      <c r="P4" s="6">
        <v>1</v>
      </c>
      <c r="Q4" s="7">
        <v>2</v>
      </c>
      <c r="R4" s="7">
        <v>3</v>
      </c>
      <c r="S4" s="8" t="s">
        <v>7</v>
      </c>
      <c r="T4" s="131"/>
      <c r="U4" s="133"/>
      <c r="V4" s="147"/>
    </row>
    <row r="5" spans="1:21" ht="15.75">
      <c r="A5"/>
      <c r="B5" s="137" t="s">
        <v>142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1:22" ht="12.75">
      <c r="A6" s="35" t="s">
        <v>689</v>
      </c>
      <c r="B6" s="23" t="s">
        <v>946</v>
      </c>
      <c r="C6" s="23" t="s">
        <v>285</v>
      </c>
      <c r="D6" s="23" t="s">
        <v>286</v>
      </c>
      <c r="E6" s="23" t="str">
        <f>"1,1076"</f>
        <v>1,1076</v>
      </c>
      <c r="F6" s="23" t="s">
        <v>1033</v>
      </c>
      <c r="G6" s="23" t="s">
        <v>179</v>
      </c>
      <c r="H6" s="38" t="s">
        <v>191</v>
      </c>
      <c r="I6" s="38" t="s">
        <v>287</v>
      </c>
      <c r="J6" s="37" t="s">
        <v>288</v>
      </c>
      <c r="K6" s="34"/>
      <c r="L6" s="38" t="s">
        <v>140</v>
      </c>
      <c r="M6" s="38" t="s">
        <v>148</v>
      </c>
      <c r="N6" s="38" t="s">
        <v>20</v>
      </c>
      <c r="O6" s="34"/>
      <c r="P6" s="38" t="s">
        <v>288</v>
      </c>
      <c r="Q6" s="38" t="s">
        <v>289</v>
      </c>
      <c r="R6" s="37" t="s">
        <v>62</v>
      </c>
      <c r="S6" s="34"/>
      <c r="T6" s="35" t="s">
        <v>953</v>
      </c>
      <c r="U6" s="79" t="str">
        <f>"454,1160"</f>
        <v>454,1160</v>
      </c>
      <c r="V6" s="23" t="s">
        <v>957</v>
      </c>
    </row>
    <row r="8" spans="1:21" ht="15.75">
      <c r="A8"/>
      <c r="B8" s="136" t="s">
        <v>167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</row>
    <row r="9" spans="1:22" ht="12.75">
      <c r="A9" s="35" t="s">
        <v>689</v>
      </c>
      <c r="B9" s="23" t="s">
        <v>947</v>
      </c>
      <c r="C9" s="23" t="s">
        <v>290</v>
      </c>
      <c r="D9" s="23" t="s">
        <v>291</v>
      </c>
      <c r="E9" s="23" t="str">
        <f>"0,9930"</f>
        <v>0,9930</v>
      </c>
      <c r="F9" s="23" t="s">
        <v>28</v>
      </c>
      <c r="G9" s="23" t="s">
        <v>820</v>
      </c>
      <c r="H9" s="38" t="s">
        <v>37</v>
      </c>
      <c r="I9" s="38" t="s">
        <v>38</v>
      </c>
      <c r="J9" s="38" t="s">
        <v>35</v>
      </c>
      <c r="K9" s="34"/>
      <c r="L9" s="38" t="s">
        <v>128</v>
      </c>
      <c r="M9" s="37" t="s">
        <v>138</v>
      </c>
      <c r="N9" s="37" t="s">
        <v>138</v>
      </c>
      <c r="O9" s="34"/>
      <c r="P9" s="38" t="s">
        <v>18</v>
      </c>
      <c r="Q9" s="38" t="s">
        <v>35</v>
      </c>
      <c r="R9" s="37" t="s">
        <v>19</v>
      </c>
      <c r="S9" s="34"/>
      <c r="T9" s="35" t="s">
        <v>101</v>
      </c>
      <c r="U9" s="79" t="str">
        <f>"307,8145"</f>
        <v>307,8145</v>
      </c>
      <c r="V9" s="23" t="s">
        <v>292</v>
      </c>
    </row>
    <row r="11" spans="1:21" ht="15.75">
      <c r="A11"/>
      <c r="B11" s="136" t="s">
        <v>25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</row>
    <row r="12" spans="1:22" ht="12.75">
      <c r="A12" s="35" t="s">
        <v>689</v>
      </c>
      <c r="B12" s="23" t="s">
        <v>948</v>
      </c>
      <c r="C12" s="23" t="s">
        <v>26</v>
      </c>
      <c r="D12" s="23" t="s">
        <v>27</v>
      </c>
      <c r="E12" s="23" t="str">
        <f>"0,8361"</f>
        <v>0,8361</v>
      </c>
      <c r="F12" s="23" t="s">
        <v>28</v>
      </c>
      <c r="G12" s="23" t="s">
        <v>820</v>
      </c>
      <c r="H12" s="38" t="s">
        <v>165</v>
      </c>
      <c r="I12" s="38" t="s">
        <v>166</v>
      </c>
      <c r="J12" s="38" t="s">
        <v>38</v>
      </c>
      <c r="K12" s="34"/>
      <c r="L12" s="38" t="s">
        <v>140</v>
      </c>
      <c r="M12" s="38" t="s">
        <v>20</v>
      </c>
      <c r="N12" s="37" t="s">
        <v>131</v>
      </c>
      <c r="O12" s="34"/>
      <c r="P12" s="38" t="s">
        <v>52</v>
      </c>
      <c r="Q12" s="38" t="s">
        <v>62</v>
      </c>
      <c r="R12" s="37" t="s">
        <v>89</v>
      </c>
      <c r="S12" s="34"/>
      <c r="T12" s="35">
        <v>372.5</v>
      </c>
      <c r="U12" s="79" t="str">
        <f>"311,4472"</f>
        <v>311,4472</v>
      </c>
      <c r="V12" s="23" t="s">
        <v>292</v>
      </c>
    </row>
    <row r="13" ht="12.75">
      <c r="U13" s="33"/>
    </row>
    <row r="14" spans="1:21" ht="15.75">
      <c r="A14"/>
      <c r="B14" s="136" t="s">
        <v>12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2" ht="12.75">
      <c r="A15" s="35" t="s">
        <v>689</v>
      </c>
      <c r="B15" s="23" t="s">
        <v>861</v>
      </c>
      <c r="C15" s="23" t="s">
        <v>294</v>
      </c>
      <c r="D15" s="23" t="s">
        <v>295</v>
      </c>
      <c r="E15" s="23" t="str">
        <f>"0,7551"</f>
        <v>0,7551</v>
      </c>
      <c r="F15" s="23" t="s">
        <v>15</v>
      </c>
      <c r="G15" s="23" t="s">
        <v>802</v>
      </c>
      <c r="H15" s="38" t="s">
        <v>40</v>
      </c>
      <c r="I15" s="38" t="s">
        <v>250</v>
      </c>
      <c r="J15" s="38" t="s">
        <v>296</v>
      </c>
      <c r="K15" s="34"/>
      <c r="L15" s="38" t="s">
        <v>37</v>
      </c>
      <c r="M15" s="37" t="s">
        <v>18</v>
      </c>
      <c r="N15" s="38" t="s">
        <v>18</v>
      </c>
      <c r="O15" s="34"/>
      <c r="P15" s="38" t="s">
        <v>297</v>
      </c>
      <c r="Q15" s="37" t="s">
        <v>298</v>
      </c>
      <c r="R15" s="34"/>
      <c r="S15" s="34"/>
      <c r="T15" s="35" t="s">
        <v>954</v>
      </c>
      <c r="U15" s="79" t="str">
        <f>"392,6520"</f>
        <v>392,6520</v>
      </c>
      <c r="V15" s="23" t="s">
        <v>45</v>
      </c>
    </row>
    <row r="17" spans="1:21" ht="15.75">
      <c r="A17"/>
      <c r="B17" s="136" t="s">
        <v>41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</row>
    <row r="18" spans="1:22" ht="12.75">
      <c r="A18" s="39" t="s">
        <v>689</v>
      </c>
      <c r="B18" s="24" t="s">
        <v>299</v>
      </c>
      <c r="C18" s="24" t="s">
        <v>300</v>
      </c>
      <c r="D18" s="24" t="s">
        <v>301</v>
      </c>
      <c r="E18" s="24" t="str">
        <f>"0,6308"</f>
        <v>0,6308</v>
      </c>
      <c r="F18" s="24" t="s">
        <v>1036</v>
      </c>
      <c r="G18" s="24" t="s">
        <v>184</v>
      </c>
      <c r="H18" s="49" t="s">
        <v>90</v>
      </c>
      <c r="I18" s="49" t="s">
        <v>56</v>
      </c>
      <c r="J18" s="49" t="s">
        <v>265</v>
      </c>
      <c r="K18" s="47"/>
      <c r="L18" s="49" t="s">
        <v>64</v>
      </c>
      <c r="M18" s="49" t="s">
        <v>39</v>
      </c>
      <c r="N18" s="41" t="s">
        <v>218</v>
      </c>
      <c r="O18" s="47"/>
      <c r="P18" s="49" t="s">
        <v>66</v>
      </c>
      <c r="Q18" s="49" t="s">
        <v>84</v>
      </c>
      <c r="R18" s="47"/>
      <c r="S18" s="47"/>
      <c r="T18" s="39" t="s">
        <v>325</v>
      </c>
      <c r="U18" s="80" t="str">
        <f>"473,1000"</f>
        <v>473,1000</v>
      </c>
      <c r="V18" s="24" t="s">
        <v>45</v>
      </c>
    </row>
    <row r="19" spans="1:22" ht="12.75">
      <c r="A19" s="52" t="s">
        <v>785</v>
      </c>
      <c r="B19" s="26" t="s">
        <v>949</v>
      </c>
      <c r="C19" s="26" t="s">
        <v>303</v>
      </c>
      <c r="D19" s="26" t="s">
        <v>238</v>
      </c>
      <c r="E19" s="26" t="str">
        <f>"0,6201"</f>
        <v>0,6201</v>
      </c>
      <c r="F19" s="26" t="s">
        <v>15</v>
      </c>
      <c r="G19" s="26" t="s">
        <v>304</v>
      </c>
      <c r="H19" s="53" t="s">
        <v>66</v>
      </c>
      <c r="I19" s="54" t="s">
        <v>305</v>
      </c>
      <c r="J19" s="54" t="s">
        <v>306</v>
      </c>
      <c r="K19" s="51"/>
      <c r="L19" s="53" t="s">
        <v>62</v>
      </c>
      <c r="M19" s="53" t="s">
        <v>63</v>
      </c>
      <c r="N19" s="54" t="s">
        <v>297</v>
      </c>
      <c r="O19" s="51"/>
      <c r="P19" s="53" t="s">
        <v>56</v>
      </c>
      <c r="Q19" s="53" t="s">
        <v>65</v>
      </c>
      <c r="R19" s="51"/>
      <c r="S19" s="51"/>
      <c r="T19" s="52">
        <v>732.5</v>
      </c>
      <c r="U19" s="83" t="str">
        <f>"454,2233"</f>
        <v>454,2233</v>
      </c>
      <c r="V19" s="26" t="s">
        <v>958</v>
      </c>
    </row>
    <row r="20" spans="1:22" ht="12.75">
      <c r="A20" s="52" t="s">
        <v>786</v>
      </c>
      <c r="B20" s="26" t="s">
        <v>307</v>
      </c>
      <c r="C20" s="26" t="s">
        <v>308</v>
      </c>
      <c r="D20" s="26" t="s">
        <v>309</v>
      </c>
      <c r="E20" s="91" t="str">
        <f>"0,6177"</f>
        <v>0,6177</v>
      </c>
      <c r="F20" s="26" t="s">
        <v>1036</v>
      </c>
      <c r="G20" s="92" t="s">
        <v>310</v>
      </c>
      <c r="H20" s="54" t="s">
        <v>94</v>
      </c>
      <c r="I20" s="53" t="s">
        <v>51</v>
      </c>
      <c r="J20" s="53" t="s">
        <v>220</v>
      </c>
      <c r="K20" s="51"/>
      <c r="L20" s="53" t="s">
        <v>191</v>
      </c>
      <c r="M20" s="53" t="s">
        <v>52</v>
      </c>
      <c r="N20" s="53" t="s">
        <v>88</v>
      </c>
      <c r="O20" s="51"/>
      <c r="P20" s="53" t="s">
        <v>220</v>
      </c>
      <c r="Q20" s="53" t="s">
        <v>54</v>
      </c>
      <c r="R20" s="54" t="s">
        <v>90</v>
      </c>
      <c r="S20" s="51"/>
      <c r="T20" s="52" t="s">
        <v>955</v>
      </c>
      <c r="U20" s="83" t="str">
        <f>"389,1510"</f>
        <v>389,1510</v>
      </c>
      <c r="V20" s="26" t="s">
        <v>311</v>
      </c>
    </row>
    <row r="21" spans="1:22" ht="12.75">
      <c r="A21" s="52" t="s">
        <v>787</v>
      </c>
      <c r="B21" s="26" t="s">
        <v>817</v>
      </c>
      <c r="C21" s="26" t="s">
        <v>313</v>
      </c>
      <c r="D21" s="26" t="s">
        <v>314</v>
      </c>
      <c r="E21" s="26" t="str">
        <f>"0,6145"</f>
        <v>0,6145</v>
      </c>
      <c r="F21" s="26" t="s">
        <v>15</v>
      </c>
      <c r="G21" s="26" t="s">
        <v>952</v>
      </c>
      <c r="H21" s="53" t="s">
        <v>40</v>
      </c>
      <c r="I21" s="54" t="s">
        <v>94</v>
      </c>
      <c r="J21" s="54" t="s">
        <v>94</v>
      </c>
      <c r="K21" s="51"/>
      <c r="L21" s="53" t="s">
        <v>204</v>
      </c>
      <c r="M21" s="54" t="s">
        <v>82</v>
      </c>
      <c r="N21" s="54" t="s">
        <v>82</v>
      </c>
      <c r="O21" s="51"/>
      <c r="P21" s="53" t="s">
        <v>94</v>
      </c>
      <c r="Q21" s="53" t="s">
        <v>315</v>
      </c>
      <c r="R21" s="53" t="s">
        <v>90</v>
      </c>
      <c r="S21" s="51"/>
      <c r="T21" s="52">
        <v>592.5</v>
      </c>
      <c r="U21" s="83" t="str">
        <f>"364,1209"</f>
        <v>364,1209</v>
      </c>
      <c r="V21" s="26" t="s">
        <v>803</v>
      </c>
    </row>
    <row r="22" spans="1:22" ht="12.75">
      <c r="A22" s="40" t="s">
        <v>689</v>
      </c>
      <c r="B22" s="25" t="s">
        <v>950</v>
      </c>
      <c r="C22" s="25" t="s">
        <v>316</v>
      </c>
      <c r="D22" s="25" t="s">
        <v>309</v>
      </c>
      <c r="E22" s="93" t="str">
        <f>"0,6177"</f>
        <v>0,6177</v>
      </c>
      <c r="F22" s="25" t="s">
        <v>1036</v>
      </c>
      <c r="G22" s="94" t="s">
        <v>310</v>
      </c>
      <c r="H22" s="42" t="s">
        <v>94</v>
      </c>
      <c r="I22" s="50" t="s">
        <v>51</v>
      </c>
      <c r="J22" s="50" t="s">
        <v>220</v>
      </c>
      <c r="K22" s="48"/>
      <c r="L22" s="50" t="s">
        <v>191</v>
      </c>
      <c r="M22" s="50" t="s">
        <v>52</v>
      </c>
      <c r="N22" s="50" t="s">
        <v>88</v>
      </c>
      <c r="O22" s="48"/>
      <c r="P22" s="50" t="s">
        <v>220</v>
      </c>
      <c r="Q22" s="50" t="s">
        <v>54</v>
      </c>
      <c r="R22" s="42" t="s">
        <v>90</v>
      </c>
      <c r="S22" s="48"/>
      <c r="T22" s="40" t="s">
        <v>955</v>
      </c>
      <c r="U22" s="81" t="str">
        <f>"476,7100"</f>
        <v>476,7100</v>
      </c>
      <c r="V22" s="25" t="s">
        <v>311</v>
      </c>
    </row>
    <row r="24" spans="1:21" ht="15.75">
      <c r="A24"/>
      <c r="B24" s="136" t="s">
        <v>57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</row>
    <row r="25" spans="1:22" ht="12.75">
      <c r="A25" s="39" t="s">
        <v>689</v>
      </c>
      <c r="B25" s="24" t="s">
        <v>866</v>
      </c>
      <c r="C25" s="24" t="s">
        <v>318</v>
      </c>
      <c r="D25" s="24" t="s">
        <v>319</v>
      </c>
      <c r="E25" s="24" t="str">
        <f>"0,5867"</f>
        <v>0,5867</v>
      </c>
      <c r="F25" s="24" t="s">
        <v>232</v>
      </c>
      <c r="G25" s="24" t="s">
        <v>233</v>
      </c>
      <c r="H25" s="41" t="s">
        <v>56</v>
      </c>
      <c r="I25" s="49" t="s">
        <v>56</v>
      </c>
      <c r="J25" s="49" t="s">
        <v>66</v>
      </c>
      <c r="K25" s="47"/>
      <c r="L25" s="49" t="s">
        <v>289</v>
      </c>
      <c r="M25" s="49" t="s">
        <v>62</v>
      </c>
      <c r="N25" s="49" t="s">
        <v>266</v>
      </c>
      <c r="O25" s="47"/>
      <c r="P25" s="49" t="s">
        <v>265</v>
      </c>
      <c r="Q25" s="41" t="s">
        <v>71</v>
      </c>
      <c r="R25" s="41" t="s">
        <v>71</v>
      </c>
      <c r="S25" s="47"/>
      <c r="T25" s="39">
        <v>722.5</v>
      </c>
      <c r="U25" s="80" t="str">
        <f>"423,8546"</f>
        <v>423,8546</v>
      </c>
      <c r="V25" s="24" t="s">
        <v>873</v>
      </c>
    </row>
    <row r="26" spans="1:22" s="55" customFormat="1" ht="12.75">
      <c r="A26" s="40" t="s">
        <v>689</v>
      </c>
      <c r="B26" s="25" t="s">
        <v>951</v>
      </c>
      <c r="C26" s="25" t="s">
        <v>320</v>
      </c>
      <c r="D26" s="25" t="s">
        <v>321</v>
      </c>
      <c r="E26" s="25" t="str">
        <f>"0,5853"</f>
        <v>0,5853</v>
      </c>
      <c r="F26" s="25" t="s">
        <v>15</v>
      </c>
      <c r="G26" s="25" t="s">
        <v>322</v>
      </c>
      <c r="H26" s="50" t="s">
        <v>90</v>
      </c>
      <c r="I26" s="50" t="s">
        <v>61</v>
      </c>
      <c r="J26" s="42" t="s">
        <v>265</v>
      </c>
      <c r="K26" s="48"/>
      <c r="L26" s="50" t="s">
        <v>62</v>
      </c>
      <c r="M26" s="50" t="s">
        <v>89</v>
      </c>
      <c r="N26" s="50" t="s">
        <v>64</v>
      </c>
      <c r="O26" s="48"/>
      <c r="P26" s="42" t="s">
        <v>90</v>
      </c>
      <c r="Q26" s="50" t="s">
        <v>55</v>
      </c>
      <c r="R26" s="50" t="s">
        <v>61</v>
      </c>
      <c r="S26" s="48"/>
      <c r="T26" s="40" t="s">
        <v>956</v>
      </c>
      <c r="U26" s="81" t="str">
        <f>"456,0462"</f>
        <v>456,0462</v>
      </c>
      <c r="V26" s="25" t="s">
        <v>45</v>
      </c>
    </row>
    <row r="29" spans="2:3" ht="18">
      <c r="B29" s="27" t="s">
        <v>107</v>
      </c>
      <c r="C29" s="27"/>
    </row>
    <row r="30" spans="2:3" ht="15.75">
      <c r="B30" s="28" t="s">
        <v>116</v>
      </c>
      <c r="C30" s="28"/>
    </row>
    <row r="31" spans="2:3" ht="13.5">
      <c r="B31" s="30"/>
      <c r="C31" s="31" t="s">
        <v>109</v>
      </c>
    </row>
    <row r="32" spans="2:6" ht="13.5">
      <c r="B32" s="32" t="s">
        <v>110</v>
      </c>
      <c r="C32" s="32" t="s">
        <v>111</v>
      </c>
      <c r="D32" s="32" t="s">
        <v>112</v>
      </c>
      <c r="E32" s="32" t="s">
        <v>113</v>
      </c>
      <c r="F32" s="32" t="s">
        <v>114</v>
      </c>
    </row>
    <row r="33" spans="1:6" ht="12.75">
      <c r="A33" s="36" t="s">
        <v>689</v>
      </c>
      <c r="B33" s="29" t="s">
        <v>299</v>
      </c>
      <c r="C33" s="22" t="s">
        <v>109</v>
      </c>
      <c r="D33" s="22" t="s">
        <v>131</v>
      </c>
      <c r="E33" s="36" t="s">
        <v>325</v>
      </c>
      <c r="F33" s="33" t="s">
        <v>326</v>
      </c>
    </row>
    <row r="34" spans="1:6" ht="12.75">
      <c r="A34" s="36" t="s">
        <v>785</v>
      </c>
      <c r="B34" s="29" t="s">
        <v>302</v>
      </c>
      <c r="C34" s="22" t="s">
        <v>109</v>
      </c>
      <c r="D34" s="22" t="s">
        <v>131</v>
      </c>
      <c r="E34" s="36" t="s">
        <v>327</v>
      </c>
      <c r="F34" s="33" t="s">
        <v>328</v>
      </c>
    </row>
    <row r="35" spans="1:6" ht="12.75">
      <c r="A35" s="36" t="s">
        <v>786</v>
      </c>
      <c r="B35" s="29" t="s">
        <v>317</v>
      </c>
      <c r="C35" s="22" t="s">
        <v>109</v>
      </c>
      <c r="D35" s="22" t="s">
        <v>17</v>
      </c>
      <c r="E35" s="36" t="s">
        <v>329</v>
      </c>
      <c r="F35" s="33" t="s">
        <v>330</v>
      </c>
    </row>
  </sheetData>
  <sheetProtection/>
  <mergeCells count="20">
    <mergeCell ref="A3:A4"/>
    <mergeCell ref="B14:U14"/>
    <mergeCell ref="B17:U17"/>
    <mergeCell ref="B24:U24"/>
    <mergeCell ref="T3:T4"/>
    <mergeCell ref="U3:U4"/>
    <mergeCell ref="G3:G4"/>
    <mergeCell ref="H3:K3"/>
    <mergeCell ref="L3:O3"/>
    <mergeCell ref="P3:S3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A29">
      <selection activeCell="P16" sqref="P16"/>
    </sheetView>
  </sheetViews>
  <sheetFormatPr defaultColWidth="8.75390625" defaultRowHeight="12.75"/>
  <cols>
    <col min="1" max="1" width="7.875" style="36" bestFit="1" customWidth="1"/>
    <col min="2" max="2" width="21.875" style="22" customWidth="1"/>
    <col min="3" max="3" width="26.875" style="22" bestFit="1" customWidth="1"/>
    <col min="4" max="4" width="10.625" style="22" bestFit="1" customWidth="1"/>
    <col min="5" max="5" width="11.875" style="22" customWidth="1"/>
    <col min="6" max="6" width="30.00390625" style="22" customWidth="1"/>
    <col min="7" max="7" width="34.00390625" style="22" bestFit="1" customWidth="1"/>
    <col min="8" max="10" width="5.625" style="36" bestFit="1" customWidth="1"/>
    <col min="11" max="11" width="5.125" style="36" bestFit="1" customWidth="1"/>
    <col min="12" max="14" width="5.625" style="36" bestFit="1" customWidth="1"/>
    <col min="15" max="15" width="5.125" style="36" bestFit="1" customWidth="1"/>
    <col min="16" max="18" width="5.625" style="36" bestFit="1" customWidth="1"/>
    <col min="19" max="19" width="5.125" style="36" bestFit="1" customWidth="1"/>
    <col min="20" max="20" width="7.875" style="36" bestFit="1" customWidth="1"/>
    <col min="21" max="21" width="8.625" style="22" bestFit="1" customWidth="1"/>
    <col min="22" max="22" width="27.375" style="22" bestFit="1" customWidth="1"/>
  </cols>
  <sheetData>
    <row r="1" spans="2:22" s="1" customFormat="1" ht="15" customHeight="1">
      <c r="B1" s="124" t="s">
        <v>1032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spans="2:22" s="1" customFormat="1" ht="78.7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4</v>
      </c>
      <c r="I3" s="132"/>
      <c r="J3" s="132"/>
      <c r="K3" s="146"/>
      <c r="L3" s="139" t="s">
        <v>5</v>
      </c>
      <c r="M3" s="132"/>
      <c r="N3" s="132"/>
      <c r="O3" s="146"/>
      <c r="P3" s="139" t="s">
        <v>6</v>
      </c>
      <c r="Q3" s="132"/>
      <c r="R3" s="132"/>
      <c r="S3" s="146"/>
      <c r="T3" s="130" t="s">
        <v>8</v>
      </c>
      <c r="U3" s="132" t="s">
        <v>9</v>
      </c>
      <c r="V3" s="146" t="s">
        <v>10</v>
      </c>
    </row>
    <row r="4" spans="1:22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6">
        <v>1</v>
      </c>
      <c r="M4" s="7">
        <v>2</v>
      </c>
      <c r="N4" s="7">
        <v>3</v>
      </c>
      <c r="O4" s="8" t="s">
        <v>7</v>
      </c>
      <c r="P4" s="6">
        <v>1</v>
      </c>
      <c r="Q4" s="7">
        <v>2</v>
      </c>
      <c r="R4" s="7">
        <v>3</v>
      </c>
      <c r="S4" s="8" t="s">
        <v>7</v>
      </c>
      <c r="T4" s="131"/>
      <c r="U4" s="133"/>
      <c r="V4" s="147"/>
    </row>
    <row r="5" spans="1:21" ht="15.75">
      <c r="A5"/>
      <c r="B5" s="137" t="s">
        <v>123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1:22" ht="12.75">
      <c r="A6" s="35" t="s">
        <v>689</v>
      </c>
      <c r="B6" s="23" t="s">
        <v>124</v>
      </c>
      <c r="C6" s="23" t="s">
        <v>125</v>
      </c>
      <c r="D6" s="23" t="s">
        <v>126</v>
      </c>
      <c r="E6" s="23" t="str">
        <f>"1,2662"</f>
        <v>1,2662</v>
      </c>
      <c r="F6" s="23" t="s">
        <v>15</v>
      </c>
      <c r="G6" s="23" t="s">
        <v>16</v>
      </c>
      <c r="H6" s="37" t="s">
        <v>127</v>
      </c>
      <c r="I6" s="38" t="s">
        <v>127</v>
      </c>
      <c r="J6" s="34" t="s">
        <v>128</v>
      </c>
      <c r="K6" s="34"/>
      <c r="L6" s="38" t="s">
        <v>129</v>
      </c>
      <c r="M6" s="37" t="s">
        <v>130</v>
      </c>
      <c r="N6" s="38" t="s">
        <v>130</v>
      </c>
      <c r="O6" s="34"/>
      <c r="P6" s="38" t="s">
        <v>20</v>
      </c>
      <c r="Q6" s="38" t="s">
        <v>131</v>
      </c>
      <c r="R6" s="37" t="s">
        <v>132</v>
      </c>
      <c r="S6" s="34"/>
      <c r="T6" s="35">
        <v>187.5</v>
      </c>
      <c r="U6" s="79" t="str">
        <f>"237,4125"</f>
        <v>237,4125</v>
      </c>
      <c r="V6" s="23" t="s">
        <v>45</v>
      </c>
    </row>
    <row r="8" spans="1:21" ht="15.75">
      <c r="A8"/>
      <c r="B8" s="136" t="s">
        <v>133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</row>
    <row r="9" spans="1:22" ht="12.75">
      <c r="A9" s="35"/>
      <c r="B9" s="23" t="s">
        <v>134</v>
      </c>
      <c r="C9" s="23" t="s">
        <v>135</v>
      </c>
      <c r="D9" s="23" t="s">
        <v>136</v>
      </c>
      <c r="E9" s="23" t="str">
        <f>"1,2000"</f>
        <v>1,2000</v>
      </c>
      <c r="F9" s="23" t="s">
        <v>15</v>
      </c>
      <c r="G9" s="23" t="s">
        <v>691</v>
      </c>
      <c r="H9" s="38" t="s">
        <v>128</v>
      </c>
      <c r="I9" s="37" t="s">
        <v>138</v>
      </c>
      <c r="J9" s="37" t="s">
        <v>138</v>
      </c>
      <c r="K9" s="37"/>
      <c r="L9" s="37" t="s">
        <v>139</v>
      </c>
      <c r="M9" s="37" t="s">
        <v>139</v>
      </c>
      <c r="N9" s="37" t="s">
        <v>139</v>
      </c>
      <c r="O9" s="37"/>
      <c r="P9" s="37"/>
      <c r="Q9" s="34"/>
      <c r="R9" s="34"/>
      <c r="S9" s="34"/>
      <c r="T9" s="35">
        <v>0</v>
      </c>
      <c r="U9" s="35" t="s">
        <v>801</v>
      </c>
      <c r="V9" s="23" t="s">
        <v>896</v>
      </c>
    </row>
    <row r="11" spans="1:21" ht="15.75">
      <c r="A11"/>
      <c r="B11" s="136" t="s">
        <v>142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</row>
    <row r="12" spans="1:22" ht="12.75">
      <c r="A12" s="35" t="s">
        <v>689</v>
      </c>
      <c r="B12" s="23" t="s">
        <v>143</v>
      </c>
      <c r="C12" s="23" t="s">
        <v>144</v>
      </c>
      <c r="D12" s="23" t="s">
        <v>145</v>
      </c>
      <c r="E12" s="23" t="str">
        <f>"1,1317"</f>
        <v>1,1317</v>
      </c>
      <c r="F12" s="23" t="s">
        <v>146</v>
      </c>
      <c r="G12" s="23" t="s">
        <v>147</v>
      </c>
      <c r="H12" s="37" t="s">
        <v>148</v>
      </c>
      <c r="I12" s="38" t="s">
        <v>20</v>
      </c>
      <c r="J12" s="38" t="s">
        <v>131</v>
      </c>
      <c r="K12" s="34"/>
      <c r="L12" s="38" t="s">
        <v>149</v>
      </c>
      <c r="M12" s="37" t="s">
        <v>150</v>
      </c>
      <c r="N12" s="38" t="s">
        <v>150</v>
      </c>
      <c r="O12" s="34"/>
      <c r="P12" s="38" t="s">
        <v>151</v>
      </c>
      <c r="Q12" s="38" t="s">
        <v>152</v>
      </c>
      <c r="R12" s="38" t="s">
        <v>18</v>
      </c>
      <c r="S12" s="34"/>
      <c r="T12" s="35" t="s">
        <v>61</v>
      </c>
      <c r="U12" s="79" t="str">
        <f>"294,2420"</f>
        <v>294,2420</v>
      </c>
      <c r="V12" s="23" t="s">
        <v>911</v>
      </c>
    </row>
    <row r="14" spans="1:21" ht="15.75">
      <c r="A14"/>
      <c r="B14" s="136" t="s">
        <v>154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2" ht="12.75">
      <c r="A15" s="39" t="s">
        <v>689</v>
      </c>
      <c r="B15" s="24" t="s">
        <v>155</v>
      </c>
      <c r="C15" s="24" t="s">
        <v>156</v>
      </c>
      <c r="D15" s="24" t="s">
        <v>157</v>
      </c>
      <c r="E15" s="24" t="str">
        <f>"1,0591"</f>
        <v>1,0591</v>
      </c>
      <c r="F15" s="24" t="s">
        <v>146</v>
      </c>
      <c r="G15" s="24" t="s">
        <v>147</v>
      </c>
      <c r="H15" s="49" t="s">
        <v>158</v>
      </c>
      <c r="I15" s="49" t="s">
        <v>128</v>
      </c>
      <c r="J15" s="49" t="s">
        <v>138</v>
      </c>
      <c r="K15" s="47"/>
      <c r="L15" s="49" t="s">
        <v>159</v>
      </c>
      <c r="M15" s="41" t="s">
        <v>160</v>
      </c>
      <c r="N15" s="49" t="s">
        <v>160</v>
      </c>
      <c r="O15" s="47"/>
      <c r="P15" s="49" t="s">
        <v>138</v>
      </c>
      <c r="Q15" s="49" t="s">
        <v>148</v>
      </c>
      <c r="R15" s="49" t="s">
        <v>21</v>
      </c>
      <c r="S15" s="47"/>
      <c r="T15" s="39">
        <v>212.5</v>
      </c>
      <c r="U15" s="80" t="str">
        <f>"225,0588"</f>
        <v>225,0588</v>
      </c>
      <c r="V15" s="24" t="s">
        <v>972</v>
      </c>
    </row>
    <row r="16" spans="1:22" ht="12.75">
      <c r="A16" s="40"/>
      <c r="B16" s="25" t="s">
        <v>161</v>
      </c>
      <c r="C16" s="25" t="s">
        <v>162</v>
      </c>
      <c r="D16" s="25" t="s">
        <v>163</v>
      </c>
      <c r="E16" s="25" t="str">
        <f>"1,0439"</f>
        <v>1,0439</v>
      </c>
      <c r="F16" s="25" t="s">
        <v>164</v>
      </c>
      <c r="G16" s="25" t="s">
        <v>224</v>
      </c>
      <c r="H16" s="42" t="s">
        <v>132</v>
      </c>
      <c r="I16" s="42" t="s">
        <v>132</v>
      </c>
      <c r="J16" s="42" t="s">
        <v>165</v>
      </c>
      <c r="K16" s="42"/>
      <c r="L16" s="42" t="s">
        <v>29</v>
      </c>
      <c r="M16" s="42"/>
      <c r="N16" s="48"/>
      <c r="O16" s="48"/>
      <c r="P16" s="42" t="s">
        <v>29</v>
      </c>
      <c r="Q16" s="48"/>
      <c r="R16" s="48"/>
      <c r="S16" s="48"/>
      <c r="T16" s="40">
        <v>0</v>
      </c>
      <c r="U16" s="40" t="s">
        <v>801</v>
      </c>
      <c r="V16" s="25" t="s">
        <v>973</v>
      </c>
    </row>
    <row r="18" spans="1:21" ht="15.75">
      <c r="A18"/>
      <c r="B18" s="136" t="s">
        <v>167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</row>
    <row r="19" spans="1:22" ht="12.75">
      <c r="A19" s="39" t="s">
        <v>689</v>
      </c>
      <c r="B19" s="24" t="s">
        <v>168</v>
      </c>
      <c r="C19" s="24" t="s">
        <v>169</v>
      </c>
      <c r="D19" s="24" t="s">
        <v>170</v>
      </c>
      <c r="E19" s="24" t="str">
        <f>"1,0248"</f>
        <v>1,0248</v>
      </c>
      <c r="F19" s="24" t="s">
        <v>146</v>
      </c>
      <c r="G19" s="24" t="s">
        <v>147</v>
      </c>
      <c r="H19" s="49" t="s">
        <v>148</v>
      </c>
      <c r="I19" s="49" t="s">
        <v>171</v>
      </c>
      <c r="J19" s="41" t="s">
        <v>131</v>
      </c>
      <c r="K19" s="47"/>
      <c r="L19" s="49" t="s">
        <v>172</v>
      </c>
      <c r="M19" s="41" t="s">
        <v>127</v>
      </c>
      <c r="N19" s="41" t="s">
        <v>173</v>
      </c>
      <c r="O19" s="47"/>
      <c r="P19" s="49" t="s">
        <v>17</v>
      </c>
      <c r="Q19" s="49" t="s">
        <v>165</v>
      </c>
      <c r="R19" s="49" t="s">
        <v>37</v>
      </c>
      <c r="S19" s="47"/>
      <c r="T19" s="39" t="s">
        <v>55</v>
      </c>
      <c r="U19" s="80" t="str">
        <f>"261,3240"</f>
        <v>261,3240</v>
      </c>
      <c r="V19" s="24" t="s">
        <v>974</v>
      </c>
    </row>
    <row r="20" spans="1:22" ht="12.75">
      <c r="A20" s="40" t="s">
        <v>785</v>
      </c>
      <c r="B20" s="25" t="s">
        <v>174</v>
      </c>
      <c r="C20" s="25" t="s">
        <v>175</v>
      </c>
      <c r="D20" s="25" t="s">
        <v>176</v>
      </c>
      <c r="E20" s="25" t="str">
        <f>"0,9969"</f>
        <v>0,9969</v>
      </c>
      <c r="F20" s="25" t="s">
        <v>77</v>
      </c>
      <c r="G20" s="25" t="s">
        <v>78</v>
      </c>
      <c r="H20" s="50" t="s">
        <v>140</v>
      </c>
      <c r="I20" s="42" t="s">
        <v>131</v>
      </c>
      <c r="J20" s="42" t="s">
        <v>131</v>
      </c>
      <c r="K20" s="48"/>
      <c r="L20" s="50" t="s">
        <v>159</v>
      </c>
      <c r="M20" s="42" t="s">
        <v>160</v>
      </c>
      <c r="N20" s="50" t="s">
        <v>160</v>
      </c>
      <c r="O20" s="48"/>
      <c r="P20" s="50" t="s">
        <v>17</v>
      </c>
      <c r="Q20" s="42" t="s">
        <v>18</v>
      </c>
      <c r="R20" s="42" t="s">
        <v>18</v>
      </c>
      <c r="S20" s="48"/>
      <c r="T20" s="40" t="s">
        <v>79</v>
      </c>
      <c r="U20" s="81" t="str">
        <f>"224,3137"</f>
        <v>224,3137</v>
      </c>
      <c r="V20" s="25" t="s">
        <v>975</v>
      </c>
    </row>
    <row r="22" spans="1:21" ht="15.75">
      <c r="A22"/>
      <c r="B22" s="136" t="s">
        <v>167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1:22" ht="12.75">
      <c r="A23" s="39" t="s">
        <v>689</v>
      </c>
      <c r="B23" s="24" t="s">
        <v>181</v>
      </c>
      <c r="C23" s="24" t="s">
        <v>182</v>
      </c>
      <c r="D23" s="24" t="s">
        <v>183</v>
      </c>
      <c r="E23" s="24" t="str">
        <f>"0,8860"</f>
        <v>0,8860</v>
      </c>
      <c r="F23" s="24" t="s">
        <v>15</v>
      </c>
      <c r="G23" s="24" t="s">
        <v>184</v>
      </c>
      <c r="H23" s="41" t="s">
        <v>18</v>
      </c>
      <c r="I23" s="49" t="s">
        <v>18</v>
      </c>
      <c r="J23" s="41" t="s">
        <v>19</v>
      </c>
      <c r="K23" s="47"/>
      <c r="L23" s="49" t="s">
        <v>138</v>
      </c>
      <c r="M23" s="49" t="s">
        <v>140</v>
      </c>
      <c r="N23" s="41" t="s">
        <v>20</v>
      </c>
      <c r="O23" s="47"/>
      <c r="P23" s="49" t="s">
        <v>24</v>
      </c>
      <c r="Q23" s="41" t="s">
        <v>52</v>
      </c>
      <c r="R23" s="49" t="s">
        <v>52</v>
      </c>
      <c r="S23" s="47"/>
      <c r="T23" s="39" t="s">
        <v>960</v>
      </c>
      <c r="U23" s="80" t="str">
        <f>"310,1175"</f>
        <v>310,1175</v>
      </c>
      <c r="V23" s="24" t="s">
        <v>976</v>
      </c>
    </row>
    <row r="24" spans="1:22" ht="12.75">
      <c r="A24" s="40" t="s">
        <v>689</v>
      </c>
      <c r="B24" s="25" t="s">
        <v>185</v>
      </c>
      <c r="C24" s="25" t="s">
        <v>186</v>
      </c>
      <c r="D24" s="25" t="s">
        <v>187</v>
      </c>
      <c r="E24" s="25" t="str">
        <f>"0,8411"</f>
        <v>0,8411</v>
      </c>
      <c r="F24" s="25" t="s">
        <v>77</v>
      </c>
      <c r="G24" s="25" t="s">
        <v>78</v>
      </c>
      <c r="H24" s="50" t="s">
        <v>35</v>
      </c>
      <c r="I24" s="50" t="s">
        <v>36</v>
      </c>
      <c r="J24" s="42" t="s">
        <v>22</v>
      </c>
      <c r="K24" s="48"/>
      <c r="L24" s="50" t="s">
        <v>131</v>
      </c>
      <c r="M24" s="50" t="s">
        <v>132</v>
      </c>
      <c r="N24" s="42" t="s">
        <v>151</v>
      </c>
      <c r="O24" s="48"/>
      <c r="P24" s="50" t="s">
        <v>88</v>
      </c>
      <c r="Q24" s="50" t="s">
        <v>62</v>
      </c>
      <c r="R24" s="50" t="s">
        <v>89</v>
      </c>
      <c r="S24" s="48"/>
      <c r="T24" s="40" t="s">
        <v>284</v>
      </c>
      <c r="U24" s="81" t="str">
        <f>"412,1145"</f>
        <v>412,1145</v>
      </c>
      <c r="V24" s="25" t="s">
        <v>45</v>
      </c>
    </row>
    <row r="26" spans="1:21" ht="15.75">
      <c r="A26"/>
      <c r="B26" s="136" t="s">
        <v>12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</row>
    <row r="27" spans="1:22" ht="12.75">
      <c r="A27" s="39" t="s">
        <v>689</v>
      </c>
      <c r="B27" s="24" t="s">
        <v>188</v>
      </c>
      <c r="C27" s="24" t="s">
        <v>189</v>
      </c>
      <c r="D27" s="24" t="s">
        <v>190</v>
      </c>
      <c r="E27" s="24" t="str">
        <f>"0,7691"</f>
        <v>0,7691</v>
      </c>
      <c r="F27" s="24" t="s">
        <v>77</v>
      </c>
      <c r="G27" s="24" t="s">
        <v>78</v>
      </c>
      <c r="H27" s="49" t="s">
        <v>22</v>
      </c>
      <c r="I27" s="49" t="s">
        <v>24</v>
      </c>
      <c r="J27" s="41" t="s">
        <v>191</v>
      </c>
      <c r="K27" s="47"/>
      <c r="L27" s="49" t="s">
        <v>152</v>
      </c>
      <c r="M27" s="41" t="s">
        <v>166</v>
      </c>
      <c r="N27" s="41" t="s">
        <v>166</v>
      </c>
      <c r="O27" s="47"/>
      <c r="P27" s="49" t="s">
        <v>88</v>
      </c>
      <c r="Q27" s="49" t="s">
        <v>62</v>
      </c>
      <c r="R27" s="49" t="s">
        <v>64</v>
      </c>
      <c r="S27" s="47"/>
      <c r="T27" s="39">
        <v>432.5</v>
      </c>
      <c r="U27" s="80" t="str">
        <f>"332,6358"</f>
        <v>332,6358</v>
      </c>
      <c r="V27" s="24" t="s">
        <v>45</v>
      </c>
    </row>
    <row r="28" spans="1:22" ht="12.75">
      <c r="A28" s="52" t="s">
        <v>785</v>
      </c>
      <c r="B28" s="26" t="s">
        <v>192</v>
      </c>
      <c r="C28" s="26" t="s">
        <v>193</v>
      </c>
      <c r="D28" s="26" t="s">
        <v>194</v>
      </c>
      <c r="E28" s="26" t="str">
        <f>"0,7660"</f>
        <v>0,7660</v>
      </c>
      <c r="F28" s="26" t="s">
        <v>1033</v>
      </c>
      <c r="G28" s="26" t="s">
        <v>16</v>
      </c>
      <c r="H28" s="53" t="s">
        <v>165</v>
      </c>
      <c r="I28" s="53" t="s">
        <v>166</v>
      </c>
      <c r="J28" s="53" t="s">
        <v>38</v>
      </c>
      <c r="K28" s="51"/>
      <c r="L28" s="53" t="s">
        <v>131</v>
      </c>
      <c r="M28" s="53" t="s">
        <v>17</v>
      </c>
      <c r="N28" s="54" t="s">
        <v>165</v>
      </c>
      <c r="O28" s="51"/>
      <c r="P28" s="53" t="s">
        <v>37</v>
      </c>
      <c r="Q28" s="53" t="s">
        <v>19</v>
      </c>
      <c r="R28" s="53" t="s">
        <v>22</v>
      </c>
      <c r="S28" s="51"/>
      <c r="T28" s="52">
        <v>352.5</v>
      </c>
      <c r="U28" s="83" t="str">
        <f>"270,0150"</f>
        <v>270,0150</v>
      </c>
      <c r="V28" s="26" t="s">
        <v>977</v>
      </c>
    </row>
    <row r="29" spans="1:22" ht="12.75">
      <c r="A29" s="40" t="s">
        <v>689</v>
      </c>
      <c r="B29" s="25" t="s">
        <v>195</v>
      </c>
      <c r="C29" s="25" t="s">
        <v>196</v>
      </c>
      <c r="D29" s="25" t="s">
        <v>197</v>
      </c>
      <c r="E29" s="25" t="str">
        <f>"0,7610"</f>
        <v>0,7610</v>
      </c>
      <c r="F29" s="25" t="s">
        <v>48</v>
      </c>
      <c r="G29" s="25" t="s">
        <v>49</v>
      </c>
      <c r="H29" s="43" t="s">
        <v>37</v>
      </c>
      <c r="I29" s="42" t="s">
        <v>19</v>
      </c>
      <c r="J29" s="50" t="s">
        <v>19</v>
      </c>
      <c r="K29" s="48"/>
      <c r="L29" s="50" t="s">
        <v>131</v>
      </c>
      <c r="M29" s="50" t="s">
        <v>17</v>
      </c>
      <c r="N29" s="50" t="s">
        <v>165</v>
      </c>
      <c r="O29" s="48"/>
      <c r="P29" s="50" t="s">
        <v>191</v>
      </c>
      <c r="Q29" s="42" t="s">
        <v>53</v>
      </c>
      <c r="R29" s="42" t="s">
        <v>53</v>
      </c>
      <c r="S29" s="48"/>
      <c r="T29" s="40" t="s">
        <v>961</v>
      </c>
      <c r="U29" s="81" t="str">
        <f>"289,1610"</f>
        <v>289,1610</v>
      </c>
      <c r="V29" s="25" t="s">
        <v>978</v>
      </c>
    </row>
    <row r="31" spans="1:21" ht="15.75">
      <c r="A31"/>
      <c r="B31" s="136" t="s">
        <v>25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2" ht="12.75">
      <c r="A32" s="39" t="s">
        <v>689</v>
      </c>
      <c r="B32" s="24" t="s">
        <v>198</v>
      </c>
      <c r="C32" s="24" t="s">
        <v>199</v>
      </c>
      <c r="D32" s="24" t="s">
        <v>200</v>
      </c>
      <c r="E32" s="24" t="str">
        <f>"0,7110"</f>
        <v>0,7110</v>
      </c>
      <c r="F32" s="24" t="s">
        <v>99</v>
      </c>
      <c r="G32" s="24" t="s">
        <v>100</v>
      </c>
      <c r="H32" s="49" t="s">
        <v>88</v>
      </c>
      <c r="I32" s="49" t="s">
        <v>62</v>
      </c>
      <c r="J32" s="49" t="s">
        <v>64</v>
      </c>
      <c r="K32" s="47"/>
      <c r="L32" s="49" t="s">
        <v>131</v>
      </c>
      <c r="M32" s="41" t="s">
        <v>17</v>
      </c>
      <c r="N32" s="49" t="s">
        <v>17</v>
      </c>
      <c r="O32" s="47"/>
      <c r="P32" s="49" t="s">
        <v>39</v>
      </c>
      <c r="Q32" s="41" t="s">
        <v>40</v>
      </c>
      <c r="R32" s="41" t="s">
        <v>40</v>
      </c>
      <c r="S32" s="47"/>
      <c r="T32" s="39" t="s">
        <v>962</v>
      </c>
      <c r="U32" s="80" t="str">
        <f>"334,1465"</f>
        <v>334,1465</v>
      </c>
      <c r="V32" s="24" t="s">
        <v>814</v>
      </c>
    </row>
    <row r="33" spans="1:22" ht="12.75">
      <c r="A33" s="52" t="s">
        <v>689</v>
      </c>
      <c r="B33" s="26" t="s">
        <v>201</v>
      </c>
      <c r="C33" s="26" t="s">
        <v>202</v>
      </c>
      <c r="D33" s="26" t="s">
        <v>203</v>
      </c>
      <c r="E33" s="26" t="str">
        <f>"0,7229"</f>
        <v>0,7229</v>
      </c>
      <c r="F33" s="26" t="s">
        <v>1033</v>
      </c>
      <c r="G33" s="26" t="s">
        <v>16</v>
      </c>
      <c r="H33" s="53" t="s">
        <v>165</v>
      </c>
      <c r="I33" s="53" t="s">
        <v>166</v>
      </c>
      <c r="J33" s="53" t="s">
        <v>35</v>
      </c>
      <c r="K33" s="51"/>
      <c r="L33" s="54" t="s">
        <v>20</v>
      </c>
      <c r="M33" s="53" t="s">
        <v>20</v>
      </c>
      <c r="N33" s="54" t="s">
        <v>17</v>
      </c>
      <c r="O33" s="51"/>
      <c r="P33" s="53" t="s">
        <v>18</v>
      </c>
      <c r="Q33" s="53" t="s">
        <v>36</v>
      </c>
      <c r="R33" s="53" t="s">
        <v>204</v>
      </c>
      <c r="S33" s="51"/>
      <c r="T33" s="52">
        <v>347.5</v>
      </c>
      <c r="U33" s="83" t="str">
        <f>"251,2077"</f>
        <v>251,2077</v>
      </c>
      <c r="V33" s="26" t="s">
        <v>977</v>
      </c>
    </row>
    <row r="34" spans="1:22" ht="12.75">
      <c r="A34" s="40" t="s">
        <v>689</v>
      </c>
      <c r="B34" s="25" t="s">
        <v>205</v>
      </c>
      <c r="C34" s="25" t="s">
        <v>206</v>
      </c>
      <c r="D34" s="25" t="s">
        <v>27</v>
      </c>
      <c r="E34" s="25" t="str">
        <f>"0,6885"</f>
        <v>0,6885</v>
      </c>
      <c r="F34" s="25" t="s">
        <v>33</v>
      </c>
      <c r="G34" s="25" t="s">
        <v>34</v>
      </c>
      <c r="H34" s="42" t="s">
        <v>17</v>
      </c>
      <c r="I34" s="42" t="s">
        <v>37</v>
      </c>
      <c r="J34" s="50" t="s">
        <v>37</v>
      </c>
      <c r="K34" s="48"/>
      <c r="L34" s="50" t="s">
        <v>17</v>
      </c>
      <c r="M34" s="50" t="s">
        <v>165</v>
      </c>
      <c r="N34" s="50" t="s">
        <v>37</v>
      </c>
      <c r="O34" s="48"/>
      <c r="P34" s="50" t="s">
        <v>62</v>
      </c>
      <c r="Q34" s="50" t="s">
        <v>64</v>
      </c>
      <c r="R34" s="50" t="s">
        <v>39</v>
      </c>
      <c r="S34" s="48"/>
      <c r="T34" s="40" t="s">
        <v>953</v>
      </c>
      <c r="U34" s="81" t="str">
        <f>"287,9516"</f>
        <v>287,9516</v>
      </c>
      <c r="V34" s="25" t="s">
        <v>855</v>
      </c>
    </row>
    <row r="36" spans="1:21" ht="15.75">
      <c r="A36"/>
      <c r="B36" s="136" t="s">
        <v>207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  <row r="37" spans="1:22" ht="12.75">
      <c r="A37" s="39" t="s">
        <v>689</v>
      </c>
      <c r="B37" s="24" t="s">
        <v>208</v>
      </c>
      <c r="C37" s="24" t="s">
        <v>209</v>
      </c>
      <c r="D37" s="24" t="s">
        <v>210</v>
      </c>
      <c r="E37" s="24" t="str">
        <f>"0,6456"</f>
        <v>0,6456</v>
      </c>
      <c r="F37" s="24" t="s">
        <v>15</v>
      </c>
      <c r="G37" s="24" t="s">
        <v>1080</v>
      </c>
      <c r="H37" s="49" t="s">
        <v>39</v>
      </c>
      <c r="I37" s="49" t="s">
        <v>211</v>
      </c>
      <c r="J37" s="41" t="s">
        <v>93</v>
      </c>
      <c r="K37" s="47"/>
      <c r="L37" s="41" t="s">
        <v>38</v>
      </c>
      <c r="M37" s="49" t="s">
        <v>38</v>
      </c>
      <c r="N37" s="41" t="s">
        <v>35</v>
      </c>
      <c r="O37" s="47"/>
      <c r="P37" s="49" t="s">
        <v>39</v>
      </c>
      <c r="Q37" s="49" t="s">
        <v>93</v>
      </c>
      <c r="R37" s="49" t="s">
        <v>94</v>
      </c>
      <c r="S37" s="47"/>
      <c r="T37" s="39" t="s">
        <v>963</v>
      </c>
      <c r="U37" s="80" t="str">
        <f>"342,1680"</f>
        <v>342,1680</v>
      </c>
      <c r="V37" s="24" t="s">
        <v>45</v>
      </c>
    </row>
    <row r="38" spans="1:22" ht="12.75">
      <c r="A38" s="52" t="s">
        <v>785</v>
      </c>
      <c r="B38" s="26" t="s">
        <v>212</v>
      </c>
      <c r="C38" s="26" t="s">
        <v>213</v>
      </c>
      <c r="D38" s="26" t="s">
        <v>214</v>
      </c>
      <c r="E38" s="26" t="str">
        <f>"0,6700"</f>
        <v>0,6700</v>
      </c>
      <c r="F38" s="26" t="s">
        <v>99</v>
      </c>
      <c r="G38" s="26" t="s">
        <v>100</v>
      </c>
      <c r="H38" s="53" t="s">
        <v>62</v>
      </c>
      <c r="I38" s="54" t="s">
        <v>64</v>
      </c>
      <c r="J38" s="54" t="s">
        <v>64</v>
      </c>
      <c r="K38" s="51"/>
      <c r="L38" s="53" t="s">
        <v>17</v>
      </c>
      <c r="M38" s="53" t="s">
        <v>165</v>
      </c>
      <c r="N38" s="54" t="s">
        <v>37</v>
      </c>
      <c r="O38" s="51"/>
      <c r="P38" s="53" t="s">
        <v>64</v>
      </c>
      <c r="Q38" s="54" t="s">
        <v>40</v>
      </c>
      <c r="R38" s="54" t="s">
        <v>40</v>
      </c>
      <c r="S38" s="51"/>
      <c r="T38" s="52" t="s">
        <v>964</v>
      </c>
      <c r="U38" s="83" t="str">
        <f>"304,8273"</f>
        <v>304,8273</v>
      </c>
      <c r="V38" s="26" t="s">
        <v>814</v>
      </c>
    </row>
    <row r="39" spans="1:22" ht="12.75">
      <c r="A39" s="52" t="s">
        <v>689</v>
      </c>
      <c r="B39" s="26" t="s">
        <v>215</v>
      </c>
      <c r="C39" s="26" t="s">
        <v>216</v>
      </c>
      <c r="D39" s="26" t="s">
        <v>217</v>
      </c>
      <c r="E39" s="26" t="str">
        <f>"0,6550"</f>
        <v>0,6550</v>
      </c>
      <c r="F39" s="26" t="s">
        <v>77</v>
      </c>
      <c r="G39" s="26" t="s">
        <v>78</v>
      </c>
      <c r="H39" s="53" t="s">
        <v>218</v>
      </c>
      <c r="I39" s="53" t="s">
        <v>40</v>
      </c>
      <c r="J39" s="53" t="s">
        <v>93</v>
      </c>
      <c r="K39" s="51"/>
      <c r="L39" s="53" t="s">
        <v>19</v>
      </c>
      <c r="M39" s="53" t="s">
        <v>36</v>
      </c>
      <c r="N39" s="53" t="s">
        <v>219</v>
      </c>
      <c r="O39" s="51"/>
      <c r="P39" s="53" t="s">
        <v>51</v>
      </c>
      <c r="Q39" s="54" t="s">
        <v>220</v>
      </c>
      <c r="R39" s="54" t="s">
        <v>220</v>
      </c>
      <c r="S39" s="51"/>
      <c r="T39" s="52">
        <v>557.5</v>
      </c>
      <c r="U39" s="83" t="str">
        <f>"365,1904"</f>
        <v>365,1904</v>
      </c>
      <c r="V39" s="26" t="s">
        <v>871</v>
      </c>
    </row>
    <row r="40" spans="1:22" ht="12.75">
      <c r="A40" s="52" t="s">
        <v>785</v>
      </c>
      <c r="B40" s="26" t="s">
        <v>221</v>
      </c>
      <c r="C40" s="26" t="s">
        <v>222</v>
      </c>
      <c r="D40" s="26" t="s">
        <v>223</v>
      </c>
      <c r="E40" s="26" t="str">
        <f>"0,6482"</f>
        <v>0,6482</v>
      </c>
      <c r="F40" s="26" t="s">
        <v>15</v>
      </c>
      <c r="G40" s="26" t="s">
        <v>224</v>
      </c>
      <c r="H40" s="53" t="s">
        <v>39</v>
      </c>
      <c r="I40" s="54" t="s">
        <v>211</v>
      </c>
      <c r="J40" s="54" t="s">
        <v>211</v>
      </c>
      <c r="K40" s="51"/>
      <c r="L40" s="54" t="s">
        <v>36</v>
      </c>
      <c r="M40" s="54" t="s">
        <v>36</v>
      </c>
      <c r="N40" s="53" t="s">
        <v>36</v>
      </c>
      <c r="O40" s="51"/>
      <c r="P40" s="53" t="s">
        <v>50</v>
      </c>
      <c r="Q40" s="54" t="s">
        <v>51</v>
      </c>
      <c r="R40" s="53" t="s">
        <v>51</v>
      </c>
      <c r="S40" s="51"/>
      <c r="T40" s="52" t="s">
        <v>965</v>
      </c>
      <c r="U40" s="83" t="str">
        <f>"350,0280"</f>
        <v>350,0280</v>
      </c>
      <c r="V40" s="26" t="s">
        <v>934</v>
      </c>
    </row>
    <row r="41" spans="1:22" ht="12.75">
      <c r="A41" s="40" t="s">
        <v>786</v>
      </c>
      <c r="B41" s="25" t="s">
        <v>225</v>
      </c>
      <c r="C41" s="25" t="s">
        <v>226</v>
      </c>
      <c r="D41" s="25" t="s">
        <v>217</v>
      </c>
      <c r="E41" s="25" t="str">
        <f>"0,6550"</f>
        <v>0,6550</v>
      </c>
      <c r="F41" s="25" t="s">
        <v>77</v>
      </c>
      <c r="G41" s="25" t="s">
        <v>78</v>
      </c>
      <c r="H41" s="50" t="s">
        <v>22</v>
      </c>
      <c r="I41" s="42" t="s">
        <v>24</v>
      </c>
      <c r="J41" s="43" t="s">
        <v>24</v>
      </c>
      <c r="K41" s="48"/>
      <c r="L41" s="50" t="s">
        <v>37</v>
      </c>
      <c r="M41" s="50" t="s">
        <v>227</v>
      </c>
      <c r="N41" s="42" t="s">
        <v>228</v>
      </c>
      <c r="O41" s="48"/>
      <c r="P41" s="50" t="s">
        <v>53</v>
      </c>
      <c r="Q41" s="50" t="s">
        <v>64</v>
      </c>
      <c r="R41" s="42" t="s">
        <v>70</v>
      </c>
      <c r="S41" s="48"/>
      <c r="T41" s="40">
        <v>447.5</v>
      </c>
      <c r="U41" s="81" t="str">
        <f>"293,1349"</f>
        <v>293,1349</v>
      </c>
      <c r="V41" s="25" t="s">
        <v>979</v>
      </c>
    </row>
    <row r="43" spans="1:21" ht="15.75">
      <c r="A43"/>
      <c r="B43" s="136" t="s">
        <v>41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2" ht="12.75">
      <c r="A44" s="39" t="s">
        <v>689</v>
      </c>
      <c r="B44" s="24" t="s">
        <v>229</v>
      </c>
      <c r="C44" s="24" t="s">
        <v>230</v>
      </c>
      <c r="D44" s="24" t="s">
        <v>231</v>
      </c>
      <c r="E44" s="24" t="str">
        <f>"0,6169"</f>
        <v>0,6169</v>
      </c>
      <c r="F44" s="24" t="s">
        <v>232</v>
      </c>
      <c r="G44" s="24" t="s">
        <v>233</v>
      </c>
      <c r="H44" s="49" t="s">
        <v>93</v>
      </c>
      <c r="I44" s="49" t="s">
        <v>94</v>
      </c>
      <c r="J44" s="49" t="s">
        <v>51</v>
      </c>
      <c r="K44" s="47"/>
      <c r="L44" s="49" t="s">
        <v>191</v>
      </c>
      <c r="M44" s="49" t="s">
        <v>52</v>
      </c>
      <c r="N44" s="41" t="s">
        <v>88</v>
      </c>
      <c r="O44" s="47"/>
      <c r="P44" s="49" t="s">
        <v>54</v>
      </c>
      <c r="Q44" s="41" t="s">
        <v>234</v>
      </c>
      <c r="R44" s="49" t="s">
        <v>234</v>
      </c>
      <c r="S44" s="47"/>
      <c r="T44" s="39">
        <v>627.5</v>
      </c>
      <c r="U44" s="80" t="str">
        <f>"387,0734"</f>
        <v>387,0734</v>
      </c>
      <c r="V44" s="24" t="s">
        <v>235</v>
      </c>
    </row>
    <row r="45" spans="1:22" ht="12.75">
      <c r="A45" s="52" t="s">
        <v>785</v>
      </c>
      <c r="B45" s="26" t="s">
        <v>236</v>
      </c>
      <c r="C45" s="26" t="s">
        <v>237</v>
      </c>
      <c r="D45" s="26" t="s">
        <v>238</v>
      </c>
      <c r="E45" s="26" t="str">
        <f>"0,6201"</f>
        <v>0,6201</v>
      </c>
      <c r="F45" s="26" t="s">
        <v>164</v>
      </c>
      <c r="G45" s="26" t="s">
        <v>224</v>
      </c>
      <c r="H45" s="53" t="s">
        <v>239</v>
      </c>
      <c r="I45" s="53" t="s">
        <v>211</v>
      </c>
      <c r="J45" s="53" t="s">
        <v>94</v>
      </c>
      <c r="K45" s="51"/>
      <c r="L45" s="53" t="s">
        <v>22</v>
      </c>
      <c r="M45" s="53" t="s">
        <v>23</v>
      </c>
      <c r="N45" s="54" t="s">
        <v>81</v>
      </c>
      <c r="O45" s="51"/>
      <c r="P45" s="53" t="s">
        <v>220</v>
      </c>
      <c r="Q45" s="53" t="s">
        <v>105</v>
      </c>
      <c r="R45" s="53" t="s">
        <v>90</v>
      </c>
      <c r="S45" s="51"/>
      <c r="T45" s="52" t="s">
        <v>282</v>
      </c>
      <c r="U45" s="83" t="str">
        <f>"375,1605"</f>
        <v>375,1605</v>
      </c>
      <c r="V45" s="26" t="s">
        <v>45</v>
      </c>
    </row>
    <row r="46" spans="1:22" ht="12.75">
      <c r="A46" s="52" t="s">
        <v>786</v>
      </c>
      <c r="B46" s="26" t="s">
        <v>240</v>
      </c>
      <c r="C46" s="26" t="s">
        <v>241</v>
      </c>
      <c r="D46" s="26" t="s">
        <v>242</v>
      </c>
      <c r="E46" s="26" t="str">
        <f>"0,6126"</f>
        <v>0,6126</v>
      </c>
      <c r="F46" s="26" t="s">
        <v>1034</v>
      </c>
      <c r="G46" s="26" t="s">
        <v>243</v>
      </c>
      <c r="H46" s="53" t="s">
        <v>39</v>
      </c>
      <c r="I46" s="53" t="s">
        <v>40</v>
      </c>
      <c r="J46" s="53" t="s">
        <v>50</v>
      </c>
      <c r="K46" s="51"/>
      <c r="L46" s="53" t="s">
        <v>191</v>
      </c>
      <c r="M46" s="53" t="s">
        <v>88</v>
      </c>
      <c r="N46" s="53" t="s">
        <v>53</v>
      </c>
      <c r="O46" s="51"/>
      <c r="P46" s="54" t="s">
        <v>218</v>
      </c>
      <c r="Q46" s="54" t="s">
        <v>218</v>
      </c>
      <c r="R46" s="53" t="s">
        <v>218</v>
      </c>
      <c r="S46" s="51"/>
      <c r="T46" s="52" t="s">
        <v>966</v>
      </c>
      <c r="U46" s="83" t="str">
        <f>"349,1820"</f>
        <v>349,1820</v>
      </c>
      <c r="V46" s="26" t="s">
        <v>244</v>
      </c>
    </row>
    <row r="47" spans="1:22" ht="12.75">
      <c r="A47" s="52" t="s">
        <v>787</v>
      </c>
      <c r="B47" s="26" t="s">
        <v>245</v>
      </c>
      <c r="C47" s="26" t="s">
        <v>246</v>
      </c>
      <c r="D47" s="26" t="s">
        <v>247</v>
      </c>
      <c r="E47" s="26" t="str">
        <f>"0,6119"</f>
        <v>0,6119</v>
      </c>
      <c r="F47" s="26" t="s">
        <v>248</v>
      </c>
      <c r="G47" s="26" t="s">
        <v>249</v>
      </c>
      <c r="H47" s="53" t="s">
        <v>64</v>
      </c>
      <c r="I47" s="53" t="s">
        <v>239</v>
      </c>
      <c r="J47" s="53" t="s">
        <v>218</v>
      </c>
      <c r="K47" s="51"/>
      <c r="L47" s="53" t="s">
        <v>36</v>
      </c>
      <c r="M47" s="53" t="s">
        <v>219</v>
      </c>
      <c r="N47" s="53" t="s">
        <v>24</v>
      </c>
      <c r="O47" s="51"/>
      <c r="P47" s="54" t="s">
        <v>40</v>
      </c>
      <c r="Q47" s="53" t="s">
        <v>40</v>
      </c>
      <c r="R47" s="54" t="s">
        <v>250</v>
      </c>
      <c r="S47" s="51"/>
      <c r="T47" s="52" t="s">
        <v>965</v>
      </c>
      <c r="U47" s="83" t="str">
        <f>"330,3990"</f>
        <v>330,3990</v>
      </c>
      <c r="V47" s="26" t="s">
        <v>980</v>
      </c>
    </row>
    <row r="48" spans="1:22" ht="12.75">
      <c r="A48" s="40" t="s">
        <v>789</v>
      </c>
      <c r="B48" s="25" t="s">
        <v>251</v>
      </c>
      <c r="C48" s="25" t="s">
        <v>252</v>
      </c>
      <c r="D48" s="25" t="s">
        <v>253</v>
      </c>
      <c r="E48" s="25" t="str">
        <f>"0,6181"</f>
        <v>0,6181</v>
      </c>
      <c r="F48" s="25" t="s">
        <v>146</v>
      </c>
      <c r="G48" s="25" t="s">
        <v>147</v>
      </c>
      <c r="H48" s="50" t="s">
        <v>64</v>
      </c>
      <c r="I48" s="42" t="s">
        <v>39</v>
      </c>
      <c r="J48" s="42" t="s">
        <v>39</v>
      </c>
      <c r="K48" s="48"/>
      <c r="L48" s="50" t="s">
        <v>19</v>
      </c>
      <c r="M48" s="42" t="s">
        <v>36</v>
      </c>
      <c r="N48" s="50" t="s">
        <v>36</v>
      </c>
      <c r="O48" s="48"/>
      <c r="P48" s="50" t="s">
        <v>93</v>
      </c>
      <c r="Q48" s="50" t="s">
        <v>51</v>
      </c>
      <c r="R48" s="42" t="s">
        <v>254</v>
      </c>
      <c r="S48" s="48"/>
      <c r="T48" s="40" t="s">
        <v>963</v>
      </c>
      <c r="U48" s="81" t="str">
        <f>"327,5930"</f>
        <v>327,5930</v>
      </c>
      <c r="V48" s="25" t="s">
        <v>911</v>
      </c>
    </row>
    <row r="50" spans="1:21" ht="15.75">
      <c r="A50"/>
      <c r="B50" s="136" t="s">
        <v>57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1:22" ht="12.75">
      <c r="A51" s="39" t="s">
        <v>689</v>
      </c>
      <c r="B51" s="24" t="s">
        <v>255</v>
      </c>
      <c r="C51" s="24" t="s">
        <v>256</v>
      </c>
      <c r="D51" s="24" t="s">
        <v>257</v>
      </c>
      <c r="E51" s="24" t="str">
        <f>"0,5875"</f>
        <v>0,5875</v>
      </c>
      <c r="F51" s="24" t="s">
        <v>15</v>
      </c>
      <c r="G51" s="24" t="s">
        <v>258</v>
      </c>
      <c r="H51" s="49" t="s">
        <v>39</v>
      </c>
      <c r="I51" s="41" t="s">
        <v>40</v>
      </c>
      <c r="J51" s="41" t="s">
        <v>40</v>
      </c>
      <c r="K51" s="47"/>
      <c r="L51" s="49" t="s">
        <v>35</v>
      </c>
      <c r="M51" s="49" t="s">
        <v>19</v>
      </c>
      <c r="N51" s="41" t="s">
        <v>36</v>
      </c>
      <c r="O51" s="47"/>
      <c r="P51" s="49" t="s">
        <v>51</v>
      </c>
      <c r="Q51" s="49" t="s">
        <v>54</v>
      </c>
      <c r="R51" s="49" t="s">
        <v>90</v>
      </c>
      <c r="S51" s="47"/>
      <c r="T51" s="39" t="s">
        <v>967</v>
      </c>
      <c r="U51" s="80" t="str">
        <f>"331,9093"</f>
        <v>331,9093</v>
      </c>
      <c r="V51" s="24" t="s">
        <v>45</v>
      </c>
    </row>
    <row r="52" spans="1:22" ht="12.75">
      <c r="A52" s="52" t="s">
        <v>689</v>
      </c>
      <c r="B52" s="26" t="s">
        <v>259</v>
      </c>
      <c r="C52" s="26" t="s">
        <v>260</v>
      </c>
      <c r="D52" s="26" t="s">
        <v>261</v>
      </c>
      <c r="E52" s="26" t="str">
        <f>"0,5891"</f>
        <v>0,5891</v>
      </c>
      <c r="F52" s="26" t="s">
        <v>48</v>
      </c>
      <c r="G52" s="26" t="s">
        <v>49</v>
      </c>
      <c r="H52" s="53" t="s">
        <v>218</v>
      </c>
      <c r="I52" s="53" t="s">
        <v>93</v>
      </c>
      <c r="J52" s="53" t="s">
        <v>50</v>
      </c>
      <c r="K52" s="51"/>
      <c r="L52" s="53" t="s">
        <v>36</v>
      </c>
      <c r="M52" s="53" t="s">
        <v>23</v>
      </c>
      <c r="N52" s="54" t="s">
        <v>204</v>
      </c>
      <c r="O52" s="51"/>
      <c r="P52" s="53" t="s">
        <v>79</v>
      </c>
      <c r="Q52" s="53" t="s">
        <v>54</v>
      </c>
      <c r="R52" s="53" t="s">
        <v>90</v>
      </c>
      <c r="S52" s="51"/>
      <c r="T52" s="52" t="s">
        <v>968</v>
      </c>
      <c r="U52" s="83" t="str">
        <f>"353,4600"</f>
        <v>353,4600</v>
      </c>
      <c r="V52" s="26" t="s">
        <v>908</v>
      </c>
    </row>
    <row r="53" spans="1:22" ht="12.75">
      <c r="A53" s="52" t="s">
        <v>689</v>
      </c>
      <c r="B53" s="26" t="s">
        <v>959</v>
      </c>
      <c r="C53" s="26" t="s">
        <v>263</v>
      </c>
      <c r="D53" s="26" t="s">
        <v>264</v>
      </c>
      <c r="E53" s="26" t="str">
        <f>"0,5825"</f>
        <v>0,5825</v>
      </c>
      <c r="F53" s="26" t="s">
        <v>248</v>
      </c>
      <c r="G53" s="26" t="s">
        <v>249</v>
      </c>
      <c r="H53" s="53" t="s">
        <v>61</v>
      </c>
      <c r="I53" s="53" t="s">
        <v>56</v>
      </c>
      <c r="J53" s="54" t="s">
        <v>265</v>
      </c>
      <c r="K53" s="51"/>
      <c r="L53" s="53" t="s">
        <v>53</v>
      </c>
      <c r="M53" s="53" t="s">
        <v>266</v>
      </c>
      <c r="N53" s="53" t="s">
        <v>63</v>
      </c>
      <c r="O53" s="51"/>
      <c r="P53" s="53" t="s">
        <v>265</v>
      </c>
      <c r="Q53" s="53" t="s">
        <v>83</v>
      </c>
      <c r="R53" s="54" t="s">
        <v>84</v>
      </c>
      <c r="S53" s="51"/>
      <c r="T53" s="52" t="s">
        <v>278</v>
      </c>
      <c r="U53" s="83" t="str">
        <f>"422,3487"</f>
        <v>422,3487</v>
      </c>
      <c r="V53" s="26" t="s">
        <v>980</v>
      </c>
    </row>
    <row r="54" spans="1:22" ht="12.75">
      <c r="A54" s="52" t="s">
        <v>785</v>
      </c>
      <c r="B54" s="26" t="s">
        <v>267</v>
      </c>
      <c r="C54" s="26" t="s">
        <v>268</v>
      </c>
      <c r="D54" s="26" t="s">
        <v>92</v>
      </c>
      <c r="E54" s="26" t="str">
        <f>"0,5846"</f>
        <v>0,5846</v>
      </c>
      <c r="F54" s="26" t="s">
        <v>15</v>
      </c>
      <c r="G54" s="26" t="s">
        <v>16</v>
      </c>
      <c r="H54" s="53" t="s">
        <v>218</v>
      </c>
      <c r="I54" s="53" t="s">
        <v>93</v>
      </c>
      <c r="J54" s="54" t="s">
        <v>250</v>
      </c>
      <c r="K54" s="51"/>
      <c r="L54" s="54" t="s">
        <v>24</v>
      </c>
      <c r="M54" s="53" t="s">
        <v>24</v>
      </c>
      <c r="N54" s="53" t="s">
        <v>52</v>
      </c>
      <c r="O54" s="51"/>
      <c r="P54" s="53" t="s">
        <v>51</v>
      </c>
      <c r="Q54" s="53" t="s">
        <v>54</v>
      </c>
      <c r="R54" s="53" t="s">
        <v>269</v>
      </c>
      <c r="S54" s="51"/>
      <c r="T54" s="52">
        <v>607.5</v>
      </c>
      <c r="U54" s="83" t="str">
        <f>"355,1141"</f>
        <v>355,1141</v>
      </c>
      <c r="V54" s="26" t="s">
        <v>45</v>
      </c>
    </row>
    <row r="55" spans="1:22" ht="12.75">
      <c r="A55" s="40" t="s">
        <v>786</v>
      </c>
      <c r="B55" s="25" t="s">
        <v>270</v>
      </c>
      <c r="C55" s="25" t="s">
        <v>271</v>
      </c>
      <c r="D55" s="25" t="s">
        <v>272</v>
      </c>
      <c r="E55" s="25" t="str">
        <f>"0,5952"</f>
        <v>0,5952</v>
      </c>
      <c r="F55" s="25" t="s">
        <v>77</v>
      </c>
      <c r="G55" s="25" t="s">
        <v>78</v>
      </c>
      <c r="H55" s="50" t="s">
        <v>39</v>
      </c>
      <c r="I55" s="50" t="s">
        <v>40</v>
      </c>
      <c r="J55" s="42" t="s">
        <v>93</v>
      </c>
      <c r="K55" s="48"/>
      <c r="L55" s="50" t="s">
        <v>22</v>
      </c>
      <c r="M55" s="50" t="s">
        <v>23</v>
      </c>
      <c r="N55" s="42" t="s">
        <v>204</v>
      </c>
      <c r="O55" s="48"/>
      <c r="P55" s="50" t="s">
        <v>93</v>
      </c>
      <c r="Q55" s="50" t="s">
        <v>94</v>
      </c>
      <c r="R55" s="42" t="s">
        <v>51</v>
      </c>
      <c r="S55" s="48"/>
      <c r="T55" s="40" t="s">
        <v>969</v>
      </c>
      <c r="U55" s="81" t="str">
        <f>"330,3360"</f>
        <v>330,3360</v>
      </c>
      <c r="V55" s="25" t="s">
        <v>45</v>
      </c>
    </row>
    <row r="57" spans="1:21" ht="15.75">
      <c r="A57"/>
      <c r="B57" s="136" t="s">
        <v>95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1:22" ht="12.75">
      <c r="A58" s="39" t="s">
        <v>689</v>
      </c>
      <c r="B58" s="24" t="s">
        <v>273</v>
      </c>
      <c r="C58" s="24" t="s">
        <v>274</v>
      </c>
      <c r="D58" s="24" t="s">
        <v>275</v>
      </c>
      <c r="E58" s="24" t="str">
        <f>"0,5688"</f>
        <v>0,5688</v>
      </c>
      <c r="F58" s="24" t="s">
        <v>33</v>
      </c>
      <c r="G58" s="24" t="s">
        <v>34</v>
      </c>
      <c r="H58" s="49" t="s">
        <v>51</v>
      </c>
      <c r="I58" s="41" t="s">
        <v>220</v>
      </c>
      <c r="J58" s="41" t="s">
        <v>220</v>
      </c>
      <c r="K58" s="47"/>
      <c r="L58" s="49" t="s">
        <v>88</v>
      </c>
      <c r="M58" s="41" t="s">
        <v>53</v>
      </c>
      <c r="N58" s="41" t="s">
        <v>53</v>
      </c>
      <c r="O58" s="47"/>
      <c r="P58" s="49" t="s">
        <v>220</v>
      </c>
      <c r="Q58" s="49" t="s">
        <v>54</v>
      </c>
      <c r="R58" s="47"/>
      <c r="S58" s="47"/>
      <c r="T58" s="39" t="s">
        <v>970</v>
      </c>
      <c r="U58" s="80" t="str">
        <f>"352,6870"</f>
        <v>352,6870</v>
      </c>
      <c r="V58" s="24" t="s">
        <v>855</v>
      </c>
    </row>
    <row r="59" spans="1:22" ht="12.75">
      <c r="A59" s="40" t="s">
        <v>689</v>
      </c>
      <c r="B59" s="25" t="s">
        <v>273</v>
      </c>
      <c r="C59" s="25" t="s">
        <v>276</v>
      </c>
      <c r="D59" s="25" t="s">
        <v>275</v>
      </c>
      <c r="E59" s="25" t="str">
        <f>"0,5688"</f>
        <v>0,5688</v>
      </c>
      <c r="F59" s="25" t="s">
        <v>33</v>
      </c>
      <c r="G59" s="25" t="s">
        <v>34</v>
      </c>
      <c r="H59" s="50" t="s">
        <v>51</v>
      </c>
      <c r="I59" s="42" t="s">
        <v>220</v>
      </c>
      <c r="J59" s="42" t="s">
        <v>220</v>
      </c>
      <c r="K59" s="48"/>
      <c r="L59" s="50" t="s">
        <v>88</v>
      </c>
      <c r="M59" s="42" t="s">
        <v>53</v>
      </c>
      <c r="N59" s="42" t="s">
        <v>53</v>
      </c>
      <c r="O59" s="48"/>
      <c r="P59" s="50" t="s">
        <v>220</v>
      </c>
      <c r="Q59" s="50" t="s">
        <v>54</v>
      </c>
      <c r="R59" s="48"/>
      <c r="S59" s="48"/>
      <c r="T59" s="40" t="s">
        <v>970</v>
      </c>
      <c r="U59" s="81" t="str">
        <f>"363,6203"</f>
        <v>363,6203</v>
      </c>
      <c r="V59" s="25" t="s">
        <v>855</v>
      </c>
    </row>
    <row r="62" spans="2:3" ht="18">
      <c r="B62" s="27" t="s">
        <v>107</v>
      </c>
      <c r="C62" s="27"/>
    </row>
    <row r="63" spans="2:3" ht="15.75">
      <c r="B63" s="28" t="s">
        <v>116</v>
      </c>
      <c r="C63" s="28"/>
    </row>
    <row r="64" spans="2:3" ht="13.5">
      <c r="B64" s="30"/>
      <c r="C64" s="31" t="s">
        <v>109</v>
      </c>
    </row>
    <row r="65" spans="2:6" ht="13.5">
      <c r="B65" s="32" t="s">
        <v>110</v>
      </c>
      <c r="C65" s="32" t="s">
        <v>111</v>
      </c>
      <c r="D65" s="32" t="s">
        <v>112</v>
      </c>
      <c r="E65" s="32" t="s">
        <v>113</v>
      </c>
      <c r="F65" s="32" t="s">
        <v>114</v>
      </c>
    </row>
    <row r="66" spans="1:6" ht="12.75">
      <c r="A66" s="36" t="s">
        <v>689</v>
      </c>
      <c r="B66" s="29" t="s">
        <v>262</v>
      </c>
      <c r="C66" s="22" t="s">
        <v>109</v>
      </c>
      <c r="D66" s="22" t="s">
        <v>971</v>
      </c>
      <c r="E66" s="36" t="s">
        <v>278</v>
      </c>
      <c r="F66" s="33" t="s">
        <v>279</v>
      </c>
    </row>
    <row r="67" spans="1:6" ht="12.75">
      <c r="A67" s="36" t="s">
        <v>785</v>
      </c>
      <c r="B67" s="29" t="s">
        <v>229</v>
      </c>
      <c r="C67" s="22" t="s">
        <v>109</v>
      </c>
      <c r="D67" s="22" t="s">
        <v>846</v>
      </c>
      <c r="E67" s="36" t="s">
        <v>280</v>
      </c>
      <c r="F67" s="33" t="s">
        <v>281</v>
      </c>
    </row>
    <row r="68" spans="1:6" ht="12.75">
      <c r="A68" s="36" t="s">
        <v>786</v>
      </c>
      <c r="B68" s="29" t="s">
        <v>236</v>
      </c>
      <c r="C68" s="22" t="s">
        <v>109</v>
      </c>
      <c r="D68" s="22" t="s">
        <v>846</v>
      </c>
      <c r="E68" s="36" t="s">
        <v>282</v>
      </c>
      <c r="F68" s="33" t="s">
        <v>283</v>
      </c>
    </row>
  </sheetData>
  <sheetProtection/>
  <mergeCells count="26">
    <mergeCell ref="A3:A4"/>
    <mergeCell ref="B31:U31"/>
    <mergeCell ref="B36:U36"/>
    <mergeCell ref="B43:U43"/>
    <mergeCell ref="B50:U50"/>
    <mergeCell ref="B57:U57"/>
    <mergeCell ref="B14:U14"/>
    <mergeCell ref="B18:U18"/>
    <mergeCell ref="B22:U22"/>
    <mergeCell ref="B26:U26"/>
    <mergeCell ref="T3:T4"/>
    <mergeCell ref="U3:U4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F24" sqref="F24"/>
    </sheetView>
  </sheetViews>
  <sheetFormatPr defaultColWidth="11.00390625" defaultRowHeight="12.75"/>
  <cols>
    <col min="1" max="1" width="6.75390625" style="0" customWidth="1"/>
    <col min="2" max="2" width="22.75390625" style="0" customWidth="1"/>
    <col min="3" max="3" width="21.625" style="0" customWidth="1"/>
    <col min="4" max="4" width="11.375" style="0" customWidth="1"/>
    <col min="5" max="5" width="14.25390625" style="0" customWidth="1"/>
    <col min="6" max="6" width="26.125" style="0" customWidth="1"/>
    <col min="7" max="7" width="10.75390625" style="0" customWidth="1"/>
    <col min="8" max="8" width="21.625" style="0" customWidth="1"/>
    <col min="9" max="9" width="0.12890625" style="0" customWidth="1"/>
    <col min="10" max="16" width="10.75390625" style="0" hidden="1" customWidth="1"/>
  </cols>
  <sheetData>
    <row r="1" spans="1:16" ht="12.75">
      <c r="A1" s="1"/>
      <c r="B1" s="124" t="s">
        <v>1092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ht="88.5" customHeight="1" thickBo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16" ht="13.5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2</v>
      </c>
      <c r="F3" s="122" t="s">
        <v>692</v>
      </c>
      <c r="G3" s="132" t="s">
        <v>690</v>
      </c>
      <c r="H3" s="134" t="s">
        <v>10</v>
      </c>
      <c r="I3" s="4"/>
      <c r="J3" s="4"/>
      <c r="K3" s="4"/>
      <c r="L3" s="4"/>
      <c r="M3" s="4"/>
      <c r="N3" s="4"/>
      <c r="O3" s="4"/>
      <c r="P3" s="4"/>
    </row>
    <row r="4" spans="1:16" ht="15" thickBot="1">
      <c r="A4" s="131"/>
      <c r="B4" s="140"/>
      <c r="C4" s="133"/>
      <c r="D4" s="133"/>
      <c r="E4" s="133"/>
      <c r="F4" s="123"/>
      <c r="G4" s="133"/>
      <c r="H4" s="135"/>
      <c r="I4" s="4"/>
      <c r="J4" s="4"/>
      <c r="K4" s="4"/>
      <c r="L4" s="4"/>
      <c r="M4" s="4"/>
      <c r="N4" s="4"/>
      <c r="O4" s="4"/>
      <c r="P4" s="4"/>
    </row>
    <row r="5" spans="2:8" ht="15.75">
      <c r="B5" s="137" t="s">
        <v>796</v>
      </c>
      <c r="C5" s="137"/>
      <c r="D5" s="137"/>
      <c r="E5" s="137"/>
      <c r="F5" s="137"/>
      <c r="G5" s="138"/>
      <c r="H5" s="22"/>
    </row>
    <row r="6" spans="1:8" ht="12.75">
      <c r="A6" s="39" t="s">
        <v>689</v>
      </c>
      <c r="B6" s="24" t="s">
        <v>371</v>
      </c>
      <c r="C6" s="24" t="s">
        <v>372</v>
      </c>
      <c r="D6" s="24" t="s">
        <v>197</v>
      </c>
      <c r="E6" s="24" t="s">
        <v>15</v>
      </c>
      <c r="F6" s="24" t="s">
        <v>952</v>
      </c>
      <c r="G6" s="39" t="s">
        <v>1093</v>
      </c>
      <c r="H6" s="24" t="s">
        <v>374</v>
      </c>
    </row>
    <row r="7" spans="1:8" ht="12.75">
      <c r="A7" s="40" t="s">
        <v>785</v>
      </c>
      <c r="B7" s="25" t="s">
        <v>782</v>
      </c>
      <c r="C7" s="25" t="s">
        <v>783</v>
      </c>
      <c r="D7" s="25" t="s">
        <v>784</v>
      </c>
      <c r="E7" s="25" t="s">
        <v>15</v>
      </c>
      <c r="F7" s="25" t="s">
        <v>322</v>
      </c>
      <c r="G7" s="40" t="s">
        <v>1094</v>
      </c>
      <c r="H7" s="25" t="s">
        <v>1020</v>
      </c>
    </row>
    <row r="8" spans="1:8" ht="12.75">
      <c r="A8" s="36"/>
      <c r="B8" s="22"/>
      <c r="C8" s="22"/>
      <c r="D8" s="22"/>
      <c r="E8" s="22"/>
      <c r="F8" s="22"/>
      <c r="G8" s="36"/>
      <c r="H8" s="22"/>
    </row>
    <row r="9" spans="2:8" ht="15.75">
      <c r="B9" s="136" t="s">
        <v>797</v>
      </c>
      <c r="C9" s="136"/>
      <c r="D9" s="136"/>
      <c r="E9" s="136"/>
      <c r="F9" s="136"/>
      <c r="G9" s="136"/>
      <c r="H9" s="22"/>
    </row>
    <row r="10" spans="1:8" ht="12.75">
      <c r="A10" s="102" t="s">
        <v>689</v>
      </c>
      <c r="B10" s="85" t="s">
        <v>765</v>
      </c>
      <c r="C10" s="24" t="s">
        <v>766</v>
      </c>
      <c r="D10" s="24" t="s">
        <v>767</v>
      </c>
      <c r="E10" s="24" t="s">
        <v>15</v>
      </c>
      <c r="F10" s="24" t="s">
        <v>764</v>
      </c>
      <c r="G10" s="39" t="s">
        <v>1095</v>
      </c>
      <c r="H10" s="24" t="s">
        <v>45</v>
      </c>
    </row>
    <row r="11" spans="1:8" ht="12.75">
      <c r="A11" s="103" t="s">
        <v>785</v>
      </c>
      <c r="B11" s="101" t="s">
        <v>761</v>
      </c>
      <c r="C11" s="26" t="s">
        <v>762</v>
      </c>
      <c r="D11" s="26" t="s">
        <v>763</v>
      </c>
      <c r="E11" s="26" t="s">
        <v>15</v>
      </c>
      <c r="F11" s="26" t="s">
        <v>764</v>
      </c>
      <c r="G11" s="52" t="s">
        <v>1096</v>
      </c>
      <c r="H11" s="26" t="s">
        <v>45</v>
      </c>
    </row>
    <row r="12" spans="1:8" ht="12.75">
      <c r="A12" s="103" t="s">
        <v>786</v>
      </c>
      <c r="B12" s="101" t="s">
        <v>774</v>
      </c>
      <c r="C12" s="26" t="s">
        <v>643</v>
      </c>
      <c r="D12" s="26" t="s">
        <v>253</v>
      </c>
      <c r="E12" s="26" t="s">
        <v>99</v>
      </c>
      <c r="F12" s="26" t="s">
        <v>100</v>
      </c>
      <c r="G12" s="52" t="s">
        <v>1097</v>
      </c>
      <c r="H12" s="26" t="s">
        <v>45</v>
      </c>
    </row>
    <row r="13" spans="1:8" ht="12.75">
      <c r="A13" s="104">
        <v>4</v>
      </c>
      <c r="B13" s="105" t="s">
        <v>755</v>
      </c>
      <c r="C13" s="15" t="s">
        <v>756</v>
      </c>
      <c r="D13" s="106" t="s">
        <v>757</v>
      </c>
      <c r="E13" s="15" t="s">
        <v>99</v>
      </c>
      <c r="F13" s="106" t="s">
        <v>100</v>
      </c>
      <c r="G13" s="68" t="s">
        <v>1098</v>
      </c>
      <c r="H13" s="107" t="s">
        <v>758</v>
      </c>
    </row>
  </sheetData>
  <sheetProtection/>
  <mergeCells count="11">
    <mergeCell ref="F3:F4"/>
    <mergeCell ref="G3:G4"/>
    <mergeCell ref="H3:H4"/>
    <mergeCell ref="B5:G5"/>
    <mergeCell ref="B9:G9"/>
    <mergeCell ref="B1:P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workbookViewId="0" topLeftCell="A3">
      <selection activeCell="N25" sqref="N25"/>
    </sheetView>
  </sheetViews>
  <sheetFormatPr defaultColWidth="9.125" defaultRowHeight="12.75"/>
  <cols>
    <col min="1" max="1" width="7.875" style="66" bestFit="1" customWidth="1"/>
    <col min="2" max="2" width="19.25390625" style="57" customWidth="1"/>
    <col min="3" max="3" width="26.00390625" style="2" bestFit="1" customWidth="1"/>
    <col min="4" max="4" width="10.625" style="2" bestFit="1" customWidth="1"/>
    <col min="5" max="5" width="12.00390625" style="2" customWidth="1"/>
    <col min="6" max="6" width="14.875" style="5" customWidth="1"/>
    <col min="7" max="7" width="36.125" style="5" customWidth="1"/>
    <col min="8" max="10" width="5.625" style="66" bestFit="1" customWidth="1"/>
    <col min="11" max="11" width="5.125" style="66" bestFit="1" customWidth="1"/>
    <col min="12" max="14" width="5.625" style="66" bestFit="1" customWidth="1"/>
    <col min="15" max="15" width="5.125" style="66" bestFit="1" customWidth="1"/>
    <col min="16" max="18" width="5.625" style="66" bestFit="1" customWidth="1"/>
    <col min="19" max="19" width="5.125" style="66" bestFit="1" customWidth="1"/>
    <col min="20" max="20" width="7.875" style="66" bestFit="1" customWidth="1"/>
    <col min="21" max="21" width="8.625" style="2" bestFit="1" customWidth="1"/>
    <col min="22" max="22" width="20.00390625" style="5" bestFit="1" customWidth="1"/>
    <col min="23" max="16384" width="9.125" style="1" customWidth="1"/>
  </cols>
  <sheetData>
    <row r="1" spans="1:22" ht="15" customHeight="1">
      <c r="A1" s="1"/>
      <c r="B1" s="124" t="s">
        <v>1031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spans="1:22" ht="77.25" customHeight="1" thickBo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s="4" customFormat="1" ht="12.75" customHeight="1">
      <c r="A3" s="130" t="s">
        <v>688</v>
      </c>
      <c r="B3" s="176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4</v>
      </c>
      <c r="I3" s="132"/>
      <c r="J3" s="132"/>
      <c r="K3" s="146"/>
      <c r="L3" s="139" t="s">
        <v>5</v>
      </c>
      <c r="M3" s="132"/>
      <c r="N3" s="132"/>
      <c r="O3" s="146"/>
      <c r="P3" s="139" t="s">
        <v>6</v>
      </c>
      <c r="Q3" s="132"/>
      <c r="R3" s="132"/>
      <c r="S3" s="146"/>
      <c r="T3" s="130" t="s">
        <v>8</v>
      </c>
      <c r="U3" s="132" t="s">
        <v>9</v>
      </c>
      <c r="V3" s="146" t="s">
        <v>10</v>
      </c>
    </row>
    <row r="4" spans="1:22" s="4" customFormat="1" ht="23.25" customHeight="1" thickBot="1">
      <c r="A4" s="131"/>
      <c r="B4" s="177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6">
        <v>1</v>
      </c>
      <c r="M4" s="7">
        <v>2</v>
      </c>
      <c r="N4" s="7">
        <v>3</v>
      </c>
      <c r="O4" s="8" t="s">
        <v>7</v>
      </c>
      <c r="P4" s="6">
        <v>1</v>
      </c>
      <c r="Q4" s="7">
        <v>2</v>
      </c>
      <c r="R4" s="7">
        <v>3</v>
      </c>
      <c r="S4" s="8" t="s">
        <v>7</v>
      </c>
      <c r="T4" s="131"/>
      <c r="U4" s="133"/>
      <c r="V4" s="147"/>
    </row>
    <row r="5" spans="2:22" s="2" customFormat="1" ht="15.75">
      <c r="B5" s="145" t="s">
        <v>12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5"/>
    </row>
    <row r="6" spans="1:22" s="2" customFormat="1" ht="12.75">
      <c r="A6" s="46" t="s">
        <v>689</v>
      </c>
      <c r="B6" s="10" t="s">
        <v>981</v>
      </c>
      <c r="C6" s="9" t="s">
        <v>13</v>
      </c>
      <c r="D6" s="9" t="s">
        <v>14</v>
      </c>
      <c r="E6" s="9" t="str">
        <f>"0,9007"</f>
        <v>0,9007</v>
      </c>
      <c r="F6" s="10" t="s">
        <v>15</v>
      </c>
      <c r="G6" s="10" t="s">
        <v>16</v>
      </c>
      <c r="H6" s="38" t="s">
        <v>17</v>
      </c>
      <c r="I6" s="38" t="s">
        <v>18</v>
      </c>
      <c r="J6" s="38" t="s">
        <v>19</v>
      </c>
      <c r="K6" s="70"/>
      <c r="L6" s="38" t="s">
        <v>20</v>
      </c>
      <c r="M6" s="74" t="s">
        <v>21</v>
      </c>
      <c r="N6" s="74" t="s">
        <v>21</v>
      </c>
      <c r="O6" s="70"/>
      <c r="P6" s="38" t="s">
        <v>22</v>
      </c>
      <c r="Q6" s="38" t="s">
        <v>23</v>
      </c>
      <c r="R6" s="74" t="s">
        <v>24</v>
      </c>
      <c r="S6" s="70"/>
      <c r="T6" s="46" t="s">
        <v>960</v>
      </c>
      <c r="U6" s="46" t="str">
        <f>"315,2625"</f>
        <v>315,2625</v>
      </c>
      <c r="V6" s="10" t="s">
        <v>45</v>
      </c>
    </row>
    <row r="8" spans="1:21" ht="15.75">
      <c r="A8" s="1"/>
      <c r="B8" s="144" t="s">
        <v>25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</row>
    <row r="9" spans="1:22" ht="12.75">
      <c r="A9" s="46" t="s">
        <v>689</v>
      </c>
      <c r="B9" s="10" t="s">
        <v>862</v>
      </c>
      <c r="C9" s="9" t="s">
        <v>31</v>
      </c>
      <c r="D9" s="9" t="s">
        <v>32</v>
      </c>
      <c r="E9" s="9" t="str">
        <f>"0,6940"</f>
        <v>0,6940</v>
      </c>
      <c r="F9" s="10" t="s">
        <v>33</v>
      </c>
      <c r="G9" s="10" t="s">
        <v>34</v>
      </c>
      <c r="H9" s="38" t="s">
        <v>35</v>
      </c>
      <c r="I9" s="38" t="s">
        <v>36</v>
      </c>
      <c r="J9" s="38" t="s">
        <v>22</v>
      </c>
      <c r="K9" s="70"/>
      <c r="L9" s="38" t="s">
        <v>17</v>
      </c>
      <c r="M9" s="38" t="s">
        <v>37</v>
      </c>
      <c r="N9" s="74" t="s">
        <v>38</v>
      </c>
      <c r="O9" s="70"/>
      <c r="P9" s="74" t="s">
        <v>39</v>
      </c>
      <c r="Q9" s="38" t="s">
        <v>39</v>
      </c>
      <c r="R9" s="74" t="s">
        <v>40</v>
      </c>
      <c r="S9" s="70"/>
      <c r="T9" s="46" t="s">
        <v>989</v>
      </c>
      <c r="U9" s="46" t="str">
        <f>"301,8900"</f>
        <v>301,8900</v>
      </c>
      <c r="V9" s="10" t="s">
        <v>872</v>
      </c>
    </row>
    <row r="11" spans="1:21" ht="15.75">
      <c r="A11" s="1"/>
      <c r="B11" s="144" t="s">
        <v>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</row>
    <row r="12" spans="1:22" ht="12.75">
      <c r="A12" s="67"/>
      <c r="B12" s="58" t="s">
        <v>42</v>
      </c>
      <c r="C12" s="11" t="s">
        <v>43</v>
      </c>
      <c r="D12" s="11" t="s">
        <v>44</v>
      </c>
      <c r="E12" s="11" t="str">
        <f>"0,6269"</f>
        <v>0,6269</v>
      </c>
      <c r="F12" s="14" t="s">
        <v>15</v>
      </c>
      <c r="G12" s="14" t="s">
        <v>820</v>
      </c>
      <c r="H12" s="75" t="s">
        <v>17</v>
      </c>
      <c r="I12" s="75" t="s">
        <v>17</v>
      </c>
      <c r="J12" s="75" t="s">
        <v>35</v>
      </c>
      <c r="K12" s="75"/>
      <c r="L12" s="75"/>
      <c r="M12" s="75"/>
      <c r="N12" s="75"/>
      <c r="O12" s="75"/>
      <c r="P12" s="75"/>
      <c r="Q12" s="75"/>
      <c r="R12" s="75"/>
      <c r="S12" s="75"/>
      <c r="T12" s="67">
        <v>0</v>
      </c>
      <c r="U12" s="67" t="s">
        <v>801</v>
      </c>
      <c r="V12" s="14" t="s">
        <v>45</v>
      </c>
    </row>
    <row r="13" spans="1:22" ht="12.75">
      <c r="A13" s="68" t="s">
        <v>689</v>
      </c>
      <c r="B13" s="15" t="s">
        <v>982</v>
      </c>
      <c r="C13" s="12" t="s">
        <v>46</v>
      </c>
      <c r="D13" s="12" t="s">
        <v>47</v>
      </c>
      <c r="E13" s="12" t="str">
        <f>"0,6373"</f>
        <v>0,6373</v>
      </c>
      <c r="F13" s="15" t="s">
        <v>48</v>
      </c>
      <c r="G13" s="15" t="s">
        <v>49</v>
      </c>
      <c r="H13" s="50" t="s">
        <v>40</v>
      </c>
      <c r="I13" s="50" t="s">
        <v>50</v>
      </c>
      <c r="J13" s="50" t="s">
        <v>51</v>
      </c>
      <c r="K13" s="72"/>
      <c r="L13" s="50" t="s">
        <v>52</v>
      </c>
      <c r="M13" s="76" t="s">
        <v>53</v>
      </c>
      <c r="N13" s="50" t="s">
        <v>53</v>
      </c>
      <c r="O13" s="72"/>
      <c r="P13" s="50" t="s">
        <v>54</v>
      </c>
      <c r="Q13" s="50" t="s">
        <v>55</v>
      </c>
      <c r="R13" s="50" t="s">
        <v>56</v>
      </c>
      <c r="S13" s="72"/>
      <c r="T13" s="68" t="s">
        <v>987</v>
      </c>
      <c r="U13" s="68" t="str">
        <f>"414,2125"</f>
        <v>414,2125</v>
      </c>
      <c r="V13" s="15" t="s">
        <v>930</v>
      </c>
    </row>
    <row r="15" spans="1:21" ht="15.75">
      <c r="A15" s="1"/>
      <c r="B15" s="144" t="s">
        <v>57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</row>
    <row r="16" spans="1:22" ht="12.75">
      <c r="A16" s="67" t="s">
        <v>689</v>
      </c>
      <c r="B16" s="14" t="s">
        <v>58</v>
      </c>
      <c r="C16" s="11" t="s">
        <v>59</v>
      </c>
      <c r="D16" s="11" t="s">
        <v>60</v>
      </c>
      <c r="E16" s="11" t="str">
        <f>"0,5885"</f>
        <v>0,5885</v>
      </c>
      <c r="F16" s="14" t="s">
        <v>15</v>
      </c>
      <c r="G16" s="14" t="s">
        <v>16</v>
      </c>
      <c r="H16" s="49" t="s">
        <v>55</v>
      </c>
      <c r="I16" s="75" t="s">
        <v>61</v>
      </c>
      <c r="J16" s="75" t="s">
        <v>61</v>
      </c>
      <c r="K16" s="71"/>
      <c r="L16" s="49" t="s">
        <v>62</v>
      </c>
      <c r="M16" s="49" t="s">
        <v>63</v>
      </c>
      <c r="N16" s="75" t="s">
        <v>64</v>
      </c>
      <c r="O16" s="71"/>
      <c r="P16" s="49" t="s">
        <v>56</v>
      </c>
      <c r="Q16" s="49" t="s">
        <v>65</v>
      </c>
      <c r="R16" s="75" t="s">
        <v>66</v>
      </c>
      <c r="S16" s="71"/>
      <c r="T16" s="67">
        <v>707.5</v>
      </c>
      <c r="U16" s="67" t="str">
        <f>"416,3991"</f>
        <v>416,3991</v>
      </c>
      <c r="V16" s="14" t="s">
        <v>45</v>
      </c>
    </row>
    <row r="17" spans="1:22" ht="12.75">
      <c r="A17" s="69" t="s">
        <v>785</v>
      </c>
      <c r="B17" s="16" t="s">
        <v>983</v>
      </c>
      <c r="C17" s="13" t="s">
        <v>68</v>
      </c>
      <c r="D17" s="13" t="s">
        <v>69</v>
      </c>
      <c r="E17" s="13" t="str">
        <f>"0,6029"</f>
        <v>0,6029</v>
      </c>
      <c r="F17" s="16" t="s">
        <v>15</v>
      </c>
      <c r="G17" s="16" t="s">
        <v>820</v>
      </c>
      <c r="H17" s="53" t="s">
        <v>40</v>
      </c>
      <c r="I17" s="77" t="s">
        <v>50</v>
      </c>
      <c r="J17" s="77" t="s">
        <v>50</v>
      </c>
      <c r="K17" s="73"/>
      <c r="L17" s="53" t="s">
        <v>62</v>
      </c>
      <c r="M17" s="53" t="s">
        <v>64</v>
      </c>
      <c r="N17" s="53" t="s">
        <v>70</v>
      </c>
      <c r="O17" s="73"/>
      <c r="P17" s="53" t="s">
        <v>71</v>
      </c>
      <c r="Q17" s="53" t="s">
        <v>72</v>
      </c>
      <c r="R17" s="77" t="s">
        <v>73</v>
      </c>
      <c r="S17" s="73"/>
      <c r="T17" s="69">
        <v>697.5</v>
      </c>
      <c r="U17" s="69" t="str">
        <f>"420,5576"</f>
        <v>420,5576</v>
      </c>
      <c r="V17" s="16" t="s">
        <v>45</v>
      </c>
    </row>
    <row r="18" spans="1:22" ht="12.75">
      <c r="A18" s="69" t="s">
        <v>786</v>
      </c>
      <c r="B18" s="16" t="s">
        <v>74</v>
      </c>
      <c r="C18" s="13" t="s">
        <v>75</v>
      </c>
      <c r="D18" s="13" t="s">
        <v>76</v>
      </c>
      <c r="E18" s="13" t="str">
        <f>"0,5813"</f>
        <v>0,5813</v>
      </c>
      <c r="F18" s="16" t="s">
        <v>77</v>
      </c>
      <c r="G18" s="16" t="s">
        <v>78</v>
      </c>
      <c r="H18" s="53" t="s">
        <v>79</v>
      </c>
      <c r="I18" s="77" t="s">
        <v>80</v>
      </c>
      <c r="J18" s="53" t="s">
        <v>80</v>
      </c>
      <c r="K18" s="73"/>
      <c r="L18" s="53" t="s">
        <v>81</v>
      </c>
      <c r="M18" s="53" t="s">
        <v>82</v>
      </c>
      <c r="N18" s="77" t="s">
        <v>52</v>
      </c>
      <c r="O18" s="73"/>
      <c r="P18" s="53" t="s">
        <v>56</v>
      </c>
      <c r="Q18" s="53" t="s">
        <v>83</v>
      </c>
      <c r="R18" s="77" t="s">
        <v>84</v>
      </c>
      <c r="S18" s="73"/>
      <c r="T18" s="69">
        <v>672.5</v>
      </c>
      <c r="U18" s="69" t="str">
        <f>"390,9243"</f>
        <v>390,9243</v>
      </c>
      <c r="V18" s="16" t="s">
        <v>901</v>
      </c>
    </row>
    <row r="19" spans="1:22" ht="12.75">
      <c r="A19" s="69" t="s">
        <v>787</v>
      </c>
      <c r="B19" s="16" t="s">
        <v>984</v>
      </c>
      <c r="C19" s="13" t="s">
        <v>85</v>
      </c>
      <c r="D19" s="13" t="s">
        <v>86</v>
      </c>
      <c r="E19" s="13" t="str">
        <f>"0,5870"</f>
        <v>0,5870</v>
      </c>
      <c r="F19" s="16" t="s">
        <v>33</v>
      </c>
      <c r="G19" s="16" t="s">
        <v>87</v>
      </c>
      <c r="H19" s="53" t="s">
        <v>39</v>
      </c>
      <c r="I19" s="53" t="s">
        <v>40</v>
      </c>
      <c r="J19" s="53" t="s">
        <v>50</v>
      </c>
      <c r="K19" s="73"/>
      <c r="L19" s="77" t="s">
        <v>88</v>
      </c>
      <c r="M19" s="53" t="s">
        <v>62</v>
      </c>
      <c r="N19" s="77" t="s">
        <v>89</v>
      </c>
      <c r="O19" s="73"/>
      <c r="P19" s="53" t="s">
        <v>90</v>
      </c>
      <c r="Q19" s="77" t="s">
        <v>61</v>
      </c>
      <c r="R19" s="73"/>
      <c r="S19" s="73"/>
      <c r="T19" s="69" t="s">
        <v>955</v>
      </c>
      <c r="U19" s="69" t="str">
        <f>"369,7785"</f>
        <v>369,7785</v>
      </c>
      <c r="V19" s="16" t="s">
        <v>872</v>
      </c>
    </row>
    <row r="20" spans="1:22" ht="12.75">
      <c r="A20" s="68" t="s">
        <v>789</v>
      </c>
      <c r="B20" s="15" t="s">
        <v>985</v>
      </c>
      <c r="C20" s="12" t="s">
        <v>91</v>
      </c>
      <c r="D20" s="12" t="s">
        <v>92</v>
      </c>
      <c r="E20" s="12" t="str">
        <f>"0,5846"</f>
        <v>0,5846</v>
      </c>
      <c r="F20" s="15" t="s">
        <v>48</v>
      </c>
      <c r="G20" s="15" t="s">
        <v>49</v>
      </c>
      <c r="H20" s="76" t="s">
        <v>62</v>
      </c>
      <c r="I20" s="50" t="s">
        <v>64</v>
      </c>
      <c r="J20" s="50" t="s">
        <v>39</v>
      </c>
      <c r="K20" s="72"/>
      <c r="L20" s="50" t="s">
        <v>37</v>
      </c>
      <c r="M20" s="50" t="s">
        <v>35</v>
      </c>
      <c r="N20" s="50" t="s">
        <v>36</v>
      </c>
      <c r="O20" s="72"/>
      <c r="P20" s="50" t="s">
        <v>39</v>
      </c>
      <c r="Q20" s="76" t="s">
        <v>93</v>
      </c>
      <c r="R20" s="50" t="s">
        <v>94</v>
      </c>
      <c r="S20" s="72"/>
      <c r="T20" s="68" t="s">
        <v>988</v>
      </c>
      <c r="U20" s="68" t="str">
        <f>"312,7343"</f>
        <v>312,7343</v>
      </c>
      <c r="V20" s="15" t="s">
        <v>978</v>
      </c>
    </row>
    <row r="22" spans="1:21" ht="15.75">
      <c r="A22" s="1"/>
      <c r="B22" s="144" t="s">
        <v>95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1:22" ht="12.75">
      <c r="A23" s="46" t="s">
        <v>689</v>
      </c>
      <c r="B23" s="10" t="s">
        <v>986</v>
      </c>
      <c r="C23" s="9" t="s">
        <v>97</v>
      </c>
      <c r="D23" s="9" t="s">
        <v>98</v>
      </c>
      <c r="E23" s="9" t="str">
        <f>"0,5652"</f>
        <v>0,5652</v>
      </c>
      <c r="F23" s="10" t="s">
        <v>99</v>
      </c>
      <c r="G23" s="10" t="s">
        <v>100</v>
      </c>
      <c r="H23" s="38" t="s">
        <v>101</v>
      </c>
      <c r="I23" s="38" t="s">
        <v>102</v>
      </c>
      <c r="J23" s="74" t="s">
        <v>103</v>
      </c>
      <c r="K23" s="70"/>
      <c r="L23" s="38" t="s">
        <v>51</v>
      </c>
      <c r="M23" s="38" t="s">
        <v>104</v>
      </c>
      <c r="N23" s="74" t="s">
        <v>105</v>
      </c>
      <c r="O23" s="70"/>
      <c r="P23" s="38" t="s">
        <v>71</v>
      </c>
      <c r="Q23" s="38" t="s">
        <v>102</v>
      </c>
      <c r="R23" s="74" t="s">
        <v>106</v>
      </c>
      <c r="S23" s="70"/>
      <c r="T23" s="46">
        <v>872.5</v>
      </c>
      <c r="U23" s="46" t="str">
        <f>"493,1370"</f>
        <v>493,1370</v>
      </c>
      <c r="V23" s="10" t="s">
        <v>45</v>
      </c>
    </row>
    <row r="25" spans="2:3" ht="18">
      <c r="B25" s="61" t="s">
        <v>107</v>
      </c>
      <c r="C25" s="17"/>
    </row>
    <row r="26" spans="2:3" ht="15.75">
      <c r="B26" s="62" t="s">
        <v>116</v>
      </c>
      <c r="C26" s="18"/>
    </row>
    <row r="27" spans="2:3" ht="13.5">
      <c r="B27" s="63"/>
      <c r="C27" s="19" t="s">
        <v>109</v>
      </c>
    </row>
    <row r="28" spans="2:6" ht="13.5">
      <c r="B28" s="20" t="s">
        <v>110</v>
      </c>
      <c r="C28" s="20" t="s">
        <v>111</v>
      </c>
      <c r="D28" s="20" t="s">
        <v>112</v>
      </c>
      <c r="E28" s="20" t="s">
        <v>113</v>
      </c>
      <c r="F28" s="20" t="s">
        <v>114</v>
      </c>
    </row>
    <row r="29" spans="1:6" ht="12.75">
      <c r="A29" s="66" t="s">
        <v>689</v>
      </c>
      <c r="B29" s="65" t="s">
        <v>96</v>
      </c>
      <c r="C29" s="2" t="s">
        <v>109</v>
      </c>
      <c r="D29" s="2" t="s">
        <v>37</v>
      </c>
      <c r="E29" s="66" t="s">
        <v>117</v>
      </c>
      <c r="F29" s="3" t="s">
        <v>118</v>
      </c>
    </row>
    <row r="30" spans="1:6" ht="12.75">
      <c r="A30" s="66" t="s">
        <v>785</v>
      </c>
      <c r="B30" s="65" t="s">
        <v>67</v>
      </c>
      <c r="C30" s="2" t="s">
        <v>109</v>
      </c>
      <c r="D30" s="2" t="s">
        <v>17</v>
      </c>
      <c r="E30" s="66" t="s">
        <v>119</v>
      </c>
      <c r="F30" s="3" t="s">
        <v>120</v>
      </c>
    </row>
    <row r="31" spans="1:6" ht="12.75">
      <c r="A31" s="66" t="s">
        <v>786</v>
      </c>
      <c r="B31" s="65" t="s">
        <v>58</v>
      </c>
      <c r="C31" s="2" t="s">
        <v>109</v>
      </c>
      <c r="D31" s="2" t="s">
        <v>971</v>
      </c>
      <c r="E31" s="66" t="s">
        <v>121</v>
      </c>
      <c r="F31" s="3" t="s">
        <v>122</v>
      </c>
    </row>
  </sheetData>
  <sheetProtection/>
  <mergeCells count="19">
    <mergeCell ref="A3:A4"/>
    <mergeCell ref="B11:U11"/>
    <mergeCell ref="B15:U15"/>
    <mergeCell ref="B22:U22"/>
    <mergeCell ref="V3:V4"/>
    <mergeCell ref="G3:G4"/>
    <mergeCell ref="F3:F4"/>
    <mergeCell ref="B5:U5"/>
    <mergeCell ref="B8:U8"/>
    <mergeCell ref="E3:E4"/>
    <mergeCell ref="T3:T4"/>
    <mergeCell ref="U3:U4"/>
    <mergeCell ref="B1:V2"/>
    <mergeCell ref="H3:K3"/>
    <mergeCell ref="L3:O3"/>
    <mergeCell ref="P3:S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65"/>
  <headerFooter alignWithMargins="0">
    <oddFooter>&amp;L&amp;G&amp;R&amp;D&amp;T&amp;P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L19" sqref="L19"/>
    </sheetView>
  </sheetViews>
  <sheetFormatPr defaultColWidth="11.00390625" defaultRowHeight="12.75"/>
  <cols>
    <col min="13" max="13" width="55.75390625" style="0" customWidth="1"/>
  </cols>
  <sheetData>
    <row r="1" spans="1:13" ht="115.5" customHeight="1">
      <c r="A1" s="149" t="s">
        <v>1067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3" ht="30" thickBot="1">
      <c r="A2" s="178" t="s">
        <v>1062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4" spans="1:13" ht="15.75">
      <c r="A4" s="96" t="s">
        <v>1063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5.75">
      <c r="A5" s="96" t="s">
        <v>1059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5.75">
      <c r="A6" s="96" t="s">
        <v>1060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15.75">
      <c r="A7" s="96" t="s">
        <v>1061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5.75">
      <c r="A8" s="96" t="s">
        <v>1064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ht="15.75">
      <c r="A9" s="96" t="s">
        <v>1065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15.75">
      <c r="A10" s="96" t="s">
        <v>1066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B1">
      <selection activeCell="G18" sqref="G18"/>
    </sheetView>
  </sheetViews>
  <sheetFormatPr defaultColWidth="11.00390625" defaultRowHeight="12.75"/>
  <cols>
    <col min="13" max="13" width="21.375" style="0" customWidth="1"/>
  </cols>
  <sheetData>
    <row r="1" spans="1:13" ht="144.75" customHeight="1">
      <c r="A1" s="149" t="s">
        <v>1068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3" ht="30" thickBot="1">
      <c r="A2" s="178" t="s">
        <v>1062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4" spans="1:4" ht="12.75">
      <c r="A4" t="s">
        <v>1036</v>
      </c>
      <c r="D4">
        <v>79</v>
      </c>
    </row>
    <row r="5" spans="1:4" ht="12.75">
      <c r="A5" t="s">
        <v>1048</v>
      </c>
      <c r="D5">
        <v>58</v>
      </c>
    </row>
    <row r="6" spans="1:4" ht="12.75">
      <c r="A6" t="s">
        <v>1069</v>
      </c>
      <c r="D6">
        <v>45</v>
      </c>
    </row>
    <row r="7" spans="1:4" ht="12.75">
      <c r="A7" t="s">
        <v>1070</v>
      </c>
      <c r="D7">
        <v>44</v>
      </c>
    </row>
    <row r="8" spans="1:4" ht="12" customHeight="1">
      <c r="A8" t="s">
        <v>1027</v>
      </c>
      <c r="D8">
        <v>37</v>
      </c>
    </row>
    <row r="9" spans="1:4" ht="12" customHeight="1">
      <c r="A9" t="s">
        <v>1071</v>
      </c>
      <c r="D9">
        <v>33</v>
      </c>
    </row>
    <row r="10" spans="1:4" ht="12" customHeight="1">
      <c r="A10" t="s">
        <v>1072</v>
      </c>
      <c r="D10">
        <v>27</v>
      </c>
    </row>
    <row r="11" spans="1:4" ht="12" customHeight="1">
      <c r="A11" t="s">
        <v>1084</v>
      </c>
      <c r="D11">
        <v>16</v>
      </c>
    </row>
    <row r="12" spans="1:4" ht="12.75">
      <c r="A12" t="s">
        <v>1034</v>
      </c>
      <c r="D12">
        <v>14</v>
      </c>
    </row>
    <row r="13" spans="1:4" ht="12.75">
      <c r="A13" t="s">
        <v>1073</v>
      </c>
      <c r="D13">
        <v>13</v>
      </c>
    </row>
    <row r="14" spans="1:4" ht="12.75">
      <c r="A14" t="s">
        <v>1077</v>
      </c>
      <c r="D14">
        <v>12</v>
      </c>
    </row>
    <row r="15" spans="1:4" ht="12.75">
      <c r="A15" t="s">
        <v>1075</v>
      </c>
      <c r="D15">
        <v>11</v>
      </c>
    </row>
    <row r="16" spans="1:4" ht="12.75">
      <c r="A16" t="s">
        <v>1074</v>
      </c>
      <c r="D16">
        <v>9</v>
      </c>
    </row>
    <row r="17" spans="1:4" ht="12.75">
      <c r="A17" t="s">
        <v>1078</v>
      </c>
      <c r="D17">
        <v>6</v>
      </c>
    </row>
    <row r="18" spans="1:4" ht="12.75">
      <c r="A18" t="s">
        <v>1076</v>
      </c>
      <c r="D18">
        <v>3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F32" sqref="F32"/>
    </sheetView>
  </sheetViews>
  <sheetFormatPr defaultColWidth="8.75390625" defaultRowHeight="12.75"/>
  <cols>
    <col min="1" max="1" width="9.00390625" style="36" customWidth="1"/>
    <col min="2" max="2" width="22.375" style="22" customWidth="1"/>
    <col min="3" max="3" width="27.625" style="22" customWidth="1"/>
    <col min="4" max="4" width="10.625" style="22" bestFit="1" customWidth="1"/>
    <col min="5" max="5" width="15.875" style="22" customWidth="1"/>
    <col min="6" max="6" width="32.375" style="22" bestFit="1" customWidth="1"/>
    <col min="7" max="7" width="12.125" style="36" customWidth="1"/>
    <col min="8" max="8" width="15.25390625" style="22" customWidth="1"/>
    <col min="9" max="16" width="9.125" style="0" hidden="1" customWidth="1"/>
  </cols>
  <sheetData>
    <row r="1" spans="2:16" s="1" customFormat="1" ht="15" customHeight="1">
      <c r="B1" s="124" t="s">
        <v>1024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2:16" s="1" customFormat="1" ht="73.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8" s="4" customFormat="1" ht="12.75" customHeight="1">
      <c r="A3" s="142" t="s">
        <v>688</v>
      </c>
      <c r="B3" s="139" t="s">
        <v>0</v>
      </c>
      <c r="C3" s="141" t="s">
        <v>1</v>
      </c>
      <c r="D3" s="141" t="s">
        <v>800</v>
      </c>
      <c r="E3" s="132" t="s">
        <v>2</v>
      </c>
      <c r="F3" s="122" t="s">
        <v>692</v>
      </c>
      <c r="G3" s="132" t="s">
        <v>690</v>
      </c>
      <c r="H3" s="134" t="s">
        <v>10</v>
      </c>
    </row>
    <row r="4" spans="1:8" s="4" customFormat="1" ht="23.25" customHeight="1" thickBot="1">
      <c r="A4" s="143"/>
      <c r="B4" s="140"/>
      <c r="C4" s="133"/>
      <c r="D4" s="133"/>
      <c r="E4" s="133"/>
      <c r="F4" s="123"/>
      <c r="G4" s="133"/>
      <c r="H4" s="135"/>
    </row>
    <row r="5" spans="1:7" ht="15.75">
      <c r="A5"/>
      <c r="B5" s="137" t="s">
        <v>769</v>
      </c>
      <c r="C5" s="137"/>
      <c r="D5" s="137"/>
      <c r="E5" s="137"/>
      <c r="F5" s="137"/>
      <c r="G5" s="138"/>
    </row>
    <row r="6" spans="1:8" ht="12.75">
      <c r="A6" s="35" t="s">
        <v>689</v>
      </c>
      <c r="B6" s="23" t="s">
        <v>770</v>
      </c>
      <c r="C6" s="23" t="s">
        <v>771</v>
      </c>
      <c r="D6" s="23" t="s">
        <v>772</v>
      </c>
      <c r="E6" s="23" t="s">
        <v>1027</v>
      </c>
      <c r="F6" s="23" t="s">
        <v>773</v>
      </c>
      <c r="G6" s="35" t="s">
        <v>23</v>
      </c>
      <c r="H6" s="23" t="s">
        <v>45</v>
      </c>
    </row>
    <row r="8" spans="1:7" ht="15.75">
      <c r="A8"/>
      <c r="B8" s="136" t="s">
        <v>41</v>
      </c>
      <c r="C8" s="136"/>
      <c r="D8" s="136"/>
      <c r="E8" s="136"/>
      <c r="F8" s="136"/>
      <c r="G8" s="136"/>
    </row>
    <row r="9" spans="1:8" ht="12.75">
      <c r="A9" s="35" t="s">
        <v>689</v>
      </c>
      <c r="B9" s="23" t="s">
        <v>774</v>
      </c>
      <c r="C9" s="23" t="s">
        <v>643</v>
      </c>
      <c r="D9" s="23" t="s">
        <v>253</v>
      </c>
      <c r="E9" s="23" t="s">
        <v>99</v>
      </c>
      <c r="F9" s="23" t="s">
        <v>100</v>
      </c>
      <c r="G9" s="35" t="s">
        <v>39</v>
      </c>
      <c r="H9" s="23" t="s">
        <v>45</v>
      </c>
    </row>
    <row r="11" spans="1:7" ht="15.75">
      <c r="A11"/>
      <c r="B11" s="136" t="s">
        <v>57</v>
      </c>
      <c r="C11" s="136"/>
      <c r="D11" s="136"/>
      <c r="E11" s="136"/>
      <c r="F11" s="136"/>
      <c r="G11" s="136"/>
    </row>
    <row r="12" spans="1:8" ht="12.75">
      <c r="A12" s="39" t="s">
        <v>689</v>
      </c>
      <c r="B12" s="24" t="s">
        <v>775</v>
      </c>
      <c r="C12" s="24" t="s">
        <v>776</v>
      </c>
      <c r="D12" s="24" t="s">
        <v>264</v>
      </c>
      <c r="E12" s="24" t="s">
        <v>99</v>
      </c>
      <c r="F12" s="24" t="s">
        <v>100</v>
      </c>
      <c r="G12" s="39" t="s">
        <v>88</v>
      </c>
      <c r="H12" s="24" t="s">
        <v>45</v>
      </c>
    </row>
    <row r="13" spans="1:8" ht="12.75">
      <c r="A13" s="52" t="s">
        <v>785</v>
      </c>
      <c r="B13" s="26" t="s">
        <v>759</v>
      </c>
      <c r="C13" s="26" t="s">
        <v>760</v>
      </c>
      <c r="D13" s="26" t="s">
        <v>607</v>
      </c>
      <c r="E13" s="26" t="s">
        <v>99</v>
      </c>
      <c r="F13" s="26" t="s">
        <v>100</v>
      </c>
      <c r="G13" s="52" t="s">
        <v>23</v>
      </c>
      <c r="H13" s="26" t="s">
        <v>814</v>
      </c>
    </row>
    <row r="14" spans="1:8" ht="12.75">
      <c r="A14" s="40" t="s">
        <v>689</v>
      </c>
      <c r="B14" s="25" t="s">
        <v>775</v>
      </c>
      <c r="C14" s="25" t="s">
        <v>777</v>
      </c>
      <c r="D14" s="25" t="s">
        <v>264</v>
      </c>
      <c r="E14" s="25" t="s">
        <v>99</v>
      </c>
      <c r="F14" s="25" t="s">
        <v>100</v>
      </c>
      <c r="G14" s="40" t="s">
        <v>88</v>
      </c>
      <c r="H14" s="25" t="s">
        <v>45</v>
      </c>
    </row>
    <row r="16" spans="1:7" ht="15.75">
      <c r="A16"/>
      <c r="B16" s="136" t="s">
        <v>95</v>
      </c>
      <c r="C16" s="136"/>
      <c r="D16" s="136"/>
      <c r="E16" s="136"/>
      <c r="F16" s="136"/>
      <c r="G16" s="136"/>
    </row>
    <row r="17" spans="1:8" ht="12.75">
      <c r="A17" s="35" t="s">
        <v>689</v>
      </c>
      <c r="B17" s="23" t="s">
        <v>761</v>
      </c>
      <c r="C17" s="23" t="s">
        <v>762</v>
      </c>
      <c r="D17" s="23" t="s">
        <v>763</v>
      </c>
      <c r="E17" s="23" t="s">
        <v>15</v>
      </c>
      <c r="F17" s="23" t="s">
        <v>764</v>
      </c>
      <c r="G17" s="35" t="s">
        <v>23</v>
      </c>
      <c r="H17" s="23" t="s">
        <v>45</v>
      </c>
    </row>
    <row r="19" spans="1:7" ht="15.75">
      <c r="A19"/>
      <c r="B19" s="136" t="s">
        <v>420</v>
      </c>
      <c r="C19" s="136"/>
      <c r="D19" s="136"/>
      <c r="E19" s="136"/>
      <c r="F19" s="136"/>
      <c r="G19" s="136"/>
    </row>
    <row r="20" spans="1:8" ht="12.75">
      <c r="A20" s="35" t="s">
        <v>689</v>
      </c>
      <c r="B20" s="23" t="s">
        <v>765</v>
      </c>
      <c r="C20" s="23" t="s">
        <v>766</v>
      </c>
      <c r="D20" s="23" t="s">
        <v>767</v>
      </c>
      <c r="E20" s="23" t="s">
        <v>15</v>
      </c>
      <c r="F20" s="23" t="s">
        <v>764</v>
      </c>
      <c r="G20" s="35" t="s">
        <v>62</v>
      </c>
      <c r="H20" s="23" t="s">
        <v>45</v>
      </c>
    </row>
    <row r="22" spans="1:7" ht="15.75">
      <c r="A22"/>
      <c r="B22" s="136" t="s">
        <v>778</v>
      </c>
      <c r="C22" s="136"/>
      <c r="D22" s="136"/>
      <c r="E22" s="136"/>
      <c r="F22" s="136"/>
      <c r="G22" s="136"/>
    </row>
    <row r="23" spans="1:8" ht="12.75">
      <c r="A23" s="35" t="s">
        <v>689</v>
      </c>
      <c r="B23" s="23" t="s">
        <v>779</v>
      </c>
      <c r="C23" s="23" t="s">
        <v>780</v>
      </c>
      <c r="D23" s="23" t="s">
        <v>781</v>
      </c>
      <c r="E23" s="23" t="s">
        <v>99</v>
      </c>
      <c r="F23" s="23" t="s">
        <v>100</v>
      </c>
      <c r="G23" s="35" t="s">
        <v>88</v>
      </c>
      <c r="H23" s="23" t="s">
        <v>1018</v>
      </c>
    </row>
  </sheetData>
  <sheetProtection/>
  <mergeCells count="15">
    <mergeCell ref="F3:F4"/>
    <mergeCell ref="B1:P2"/>
    <mergeCell ref="A3:A4"/>
    <mergeCell ref="B16:G16"/>
    <mergeCell ref="B19:G19"/>
    <mergeCell ref="B22:G22"/>
    <mergeCell ref="G3:G4"/>
    <mergeCell ref="H3:H4"/>
    <mergeCell ref="B5:G5"/>
    <mergeCell ref="B8:G8"/>
    <mergeCell ref="B11:G1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B9" sqref="B9:H9"/>
    </sheetView>
  </sheetViews>
  <sheetFormatPr defaultColWidth="9.125" defaultRowHeight="12.75"/>
  <cols>
    <col min="1" max="1" width="8.625" style="66" customWidth="1"/>
    <col min="2" max="2" width="21.875" style="57" customWidth="1"/>
    <col min="3" max="3" width="26.00390625" style="2" bestFit="1" customWidth="1"/>
    <col min="4" max="4" width="10.625" style="2" bestFit="1" customWidth="1"/>
    <col min="5" max="5" width="22.75390625" style="5" bestFit="1" customWidth="1"/>
    <col min="6" max="6" width="30.25390625" style="5" bestFit="1" customWidth="1"/>
    <col min="7" max="7" width="12.00390625" style="66" customWidth="1"/>
    <col min="8" max="8" width="21.625" style="5" customWidth="1"/>
    <col min="9" max="16" width="9.125" style="1" hidden="1" customWidth="1"/>
    <col min="17" max="16384" width="9.125" style="1" customWidth="1"/>
  </cols>
  <sheetData>
    <row r="1" spans="1:16" ht="15" customHeight="1">
      <c r="A1" s="1"/>
      <c r="B1" s="124" t="s">
        <v>1025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ht="72" customHeight="1" thickBo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8" s="4" customFormat="1" ht="12.75" customHeight="1">
      <c r="A3" s="142" t="s">
        <v>688</v>
      </c>
      <c r="B3" s="139" t="s">
        <v>0</v>
      </c>
      <c r="C3" s="141" t="s">
        <v>1</v>
      </c>
      <c r="D3" s="141" t="s">
        <v>800</v>
      </c>
      <c r="E3" s="132" t="s">
        <v>2</v>
      </c>
      <c r="F3" s="122" t="s">
        <v>692</v>
      </c>
      <c r="G3" s="132" t="s">
        <v>690</v>
      </c>
      <c r="H3" s="134" t="s">
        <v>10</v>
      </c>
    </row>
    <row r="4" spans="1:8" s="4" customFormat="1" ht="23.25" customHeight="1" thickBot="1">
      <c r="A4" s="143"/>
      <c r="B4" s="140"/>
      <c r="C4" s="133"/>
      <c r="D4" s="133"/>
      <c r="E4" s="133"/>
      <c r="F4" s="123"/>
      <c r="G4" s="133"/>
      <c r="H4" s="135"/>
    </row>
    <row r="5" spans="2:8" s="2" customFormat="1" ht="15.75">
      <c r="B5" s="145" t="s">
        <v>754</v>
      </c>
      <c r="C5" s="137"/>
      <c r="D5" s="137"/>
      <c r="E5" s="137"/>
      <c r="F5" s="137"/>
      <c r="G5" s="138"/>
      <c r="H5" s="5"/>
    </row>
    <row r="6" spans="1:8" s="2" customFormat="1" ht="12.75">
      <c r="A6" s="46" t="s">
        <v>689</v>
      </c>
      <c r="B6" s="56" t="s">
        <v>371</v>
      </c>
      <c r="C6" s="9" t="s">
        <v>372</v>
      </c>
      <c r="D6" s="9" t="s">
        <v>197</v>
      </c>
      <c r="E6" s="10" t="s">
        <v>15</v>
      </c>
      <c r="F6" s="10" t="s">
        <v>802</v>
      </c>
      <c r="G6" s="46">
        <v>55.5</v>
      </c>
      <c r="H6" s="10" t="s">
        <v>374</v>
      </c>
    </row>
    <row r="7" spans="1:8" s="2" customFormat="1" ht="12.75">
      <c r="A7" s="66"/>
      <c r="B7" s="57"/>
      <c r="E7" s="5"/>
      <c r="F7" s="5"/>
      <c r="G7" s="66"/>
      <c r="H7" s="5"/>
    </row>
    <row r="8" spans="1:7" ht="15.75">
      <c r="A8" s="1"/>
      <c r="B8" s="144" t="s">
        <v>57</v>
      </c>
      <c r="C8" s="136"/>
      <c r="D8" s="136"/>
      <c r="E8" s="136"/>
      <c r="F8" s="136"/>
      <c r="G8" s="136"/>
    </row>
    <row r="9" spans="1:8" ht="12.75">
      <c r="A9" s="67" t="s">
        <v>689</v>
      </c>
      <c r="B9" s="58" t="s">
        <v>755</v>
      </c>
      <c r="C9" s="11" t="s">
        <v>756</v>
      </c>
      <c r="D9" s="11" t="s">
        <v>757</v>
      </c>
      <c r="E9" s="14" t="s">
        <v>99</v>
      </c>
      <c r="F9" s="14" t="s">
        <v>100</v>
      </c>
      <c r="G9" s="67" t="s">
        <v>1016</v>
      </c>
      <c r="H9" s="14" t="s">
        <v>758</v>
      </c>
    </row>
    <row r="10" spans="1:8" ht="12.75">
      <c r="A10" s="68" t="s">
        <v>785</v>
      </c>
      <c r="B10" s="59" t="s">
        <v>759</v>
      </c>
      <c r="C10" s="12" t="s">
        <v>760</v>
      </c>
      <c r="D10" s="12" t="s">
        <v>607</v>
      </c>
      <c r="E10" s="15" t="s">
        <v>99</v>
      </c>
      <c r="F10" s="15" t="s">
        <v>100</v>
      </c>
      <c r="G10" s="68" t="s">
        <v>1017</v>
      </c>
      <c r="H10" s="15" t="s">
        <v>814</v>
      </c>
    </row>
    <row r="12" spans="1:7" ht="15.75">
      <c r="A12" s="1"/>
      <c r="B12" s="144" t="s">
        <v>95</v>
      </c>
      <c r="C12" s="136"/>
      <c r="D12" s="136"/>
      <c r="E12" s="136"/>
      <c r="F12" s="136"/>
      <c r="G12" s="136"/>
    </row>
    <row r="13" spans="1:8" ht="12.75">
      <c r="A13" s="46" t="s">
        <v>689</v>
      </c>
      <c r="B13" s="56" t="s">
        <v>761</v>
      </c>
      <c r="C13" s="9" t="s">
        <v>762</v>
      </c>
      <c r="D13" s="9" t="s">
        <v>763</v>
      </c>
      <c r="E13" s="10" t="s">
        <v>15</v>
      </c>
      <c r="F13" s="10" t="s">
        <v>764</v>
      </c>
      <c r="G13" s="46" t="s">
        <v>1017</v>
      </c>
      <c r="H13" s="10" t="s">
        <v>45</v>
      </c>
    </row>
    <row r="15" spans="1:7" ht="15.75">
      <c r="A15" s="1"/>
      <c r="B15" s="144" t="s">
        <v>420</v>
      </c>
      <c r="C15" s="136"/>
      <c r="D15" s="136"/>
      <c r="E15" s="136"/>
      <c r="F15" s="136"/>
      <c r="G15" s="136"/>
    </row>
    <row r="16" spans="1:8" ht="12.75">
      <c r="A16" s="67" t="s">
        <v>689</v>
      </c>
      <c r="B16" s="58" t="s">
        <v>765</v>
      </c>
      <c r="C16" s="11" t="s">
        <v>766</v>
      </c>
      <c r="D16" s="11" t="s">
        <v>767</v>
      </c>
      <c r="E16" s="14" t="s">
        <v>15</v>
      </c>
      <c r="F16" s="14" t="s">
        <v>764</v>
      </c>
      <c r="G16" s="67">
        <v>85.5</v>
      </c>
      <c r="H16" s="14" t="s">
        <v>45</v>
      </c>
    </row>
    <row r="17" spans="1:8" ht="12.75">
      <c r="A17" s="68" t="s">
        <v>689</v>
      </c>
      <c r="B17" s="59" t="s">
        <v>765</v>
      </c>
      <c r="C17" s="12" t="s">
        <v>768</v>
      </c>
      <c r="D17" s="12" t="s">
        <v>767</v>
      </c>
      <c r="E17" s="15" t="s">
        <v>15</v>
      </c>
      <c r="F17" s="15" t="s">
        <v>764</v>
      </c>
      <c r="G17" s="68">
        <v>85.5</v>
      </c>
      <c r="H17" s="15" t="s">
        <v>45</v>
      </c>
    </row>
  </sheetData>
  <sheetProtection/>
  <mergeCells count="13">
    <mergeCell ref="E3:E4"/>
    <mergeCell ref="F3:F4"/>
    <mergeCell ref="B1:P2"/>
    <mergeCell ref="A3:A4"/>
    <mergeCell ref="B15:G15"/>
    <mergeCell ref="G3:G4"/>
    <mergeCell ref="H3:H4"/>
    <mergeCell ref="B5:G5"/>
    <mergeCell ref="B8:G8"/>
    <mergeCell ref="B12:G1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C18" sqref="C18"/>
    </sheetView>
  </sheetViews>
  <sheetFormatPr defaultColWidth="9.125" defaultRowHeight="12.75"/>
  <cols>
    <col min="1" max="1" width="7.875" style="66" bestFit="1" customWidth="1"/>
    <col min="2" max="2" width="17.125" style="57" customWidth="1"/>
    <col min="3" max="3" width="26.875" style="2" bestFit="1" customWidth="1"/>
    <col min="4" max="4" width="10.625" style="2" bestFit="1" customWidth="1"/>
    <col min="5" max="5" width="8.375" style="2" bestFit="1" customWidth="1"/>
    <col min="6" max="6" width="15.00390625" style="5" customWidth="1"/>
    <col min="7" max="7" width="36.125" style="5" customWidth="1"/>
    <col min="8" max="11" width="6.625" style="66" customWidth="1"/>
    <col min="12" max="15" width="5.875" style="66" customWidth="1"/>
    <col min="16" max="16" width="7.875" style="66" bestFit="1" customWidth="1"/>
    <col min="17" max="17" width="8.625" style="2" bestFit="1" customWidth="1"/>
    <col min="18" max="18" width="21.875" style="5" bestFit="1" customWidth="1"/>
    <col min="19" max="22" width="9.125" style="1" hidden="1" customWidth="1"/>
    <col min="23" max="16384" width="9.125" style="1" customWidth="1"/>
  </cols>
  <sheetData>
    <row r="1" spans="1:22" ht="15" customHeight="1">
      <c r="A1" s="1"/>
      <c r="B1" s="124" t="s">
        <v>1030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spans="1:22" ht="75" customHeight="1" thickBo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18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793</v>
      </c>
      <c r="I3" s="132"/>
      <c r="J3" s="132"/>
      <c r="K3" s="146"/>
      <c r="L3" s="139" t="s">
        <v>794</v>
      </c>
      <c r="M3" s="132"/>
      <c r="N3" s="132"/>
      <c r="O3" s="146"/>
      <c r="P3" s="130" t="s">
        <v>8</v>
      </c>
      <c r="Q3" s="132" t="s">
        <v>9</v>
      </c>
      <c r="R3" s="146" t="s">
        <v>10</v>
      </c>
    </row>
    <row r="4" spans="1:18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6">
        <v>1</v>
      </c>
      <c r="M4" s="7">
        <v>2</v>
      </c>
      <c r="N4" s="7">
        <v>3</v>
      </c>
      <c r="O4" s="8" t="s">
        <v>7</v>
      </c>
      <c r="P4" s="131"/>
      <c r="Q4" s="133"/>
      <c r="R4" s="147"/>
    </row>
    <row r="5" spans="2:18" s="2" customFormat="1" ht="15.75">
      <c r="B5" s="145" t="s">
        <v>12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5"/>
    </row>
    <row r="6" spans="1:18" s="2" customFormat="1" ht="12.75">
      <c r="A6" s="46" t="s">
        <v>689</v>
      </c>
      <c r="B6" s="56" t="s">
        <v>371</v>
      </c>
      <c r="C6" s="9" t="s">
        <v>372</v>
      </c>
      <c r="D6" s="9" t="s">
        <v>197</v>
      </c>
      <c r="E6" s="9" t="str">
        <f>"0,9135"</f>
        <v>0,9135</v>
      </c>
      <c r="F6" s="10" t="s">
        <v>15</v>
      </c>
      <c r="G6" s="10" t="s">
        <v>802</v>
      </c>
      <c r="H6" s="38" t="s">
        <v>150</v>
      </c>
      <c r="I6" s="38" t="s">
        <v>173</v>
      </c>
      <c r="J6" s="74" t="s">
        <v>180</v>
      </c>
      <c r="K6" s="70"/>
      <c r="L6" s="38" t="s">
        <v>160</v>
      </c>
      <c r="M6" s="38" t="s">
        <v>439</v>
      </c>
      <c r="N6" s="38" t="s">
        <v>149</v>
      </c>
      <c r="O6" s="70"/>
      <c r="P6" s="46">
        <v>112.5</v>
      </c>
      <c r="Q6" s="46" t="str">
        <f>"102,7631"</f>
        <v>102,7631</v>
      </c>
      <c r="R6" s="10" t="s">
        <v>374</v>
      </c>
    </row>
    <row r="7" spans="1:18" s="2" customFormat="1" ht="12.75">
      <c r="A7" s="66"/>
      <c r="B7" s="57"/>
      <c r="F7" s="5"/>
      <c r="G7" s="5"/>
      <c r="H7" s="66"/>
      <c r="I7" s="66"/>
      <c r="J7" s="66"/>
      <c r="K7" s="66"/>
      <c r="L7" s="66"/>
      <c r="M7" s="66"/>
      <c r="N7" s="66"/>
      <c r="O7" s="66"/>
      <c r="P7" s="66"/>
      <c r="R7" s="5"/>
    </row>
    <row r="8" spans="1:17" ht="15.75">
      <c r="A8" s="1"/>
      <c r="B8" s="144" t="s">
        <v>207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8" ht="12.75">
      <c r="A9" s="46" t="s">
        <v>689</v>
      </c>
      <c r="B9" s="10" t="s">
        <v>990</v>
      </c>
      <c r="C9" s="9" t="s">
        <v>695</v>
      </c>
      <c r="D9" s="9" t="s">
        <v>696</v>
      </c>
      <c r="E9" s="9" t="str">
        <f>"0,6451"</f>
        <v>0,6451</v>
      </c>
      <c r="F9" s="10" t="s">
        <v>15</v>
      </c>
      <c r="G9" s="10" t="s">
        <v>820</v>
      </c>
      <c r="H9" s="74" t="s">
        <v>148</v>
      </c>
      <c r="I9" s="38" t="s">
        <v>148</v>
      </c>
      <c r="J9" s="74" t="s">
        <v>21</v>
      </c>
      <c r="K9" s="70"/>
      <c r="L9" s="38" t="s">
        <v>159</v>
      </c>
      <c r="M9" s="38" t="s">
        <v>149</v>
      </c>
      <c r="N9" s="70"/>
      <c r="O9" s="70"/>
      <c r="P9" s="46">
        <v>132.5</v>
      </c>
      <c r="Q9" s="46" t="str">
        <f>"85,4757"</f>
        <v>85,4757</v>
      </c>
      <c r="R9" s="10" t="s">
        <v>45</v>
      </c>
    </row>
    <row r="11" spans="1:17" ht="15.75">
      <c r="A11" s="1"/>
      <c r="B11" s="144" t="s">
        <v>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8" ht="12.75">
      <c r="A12" s="67" t="s">
        <v>689</v>
      </c>
      <c r="B12" s="14" t="s">
        <v>251</v>
      </c>
      <c r="C12" s="11" t="s">
        <v>697</v>
      </c>
      <c r="D12" s="11" t="s">
        <v>698</v>
      </c>
      <c r="E12" s="11" t="str">
        <f>"0,6354"</f>
        <v>0,6354</v>
      </c>
      <c r="F12" s="14" t="s">
        <v>844</v>
      </c>
      <c r="G12" s="14" t="s">
        <v>16</v>
      </c>
      <c r="H12" s="49" t="s">
        <v>127</v>
      </c>
      <c r="I12" s="49" t="s">
        <v>180</v>
      </c>
      <c r="J12" s="75" t="s">
        <v>128</v>
      </c>
      <c r="K12" s="71"/>
      <c r="L12" s="49" t="s">
        <v>149</v>
      </c>
      <c r="M12" s="49" t="s">
        <v>150</v>
      </c>
      <c r="N12" s="75" t="s">
        <v>127</v>
      </c>
      <c r="O12" s="71"/>
      <c r="P12" s="67">
        <v>122.5</v>
      </c>
      <c r="Q12" s="67" t="str">
        <f>"77,8365"</f>
        <v>77,8365</v>
      </c>
      <c r="R12" s="14" t="s">
        <v>860</v>
      </c>
    </row>
    <row r="13" spans="1:18" ht="12.75">
      <c r="A13" s="68" t="s">
        <v>689</v>
      </c>
      <c r="B13" s="15" t="s">
        <v>991</v>
      </c>
      <c r="C13" s="12" t="s">
        <v>699</v>
      </c>
      <c r="D13" s="12" t="s">
        <v>393</v>
      </c>
      <c r="E13" s="12" t="str">
        <f>"0,6165"</f>
        <v>0,6165</v>
      </c>
      <c r="F13" s="15" t="s">
        <v>164</v>
      </c>
      <c r="G13" s="15" t="s">
        <v>224</v>
      </c>
      <c r="H13" s="50" t="s">
        <v>140</v>
      </c>
      <c r="I13" s="76" t="s">
        <v>171</v>
      </c>
      <c r="J13" s="50" t="s">
        <v>171</v>
      </c>
      <c r="K13" s="72"/>
      <c r="L13" s="50" t="s">
        <v>150</v>
      </c>
      <c r="M13" s="50" t="s">
        <v>127</v>
      </c>
      <c r="N13" s="50" t="s">
        <v>158</v>
      </c>
      <c r="O13" s="72"/>
      <c r="P13" s="68">
        <v>152.5</v>
      </c>
      <c r="Q13" s="68" t="str">
        <f>"103,1275"</f>
        <v>103,1275</v>
      </c>
      <c r="R13" s="15" t="s">
        <v>45</v>
      </c>
    </row>
  </sheetData>
  <sheetProtection/>
  <mergeCells count="16">
    <mergeCell ref="A3:A4"/>
    <mergeCell ref="F3:F4"/>
    <mergeCell ref="G3:G4"/>
    <mergeCell ref="H3:K3"/>
    <mergeCell ref="L3:O3"/>
    <mergeCell ref="P3:P4"/>
    <mergeCell ref="B1:V2"/>
    <mergeCell ref="Q3:Q4"/>
    <mergeCell ref="R3:R4"/>
    <mergeCell ref="B5:Q5"/>
    <mergeCell ref="B8:Q8"/>
    <mergeCell ref="B11:Q1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27">
      <selection activeCell="F27" sqref="F27"/>
    </sheetView>
  </sheetViews>
  <sheetFormatPr defaultColWidth="8.75390625" defaultRowHeight="12.75"/>
  <cols>
    <col min="1" max="1" width="7.875" style="36" bestFit="1" customWidth="1"/>
    <col min="2" max="3" width="26.875" style="22" bestFit="1" customWidth="1"/>
    <col min="4" max="4" width="10.625" style="22" bestFit="1" customWidth="1"/>
    <col min="5" max="5" width="11.875" style="22" customWidth="1"/>
    <col min="6" max="6" width="30.00390625" style="22" customWidth="1"/>
    <col min="7" max="7" width="36.125" style="22" customWidth="1"/>
    <col min="8" max="10" width="5.625" style="36" bestFit="1" customWidth="1"/>
    <col min="11" max="11" width="5.125" style="36" bestFit="1" customWidth="1"/>
    <col min="12" max="12" width="11.625" style="36" customWidth="1"/>
    <col min="13" max="13" width="8.625" style="22" bestFit="1" customWidth="1"/>
    <col min="14" max="14" width="30.625" style="22" bestFit="1" customWidth="1"/>
  </cols>
  <sheetData>
    <row r="1" spans="2:14" s="1" customFormat="1" ht="15" customHeight="1">
      <c r="B1" s="124" t="s">
        <v>1047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s="1" customFormat="1" ht="90.7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6</v>
      </c>
      <c r="I3" s="132"/>
      <c r="J3" s="132"/>
      <c r="K3" s="146"/>
      <c r="L3" s="130" t="s">
        <v>690</v>
      </c>
      <c r="M3" s="132" t="s">
        <v>9</v>
      </c>
      <c r="N3" s="146" t="s">
        <v>10</v>
      </c>
    </row>
    <row r="4" spans="1:14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131"/>
      <c r="M4" s="133"/>
      <c r="N4" s="147"/>
    </row>
    <row r="5" spans="1:13" ht="15.75">
      <c r="A5"/>
      <c r="B5" s="137" t="s">
        <v>142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2.75">
      <c r="A6" s="35" t="s">
        <v>689</v>
      </c>
      <c r="B6" s="23" t="s">
        <v>616</v>
      </c>
      <c r="C6" s="23" t="s">
        <v>617</v>
      </c>
      <c r="D6" s="23" t="s">
        <v>618</v>
      </c>
      <c r="E6" s="23" t="str">
        <f>"1,1110"</f>
        <v>1,1110</v>
      </c>
      <c r="F6" s="23" t="s">
        <v>1048</v>
      </c>
      <c r="G6" s="23" t="s">
        <v>49</v>
      </c>
      <c r="H6" s="38" t="s">
        <v>37</v>
      </c>
      <c r="I6" s="38" t="s">
        <v>38</v>
      </c>
      <c r="J6" s="38" t="s">
        <v>35</v>
      </c>
      <c r="K6" s="34"/>
      <c r="L6" s="35" t="s">
        <v>35</v>
      </c>
      <c r="M6" s="79" t="str">
        <f>"133,3200"</f>
        <v>133,3200</v>
      </c>
      <c r="N6" s="23" t="s">
        <v>847</v>
      </c>
    </row>
    <row r="8" spans="1:13" ht="15.75">
      <c r="A8"/>
      <c r="B8" s="136" t="s">
        <v>154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4" ht="12.75">
      <c r="A9" s="35"/>
      <c r="B9" s="23" t="s">
        <v>161</v>
      </c>
      <c r="C9" s="23" t="s">
        <v>162</v>
      </c>
      <c r="D9" s="23" t="s">
        <v>163</v>
      </c>
      <c r="E9" s="23" t="str">
        <f>"1,0439"</f>
        <v>1,0439</v>
      </c>
      <c r="F9" s="23" t="s">
        <v>164</v>
      </c>
      <c r="G9" s="23" t="s">
        <v>691</v>
      </c>
      <c r="H9" s="37" t="s">
        <v>37</v>
      </c>
      <c r="I9" s="37" t="s">
        <v>37</v>
      </c>
      <c r="J9" s="37" t="s">
        <v>37</v>
      </c>
      <c r="K9" s="34"/>
      <c r="L9" s="35">
        <v>0</v>
      </c>
      <c r="M9" s="35" t="s">
        <v>801</v>
      </c>
      <c r="N9" s="23" t="s">
        <v>804</v>
      </c>
    </row>
    <row r="11" spans="1:13" ht="15.75">
      <c r="A11"/>
      <c r="B11" s="136" t="s">
        <v>167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4" ht="12.75">
      <c r="A12" s="39" t="s">
        <v>689</v>
      </c>
      <c r="B12" s="24" t="s">
        <v>619</v>
      </c>
      <c r="C12" s="24" t="s">
        <v>620</v>
      </c>
      <c r="D12" s="24" t="s">
        <v>621</v>
      </c>
      <c r="E12" s="24" t="str">
        <f>"0,9876"</f>
        <v>0,9876</v>
      </c>
      <c r="F12" s="24" t="s">
        <v>581</v>
      </c>
      <c r="G12" s="24" t="s">
        <v>820</v>
      </c>
      <c r="H12" s="49" t="s">
        <v>19</v>
      </c>
      <c r="I12" s="49" t="s">
        <v>22</v>
      </c>
      <c r="J12" s="49" t="s">
        <v>23</v>
      </c>
      <c r="K12" s="47"/>
      <c r="L12" s="39" t="s">
        <v>23</v>
      </c>
      <c r="M12" s="80" t="str">
        <f>"138,2640"</f>
        <v>138,2640</v>
      </c>
      <c r="N12" s="24" t="s">
        <v>848</v>
      </c>
    </row>
    <row r="13" spans="1:14" ht="12.75">
      <c r="A13" s="40" t="s">
        <v>785</v>
      </c>
      <c r="B13" s="25" t="s">
        <v>824</v>
      </c>
      <c r="C13" s="25" t="s">
        <v>425</v>
      </c>
      <c r="D13" s="25" t="s">
        <v>367</v>
      </c>
      <c r="E13" s="25" t="str">
        <f>"1,0306"</f>
        <v>1,0306</v>
      </c>
      <c r="F13" s="25" t="s">
        <v>843</v>
      </c>
      <c r="G13" s="25" t="s">
        <v>427</v>
      </c>
      <c r="H13" s="50" t="s">
        <v>132</v>
      </c>
      <c r="I13" s="50" t="s">
        <v>622</v>
      </c>
      <c r="J13" s="50" t="s">
        <v>152</v>
      </c>
      <c r="K13" s="48"/>
      <c r="L13" s="40">
        <v>107.5</v>
      </c>
      <c r="M13" s="81" t="str">
        <f>"110,7895"</f>
        <v>110,7895</v>
      </c>
      <c r="N13" s="25" t="s">
        <v>849</v>
      </c>
    </row>
    <row r="15" spans="1:13" ht="15.75">
      <c r="A15"/>
      <c r="B15" s="136" t="s">
        <v>12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1:14" ht="12.75">
      <c r="A16" s="39" t="s">
        <v>689</v>
      </c>
      <c r="B16" s="24" t="s">
        <v>825</v>
      </c>
      <c r="C16" s="24" t="s">
        <v>624</v>
      </c>
      <c r="D16" s="24" t="s">
        <v>625</v>
      </c>
      <c r="E16" s="24" t="str">
        <f>"0,9018"</f>
        <v>0,9018</v>
      </c>
      <c r="F16" s="24" t="s">
        <v>843</v>
      </c>
      <c r="G16" s="24" t="s">
        <v>427</v>
      </c>
      <c r="H16" s="49" t="s">
        <v>22</v>
      </c>
      <c r="I16" s="49" t="s">
        <v>204</v>
      </c>
      <c r="J16" s="49" t="s">
        <v>191</v>
      </c>
      <c r="K16" s="47"/>
      <c r="L16" s="39" t="s">
        <v>191</v>
      </c>
      <c r="M16" s="80" t="str">
        <f>"135,2625"</f>
        <v>135,2625</v>
      </c>
      <c r="N16" s="24" t="s">
        <v>849</v>
      </c>
    </row>
    <row r="17" spans="1:14" ht="12.75">
      <c r="A17" s="52" t="s">
        <v>785</v>
      </c>
      <c r="B17" s="26" t="s">
        <v>826</v>
      </c>
      <c r="C17" s="26" t="s">
        <v>626</v>
      </c>
      <c r="D17" s="26" t="s">
        <v>627</v>
      </c>
      <c r="E17" s="26" t="str">
        <f>"0,9200"</f>
        <v>0,9200</v>
      </c>
      <c r="F17" s="91" t="s">
        <v>48</v>
      </c>
      <c r="G17" s="101" t="s">
        <v>49</v>
      </c>
      <c r="H17" s="121" t="s">
        <v>36</v>
      </c>
      <c r="I17" s="53" t="s">
        <v>36</v>
      </c>
      <c r="J17" s="53" t="s">
        <v>23</v>
      </c>
      <c r="K17" s="51"/>
      <c r="L17" s="52" t="s">
        <v>23</v>
      </c>
      <c r="M17" s="83" t="str">
        <f>"128,7930"</f>
        <v>128,7930</v>
      </c>
      <c r="N17" s="26" t="s">
        <v>847</v>
      </c>
    </row>
    <row r="18" spans="1:14" ht="12.75">
      <c r="A18" s="52" t="s">
        <v>786</v>
      </c>
      <c r="B18" s="26" t="s">
        <v>628</v>
      </c>
      <c r="C18" s="26" t="s">
        <v>629</v>
      </c>
      <c r="D18" s="26" t="s">
        <v>630</v>
      </c>
      <c r="E18" s="26" t="str">
        <f>"0,9233"</f>
        <v>0,9233</v>
      </c>
      <c r="F18" s="26" t="s">
        <v>631</v>
      </c>
      <c r="G18" s="26" t="s">
        <v>820</v>
      </c>
      <c r="H18" s="54" t="s">
        <v>17</v>
      </c>
      <c r="I18" s="53" t="s">
        <v>37</v>
      </c>
      <c r="J18" s="53" t="s">
        <v>227</v>
      </c>
      <c r="K18" s="51"/>
      <c r="L18" s="52">
        <v>122.5</v>
      </c>
      <c r="M18" s="83" t="str">
        <f>"113,0981"</f>
        <v>113,0981</v>
      </c>
      <c r="N18" s="26" t="s">
        <v>850</v>
      </c>
    </row>
    <row r="19" spans="1:14" ht="12.75">
      <c r="A19" s="52" t="s">
        <v>787</v>
      </c>
      <c r="B19" s="26" t="s">
        <v>827</v>
      </c>
      <c r="C19" s="26" t="s">
        <v>632</v>
      </c>
      <c r="D19" s="26" t="s">
        <v>194</v>
      </c>
      <c r="E19" s="26" t="str">
        <f>"0,9189"</f>
        <v>0,9189</v>
      </c>
      <c r="F19" s="26" t="s">
        <v>99</v>
      </c>
      <c r="G19" s="26" t="s">
        <v>100</v>
      </c>
      <c r="H19" s="54" t="s">
        <v>37</v>
      </c>
      <c r="I19" s="53" t="s">
        <v>37</v>
      </c>
      <c r="J19" s="54" t="s">
        <v>18</v>
      </c>
      <c r="K19" s="51"/>
      <c r="L19" s="52" t="s">
        <v>37</v>
      </c>
      <c r="M19" s="83" t="str">
        <f>"101,0735"</f>
        <v>101,0735</v>
      </c>
      <c r="N19" s="26" t="s">
        <v>814</v>
      </c>
    </row>
    <row r="20" spans="1:14" ht="12.75">
      <c r="A20" s="40" t="s">
        <v>689</v>
      </c>
      <c r="B20" s="25" t="s">
        <v>453</v>
      </c>
      <c r="C20" s="25" t="s">
        <v>454</v>
      </c>
      <c r="D20" s="25" t="s">
        <v>455</v>
      </c>
      <c r="E20" s="25" t="str">
        <f>"0,9000"</f>
        <v>0,9000</v>
      </c>
      <c r="F20" s="25" t="s">
        <v>164</v>
      </c>
      <c r="G20" s="25" t="s">
        <v>224</v>
      </c>
      <c r="H20" s="50" t="s">
        <v>132</v>
      </c>
      <c r="I20" s="48"/>
      <c r="J20" s="48"/>
      <c r="K20" s="48"/>
      <c r="L20" s="40" t="s">
        <v>132</v>
      </c>
      <c r="M20" s="81" t="str">
        <f>"88,1456"</f>
        <v>88,1456</v>
      </c>
      <c r="N20" s="25" t="s">
        <v>851</v>
      </c>
    </row>
    <row r="22" spans="1:13" ht="15.75">
      <c r="A22"/>
      <c r="B22" s="136" t="s">
        <v>167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1:14" ht="12.75">
      <c r="A23" s="35" t="s">
        <v>689</v>
      </c>
      <c r="B23" s="23" t="s">
        <v>185</v>
      </c>
      <c r="C23" s="23" t="s">
        <v>186</v>
      </c>
      <c r="D23" s="23" t="s">
        <v>187</v>
      </c>
      <c r="E23" s="23" t="str">
        <f>"0,8411"</f>
        <v>0,8411</v>
      </c>
      <c r="F23" s="23" t="s">
        <v>77</v>
      </c>
      <c r="G23" s="23" t="s">
        <v>78</v>
      </c>
      <c r="H23" s="38" t="s">
        <v>89</v>
      </c>
      <c r="I23" s="34"/>
      <c r="J23" s="34"/>
      <c r="K23" s="34"/>
      <c r="L23" s="35" t="s">
        <v>89</v>
      </c>
      <c r="M23" s="79" t="str">
        <f>"180,3001"</f>
        <v>180,3001</v>
      </c>
      <c r="N23" s="23" t="s">
        <v>45</v>
      </c>
    </row>
    <row r="25" spans="1:13" ht="15.75">
      <c r="A25"/>
      <c r="B25" s="136" t="s">
        <v>12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</row>
    <row r="26" spans="1:14" ht="12.75">
      <c r="A26" s="39" t="s">
        <v>689</v>
      </c>
      <c r="B26" s="24" t="s">
        <v>828</v>
      </c>
      <c r="C26" s="24" t="s">
        <v>633</v>
      </c>
      <c r="D26" s="24" t="s">
        <v>634</v>
      </c>
      <c r="E26" s="24" t="str">
        <f>"0,8109"</f>
        <v>0,8109</v>
      </c>
      <c r="F26" s="24" t="s">
        <v>248</v>
      </c>
      <c r="G26" s="24" t="s">
        <v>249</v>
      </c>
      <c r="H26" s="49" t="s">
        <v>24</v>
      </c>
      <c r="I26" s="49" t="s">
        <v>82</v>
      </c>
      <c r="J26" s="49" t="s">
        <v>88</v>
      </c>
      <c r="K26" s="47"/>
      <c r="L26" s="39" t="s">
        <v>88</v>
      </c>
      <c r="M26" s="80" t="str">
        <f>"129,7520"</f>
        <v>129,7520</v>
      </c>
      <c r="N26" s="24" t="s">
        <v>852</v>
      </c>
    </row>
    <row r="27" spans="1:14" ht="12.75">
      <c r="A27" s="52" t="s">
        <v>689</v>
      </c>
      <c r="B27" s="26" t="s">
        <v>829</v>
      </c>
      <c r="C27" s="26" t="s">
        <v>635</v>
      </c>
      <c r="D27" s="26" t="s">
        <v>636</v>
      </c>
      <c r="E27" s="26" t="str">
        <f>"0,8302"</f>
        <v>0,8302</v>
      </c>
      <c r="F27" s="26" t="s">
        <v>15</v>
      </c>
      <c r="G27" s="26" t="s">
        <v>637</v>
      </c>
      <c r="H27" s="53" t="s">
        <v>22</v>
      </c>
      <c r="I27" s="53" t="s">
        <v>24</v>
      </c>
      <c r="J27" s="53" t="s">
        <v>638</v>
      </c>
      <c r="K27" s="51"/>
      <c r="L27" s="52">
        <v>152.2</v>
      </c>
      <c r="M27" s="83" t="str">
        <f>"126,3564"</f>
        <v>126,3564</v>
      </c>
      <c r="N27" s="26" t="s">
        <v>853</v>
      </c>
    </row>
    <row r="28" spans="1:14" ht="12.75">
      <c r="A28" s="52" t="s">
        <v>785</v>
      </c>
      <c r="B28" s="26" t="s">
        <v>830</v>
      </c>
      <c r="C28" s="26" t="s">
        <v>640</v>
      </c>
      <c r="D28" s="26" t="s">
        <v>641</v>
      </c>
      <c r="E28" s="26" t="str">
        <f>"0,8025"</f>
        <v>0,8025</v>
      </c>
      <c r="F28" s="26" t="s">
        <v>15</v>
      </c>
      <c r="G28" s="26" t="s">
        <v>807</v>
      </c>
      <c r="H28" s="53" t="s">
        <v>35</v>
      </c>
      <c r="I28" s="53" t="s">
        <v>36</v>
      </c>
      <c r="J28" s="53" t="s">
        <v>642</v>
      </c>
      <c r="K28" s="51"/>
      <c r="L28" s="52">
        <v>137.5</v>
      </c>
      <c r="M28" s="83" t="str">
        <f>"110,3369"</f>
        <v>110,3369</v>
      </c>
      <c r="N28" s="26" t="s">
        <v>805</v>
      </c>
    </row>
    <row r="29" spans="1:14" ht="12.75">
      <c r="A29" s="52" t="s">
        <v>689</v>
      </c>
      <c r="B29" s="26" t="s">
        <v>831</v>
      </c>
      <c r="C29" s="26" t="s">
        <v>643</v>
      </c>
      <c r="D29" s="26" t="s">
        <v>197</v>
      </c>
      <c r="E29" s="26" t="str">
        <f>"0,7610"</f>
        <v>0,7610</v>
      </c>
      <c r="F29" s="26" t="s">
        <v>15</v>
      </c>
      <c r="G29" s="26" t="s">
        <v>644</v>
      </c>
      <c r="H29" s="53" t="s">
        <v>89</v>
      </c>
      <c r="I29" s="53" t="s">
        <v>218</v>
      </c>
      <c r="J29" s="53" t="s">
        <v>40</v>
      </c>
      <c r="K29" s="51"/>
      <c r="L29" s="52" t="s">
        <v>40</v>
      </c>
      <c r="M29" s="83" t="str">
        <f>"152,1900"</f>
        <v>152,1900</v>
      </c>
      <c r="N29" s="26" t="s">
        <v>645</v>
      </c>
    </row>
    <row r="30" spans="1:14" ht="12.75">
      <c r="A30" s="52" t="s">
        <v>785</v>
      </c>
      <c r="B30" s="26" t="s">
        <v>639</v>
      </c>
      <c r="C30" s="26" t="s">
        <v>646</v>
      </c>
      <c r="D30" s="26" t="s">
        <v>194</v>
      </c>
      <c r="E30" s="26" t="str">
        <f>"0,7660"</f>
        <v>0,7660</v>
      </c>
      <c r="F30" s="26" t="s">
        <v>15</v>
      </c>
      <c r="G30" s="26" t="s">
        <v>637</v>
      </c>
      <c r="H30" s="53" t="s">
        <v>70</v>
      </c>
      <c r="I30" s="54" t="s">
        <v>218</v>
      </c>
      <c r="J30" s="54" t="s">
        <v>218</v>
      </c>
      <c r="K30" s="51"/>
      <c r="L30" s="52" t="s">
        <v>70</v>
      </c>
      <c r="M30" s="84" t="str">
        <f>"141,7100"</f>
        <v>141,7100</v>
      </c>
      <c r="N30" s="26" t="s">
        <v>45</v>
      </c>
    </row>
    <row r="31" spans="1:14" ht="12.75">
      <c r="A31" s="52" t="s">
        <v>786</v>
      </c>
      <c r="B31" s="26" t="s">
        <v>470</v>
      </c>
      <c r="C31" s="26" t="s">
        <v>471</v>
      </c>
      <c r="D31" s="26" t="s">
        <v>455</v>
      </c>
      <c r="E31" s="26" t="str">
        <f>"0,7484"</f>
        <v>0,7484</v>
      </c>
      <c r="F31" s="26" t="s">
        <v>15</v>
      </c>
      <c r="G31" s="26" t="s">
        <v>16</v>
      </c>
      <c r="H31" s="53" t="s">
        <v>62</v>
      </c>
      <c r="I31" s="54" t="s">
        <v>266</v>
      </c>
      <c r="J31" s="53" t="s">
        <v>266</v>
      </c>
      <c r="K31" s="51"/>
      <c r="L31" s="52">
        <v>172.5</v>
      </c>
      <c r="M31" s="84" t="str">
        <f>"129,0990"</f>
        <v>129,0990</v>
      </c>
      <c r="N31" s="26" t="s">
        <v>45</v>
      </c>
    </row>
    <row r="32" spans="1:14" ht="12.75">
      <c r="A32" s="40" t="s">
        <v>787</v>
      </c>
      <c r="B32" s="25" t="s">
        <v>832</v>
      </c>
      <c r="C32" s="25" t="s">
        <v>647</v>
      </c>
      <c r="D32" s="25" t="s">
        <v>648</v>
      </c>
      <c r="E32" s="25" t="str">
        <f>"0,7919"</f>
        <v>0,7919</v>
      </c>
      <c r="F32" s="25" t="s">
        <v>15</v>
      </c>
      <c r="G32" s="25" t="s">
        <v>16</v>
      </c>
      <c r="H32" s="42" t="s">
        <v>62</v>
      </c>
      <c r="I32" s="42" t="s">
        <v>62</v>
      </c>
      <c r="J32" s="50" t="s">
        <v>62</v>
      </c>
      <c r="K32" s="48"/>
      <c r="L32" s="40" t="s">
        <v>62</v>
      </c>
      <c r="M32" s="81" t="str">
        <f>"134,6315"</f>
        <v>134,6315</v>
      </c>
      <c r="N32" s="25" t="s">
        <v>854</v>
      </c>
    </row>
    <row r="34" spans="1:13" ht="15.75">
      <c r="A34"/>
      <c r="B34" s="136" t="s">
        <v>25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</row>
    <row r="35" spans="1:14" ht="12.75">
      <c r="A35" s="39" t="s">
        <v>689</v>
      </c>
      <c r="B35" s="24" t="s">
        <v>833</v>
      </c>
      <c r="C35" s="24" t="s">
        <v>649</v>
      </c>
      <c r="D35" s="24" t="s">
        <v>200</v>
      </c>
      <c r="E35" s="24" t="str">
        <f>"0,7110"</f>
        <v>0,7110</v>
      </c>
      <c r="F35" s="24" t="s">
        <v>15</v>
      </c>
      <c r="G35" s="24" t="s">
        <v>644</v>
      </c>
      <c r="H35" s="49" t="s">
        <v>62</v>
      </c>
      <c r="I35" s="49" t="s">
        <v>297</v>
      </c>
      <c r="J35" s="49" t="s">
        <v>39</v>
      </c>
      <c r="K35" s="47"/>
      <c r="L35" s="39" t="s">
        <v>39</v>
      </c>
      <c r="M35" s="80" t="str">
        <f>"135,0805"</f>
        <v>135,0805</v>
      </c>
      <c r="N35" s="24" t="s">
        <v>645</v>
      </c>
    </row>
    <row r="36" spans="1:14" ht="12.75">
      <c r="A36" s="52" t="s">
        <v>785</v>
      </c>
      <c r="B36" s="26" t="s">
        <v>834</v>
      </c>
      <c r="C36" s="26" t="s">
        <v>650</v>
      </c>
      <c r="D36" s="26" t="s">
        <v>651</v>
      </c>
      <c r="E36" s="26" t="str">
        <f>"0,6934"</f>
        <v>0,6934</v>
      </c>
      <c r="F36" s="26" t="s">
        <v>48</v>
      </c>
      <c r="G36" s="26" t="s">
        <v>49</v>
      </c>
      <c r="H36" s="53" t="s">
        <v>70</v>
      </c>
      <c r="I36" s="54" t="s">
        <v>211</v>
      </c>
      <c r="J36" s="54" t="s">
        <v>365</v>
      </c>
      <c r="K36" s="51"/>
      <c r="L36" s="52" t="s">
        <v>70</v>
      </c>
      <c r="M36" s="83" t="str">
        <f>"128,2698"</f>
        <v>128,2698</v>
      </c>
      <c r="N36" s="26" t="s">
        <v>847</v>
      </c>
    </row>
    <row r="37" spans="1:14" ht="12.75">
      <c r="A37" s="40" t="s">
        <v>689</v>
      </c>
      <c r="B37" s="25" t="s">
        <v>205</v>
      </c>
      <c r="C37" s="25" t="s">
        <v>206</v>
      </c>
      <c r="D37" s="25" t="s">
        <v>27</v>
      </c>
      <c r="E37" s="25" t="str">
        <f>"0,6885"</f>
        <v>0,6885</v>
      </c>
      <c r="F37" s="25" t="s">
        <v>33</v>
      </c>
      <c r="G37" s="25" t="s">
        <v>34</v>
      </c>
      <c r="H37" s="50" t="s">
        <v>39</v>
      </c>
      <c r="I37" s="48"/>
      <c r="J37" s="48"/>
      <c r="K37" s="48"/>
      <c r="L37" s="40" t="s">
        <v>39</v>
      </c>
      <c r="M37" s="81" t="str">
        <f>"133,4410"</f>
        <v>133,4410</v>
      </c>
      <c r="N37" s="25" t="s">
        <v>855</v>
      </c>
    </row>
    <row r="39" spans="1:13" ht="15.75">
      <c r="A39"/>
      <c r="B39" s="136" t="s">
        <v>207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4" ht="12.75">
      <c r="A40" s="39" t="s">
        <v>689</v>
      </c>
      <c r="B40" s="24" t="s">
        <v>835</v>
      </c>
      <c r="C40" s="24" t="s">
        <v>652</v>
      </c>
      <c r="D40" s="24" t="s">
        <v>653</v>
      </c>
      <c r="E40" s="24" t="str">
        <f>"0,6825"</f>
        <v>0,6825</v>
      </c>
      <c r="F40" s="24" t="s">
        <v>15</v>
      </c>
      <c r="G40" s="24" t="s">
        <v>807</v>
      </c>
      <c r="H40" s="49" t="s">
        <v>70</v>
      </c>
      <c r="I40" s="49" t="s">
        <v>298</v>
      </c>
      <c r="J40" s="49" t="s">
        <v>218</v>
      </c>
      <c r="K40" s="47"/>
      <c r="L40" s="39" t="s">
        <v>218</v>
      </c>
      <c r="M40" s="80" t="str">
        <f>"133,0875"</f>
        <v>133,0875</v>
      </c>
      <c r="N40" s="24" t="s">
        <v>856</v>
      </c>
    </row>
    <row r="41" spans="1:14" ht="12.75">
      <c r="A41" s="52" t="s">
        <v>689</v>
      </c>
      <c r="B41" s="26" t="s">
        <v>836</v>
      </c>
      <c r="C41" s="26" t="s">
        <v>513</v>
      </c>
      <c r="D41" s="26" t="s">
        <v>654</v>
      </c>
      <c r="E41" s="26" t="str">
        <f>"0,6567"</f>
        <v>0,6567</v>
      </c>
      <c r="F41" s="26" t="s">
        <v>15</v>
      </c>
      <c r="G41" s="26" t="s">
        <v>644</v>
      </c>
      <c r="H41" s="54" t="s">
        <v>93</v>
      </c>
      <c r="I41" s="53" t="s">
        <v>93</v>
      </c>
      <c r="J41" s="53" t="s">
        <v>51</v>
      </c>
      <c r="K41" s="51"/>
      <c r="L41" s="52" t="s">
        <v>51</v>
      </c>
      <c r="M41" s="83" t="str">
        <f>"144,4740"</f>
        <v>144,4740</v>
      </c>
      <c r="N41" s="26" t="s">
        <v>655</v>
      </c>
    </row>
    <row r="42" spans="1:14" ht="12.75">
      <c r="A42" s="52" t="s">
        <v>689</v>
      </c>
      <c r="B42" s="26" t="s">
        <v>810</v>
      </c>
      <c r="C42" s="26" t="s">
        <v>341</v>
      </c>
      <c r="D42" s="26" t="s">
        <v>223</v>
      </c>
      <c r="E42" s="26" t="str">
        <f>"0,6482"</f>
        <v>0,6482</v>
      </c>
      <c r="F42" s="26" t="s">
        <v>1033</v>
      </c>
      <c r="G42" s="26" t="s">
        <v>16</v>
      </c>
      <c r="H42" s="53" t="s">
        <v>71</v>
      </c>
      <c r="I42" s="51"/>
      <c r="J42" s="51"/>
      <c r="K42" s="51"/>
      <c r="L42" s="52" t="s">
        <v>71</v>
      </c>
      <c r="M42" s="83" t="str">
        <f>"194,4600"</f>
        <v>194,4600</v>
      </c>
      <c r="N42" s="26" t="s">
        <v>857</v>
      </c>
    </row>
    <row r="43" spans="1:14" ht="12.75">
      <c r="A43" s="52" t="s">
        <v>785</v>
      </c>
      <c r="B43" s="26" t="s">
        <v>837</v>
      </c>
      <c r="C43" s="26" t="s">
        <v>656</v>
      </c>
      <c r="D43" s="26" t="s">
        <v>657</v>
      </c>
      <c r="E43" s="26" t="str">
        <f>"0,6446"</f>
        <v>0,6446</v>
      </c>
      <c r="F43" s="26" t="s">
        <v>1036</v>
      </c>
      <c r="G43" s="26" t="s">
        <v>16</v>
      </c>
      <c r="H43" s="53" t="s">
        <v>51</v>
      </c>
      <c r="I43" s="53" t="s">
        <v>220</v>
      </c>
      <c r="J43" s="53" t="s">
        <v>54</v>
      </c>
      <c r="K43" s="51"/>
      <c r="L43" s="52" t="s">
        <v>54</v>
      </c>
      <c r="M43" s="83" t="str">
        <f>"154,7040"</f>
        <v>154,7040</v>
      </c>
      <c r="N43" s="26" t="s">
        <v>858</v>
      </c>
    </row>
    <row r="44" spans="1:14" ht="12.75">
      <c r="A44" s="40" t="s">
        <v>786</v>
      </c>
      <c r="B44" s="25" t="s">
        <v>141</v>
      </c>
      <c r="C44" s="25" t="s">
        <v>658</v>
      </c>
      <c r="D44" s="25" t="s">
        <v>659</v>
      </c>
      <c r="E44" s="25" t="str">
        <f>"0,6535"</f>
        <v>0,6535</v>
      </c>
      <c r="F44" s="25" t="s">
        <v>15</v>
      </c>
      <c r="G44" s="25" t="s">
        <v>224</v>
      </c>
      <c r="H44" s="50" t="s">
        <v>40</v>
      </c>
      <c r="I44" s="50" t="s">
        <v>51</v>
      </c>
      <c r="J44" s="48" t="s">
        <v>315</v>
      </c>
      <c r="K44" s="48"/>
      <c r="L44" s="40" t="s">
        <v>51</v>
      </c>
      <c r="M44" s="81" t="str">
        <f>"143,7590"</f>
        <v>143,7590</v>
      </c>
      <c r="N44" s="25" t="s">
        <v>45</v>
      </c>
    </row>
    <row r="46" spans="1:13" ht="15.75">
      <c r="A46"/>
      <c r="B46" s="136" t="s">
        <v>41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</row>
    <row r="47" spans="1:14" ht="12.75">
      <c r="A47" s="39" t="s">
        <v>689</v>
      </c>
      <c r="B47" s="24" t="s">
        <v>838</v>
      </c>
      <c r="C47" s="24" t="s">
        <v>513</v>
      </c>
      <c r="D47" s="24" t="s">
        <v>514</v>
      </c>
      <c r="E47" s="24" t="str">
        <f>"0,6192"</f>
        <v>0,6192</v>
      </c>
      <c r="F47" s="24" t="s">
        <v>15</v>
      </c>
      <c r="G47" s="24" t="s">
        <v>16</v>
      </c>
      <c r="H47" s="49" t="s">
        <v>40</v>
      </c>
      <c r="I47" s="41" t="s">
        <v>93</v>
      </c>
      <c r="J47" s="41" t="s">
        <v>93</v>
      </c>
      <c r="K47" s="47"/>
      <c r="L47" s="39" t="s">
        <v>40</v>
      </c>
      <c r="M47" s="80" t="str">
        <f>"123,8500"</f>
        <v>123,8500</v>
      </c>
      <c r="N47" s="24" t="s">
        <v>45</v>
      </c>
    </row>
    <row r="48" spans="1:14" ht="12.75">
      <c r="A48" s="52" t="s">
        <v>689</v>
      </c>
      <c r="B48" s="26" t="s">
        <v>532</v>
      </c>
      <c r="C48" s="26" t="s">
        <v>237</v>
      </c>
      <c r="D48" s="26" t="s">
        <v>238</v>
      </c>
      <c r="E48" s="26" t="str">
        <f>"0,6201"</f>
        <v>0,6201</v>
      </c>
      <c r="F48" s="26" t="s">
        <v>164</v>
      </c>
      <c r="G48" s="26" t="s">
        <v>224</v>
      </c>
      <c r="H48" s="53" t="s">
        <v>90</v>
      </c>
      <c r="I48" s="53" t="s">
        <v>234</v>
      </c>
      <c r="J48" s="54" t="s">
        <v>353</v>
      </c>
      <c r="K48" s="51"/>
      <c r="L48" s="52">
        <v>252.5</v>
      </c>
      <c r="M48" s="83" t="str">
        <f>"156,5753"</f>
        <v>156,5753</v>
      </c>
      <c r="N48" s="26" t="s">
        <v>45</v>
      </c>
    </row>
    <row r="49" spans="1:14" ht="12.75">
      <c r="A49" s="52" t="s">
        <v>785</v>
      </c>
      <c r="B49" s="26" t="s">
        <v>839</v>
      </c>
      <c r="C49" s="26" t="s">
        <v>230</v>
      </c>
      <c r="D49" s="26" t="s">
        <v>231</v>
      </c>
      <c r="E49" s="26" t="str">
        <f>"0,6169"</f>
        <v>0,6169</v>
      </c>
      <c r="F49" s="26" t="s">
        <v>232</v>
      </c>
      <c r="G49" s="26" t="s">
        <v>233</v>
      </c>
      <c r="H49" s="53" t="s">
        <v>234</v>
      </c>
      <c r="I49" s="51"/>
      <c r="J49" s="51"/>
      <c r="K49" s="51"/>
      <c r="L49" s="52">
        <v>252.5</v>
      </c>
      <c r="M49" s="83" t="str">
        <f>"155,7546"</f>
        <v>155,7546</v>
      </c>
      <c r="N49" s="26" t="s">
        <v>235</v>
      </c>
    </row>
    <row r="50" spans="1:14" ht="12.75">
      <c r="A50" s="52" t="s">
        <v>786</v>
      </c>
      <c r="B50" s="26" t="s">
        <v>840</v>
      </c>
      <c r="C50" s="26" t="s">
        <v>660</v>
      </c>
      <c r="D50" s="26" t="s">
        <v>247</v>
      </c>
      <c r="E50" s="26" t="str">
        <f>"0,6119"</f>
        <v>0,6119</v>
      </c>
      <c r="F50" s="26" t="s">
        <v>843</v>
      </c>
      <c r="G50" s="26" t="s">
        <v>427</v>
      </c>
      <c r="H50" s="53" t="s">
        <v>94</v>
      </c>
      <c r="I50" s="53" t="s">
        <v>296</v>
      </c>
      <c r="J50" s="54" t="s">
        <v>220</v>
      </c>
      <c r="K50" s="51"/>
      <c r="L50" s="52">
        <v>222.5</v>
      </c>
      <c r="M50" s="83" t="str">
        <f>"136,1366"</f>
        <v>136,1366</v>
      </c>
      <c r="N50" s="26" t="s">
        <v>859</v>
      </c>
    </row>
    <row r="51" spans="1:14" ht="12.75">
      <c r="A51" s="40" t="s">
        <v>787</v>
      </c>
      <c r="B51" s="25" t="s">
        <v>841</v>
      </c>
      <c r="C51" s="25" t="s">
        <v>661</v>
      </c>
      <c r="D51" s="25" t="s">
        <v>544</v>
      </c>
      <c r="E51" s="25" t="str">
        <f>"0,6122"</f>
        <v>0,6122</v>
      </c>
      <c r="F51" s="25" t="s">
        <v>844</v>
      </c>
      <c r="G51" s="25" t="s">
        <v>16</v>
      </c>
      <c r="H51" s="50" t="s">
        <v>64</v>
      </c>
      <c r="I51" s="50" t="s">
        <v>384</v>
      </c>
      <c r="J51" s="42" t="s">
        <v>365</v>
      </c>
      <c r="K51" s="48"/>
      <c r="L51" s="40">
        <v>202.5</v>
      </c>
      <c r="M51" s="81" t="str">
        <f>"123,9806"</f>
        <v>123,9806</v>
      </c>
      <c r="N51" s="25" t="s">
        <v>860</v>
      </c>
    </row>
    <row r="53" spans="1:13" ht="15.75">
      <c r="A53"/>
      <c r="B53" s="136" t="s">
        <v>57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</row>
    <row r="54" spans="1:14" ht="12.75">
      <c r="A54" s="39" t="s">
        <v>689</v>
      </c>
      <c r="B54" s="24" t="s">
        <v>842</v>
      </c>
      <c r="C54" s="24" t="s">
        <v>663</v>
      </c>
      <c r="D54" s="24" t="s">
        <v>664</v>
      </c>
      <c r="E54" s="24" t="str">
        <f>"0,5917"</f>
        <v>0,5917</v>
      </c>
      <c r="F54" s="24" t="s">
        <v>1033</v>
      </c>
      <c r="G54" s="24" t="s">
        <v>364</v>
      </c>
      <c r="H54" s="49" t="s">
        <v>79</v>
      </c>
      <c r="I54" s="41" t="s">
        <v>104</v>
      </c>
      <c r="J54" s="49" t="s">
        <v>54</v>
      </c>
      <c r="K54" s="47"/>
      <c r="L54" s="39" t="s">
        <v>54</v>
      </c>
      <c r="M54" s="80" t="str">
        <f>"141,9960"</f>
        <v>141,9960</v>
      </c>
      <c r="N54" s="24" t="s">
        <v>857</v>
      </c>
    </row>
    <row r="55" spans="1:14" ht="12.75">
      <c r="A55" s="40" t="s">
        <v>689</v>
      </c>
      <c r="B55" s="25" t="s">
        <v>662</v>
      </c>
      <c r="C55" s="25" t="s">
        <v>665</v>
      </c>
      <c r="D55" s="25" t="s">
        <v>76</v>
      </c>
      <c r="E55" s="25" t="str">
        <f>"0,5813"</f>
        <v>0,5813</v>
      </c>
      <c r="F55" s="25" t="s">
        <v>1033</v>
      </c>
      <c r="G55" s="25" t="s">
        <v>364</v>
      </c>
      <c r="H55" s="50" t="s">
        <v>79</v>
      </c>
      <c r="I55" s="42" t="s">
        <v>104</v>
      </c>
      <c r="J55" s="50" t="s">
        <v>54</v>
      </c>
      <c r="K55" s="48"/>
      <c r="L55" s="40" t="s">
        <v>54</v>
      </c>
      <c r="M55" s="81" t="str">
        <f>"139,5120"</f>
        <v>139,5120</v>
      </c>
      <c r="N55" s="25" t="s">
        <v>857</v>
      </c>
    </row>
    <row r="57" spans="2:3" ht="18">
      <c r="B57" s="27" t="s">
        <v>107</v>
      </c>
      <c r="C57" s="27"/>
    </row>
    <row r="58" spans="2:3" ht="15.75">
      <c r="B58" s="28" t="s">
        <v>108</v>
      </c>
      <c r="C58" s="28"/>
    </row>
    <row r="59" spans="2:6" ht="13.5">
      <c r="B59" s="32" t="s">
        <v>110</v>
      </c>
      <c r="C59" s="32" t="s">
        <v>111</v>
      </c>
      <c r="D59" s="32" t="s">
        <v>112</v>
      </c>
      <c r="E59" s="32" t="s">
        <v>690</v>
      </c>
      <c r="F59" s="32" t="s">
        <v>114</v>
      </c>
    </row>
    <row r="60" spans="1:6" ht="12.75">
      <c r="A60" s="36" t="s">
        <v>689</v>
      </c>
      <c r="B60" s="29" t="s">
        <v>619</v>
      </c>
      <c r="C60" s="22" t="s">
        <v>109</v>
      </c>
      <c r="D60" s="22" t="s">
        <v>127</v>
      </c>
      <c r="E60" s="36" t="s">
        <v>23</v>
      </c>
      <c r="F60" s="33" t="s">
        <v>666</v>
      </c>
    </row>
    <row r="61" spans="1:6" ht="12.75">
      <c r="A61" s="36" t="s">
        <v>785</v>
      </c>
      <c r="B61" s="29" t="s">
        <v>623</v>
      </c>
      <c r="C61" s="22" t="s">
        <v>109</v>
      </c>
      <c r="D61" s="22" t="s">
        <v>115</v>
      </c>
      <c r="E61" s="36" t="s">
        <v>191</v>
      </c>
      <c r="F61" s="33" t="s">
        <v>667</v>
      </c>
    </row>
    <row r="62" spans="1:6" ht="12.75">
      <c r="A62" s="36" t="s">
        <v>786</v>
      </c>
      <c r="B62" s="29" t="s">
        <v>616</v>
      </c>
      <c r="C62" s="22" t="s">
        <v>109</v>
      </c>
      <c r="D62" s="22" t="s">
        <v>845</v>
      </c>
      <c r="E62" s="36" t="s">
        <v>35</v>
      </c>
      <c r="F62" s="33" t="s">
        <v>668</v>
      </c>
    </row>
    <row r="64" spans="2:3" ht="15.75">
      <c r="B64" s="28" t="s">
        <v>116</v>
      </c>
      <c r="C64" s="28"/>
    </row>
    <row r="65" spans="2:6" ht="13.5">
      <c r="B65" s="32" t="s">
        <v>110</v>
      </c>
      <c r="C65" s="32" t="s">
        <v>111</v>
      </c>
      <c r="D65" s="32" t="s">
        <v>112</v>
      </c>
      <c r="E65" s="32" t="s">
        <v>690</v>
      </c>
      <c r="F65" s="32" t="s">
        <v>114</v>
      </c>
    </row>
    <row r="66" spans="1:6" ht="12.75">
      <c r="A66" s="36" t="s">
        <v>689</v>
      </c>
      <c r="B66" s="29" t="s">
        <v>810</v>
      </c>
      <c r="C66" s="22" t="s">
        <v>109</v>
      </c>
      <c r="D66" s="22" t="s">
        <v>148</v>
      </c>
      <c r="E66" s="36" t="s">
        <v>71</v>
      </c>
      <c r="F66" s="33" t="s">
        <v>1088</v>
      </c>
    </row>
    <row r="67" spans="1:6" ht="12.75">
      <c r="A67" s="36" t="s">
        <v>785</v>
      </c>
      <c r="B67" s="29" t="s">
        <v>236</v>
      </c>
      <c r="C67" s="22" t="s">
        <v>109</v>
      </c>
      <c r="D67" s="22" t="s">
        <v>846</v>
      </c>
      <c r="E67" s="36" t="s">
        <v>234</v>
      </c>
      <c r="F67" s="33" t="s">
        <v>669</v>
      </c>
    </row>
    <row r="68" spans="1:6" ht="12.75">
      <c r="A68" s="36" t="s">
        <v>786</v>
      </c>
      <c r="B68" s="29" t="s">
        <v>229</v>
      </c>
      <c r="C68" s="22" t="s">
        <v>109</v>
      </c>
      <c r="D68" s="22" t="s">
        <v>277</v>
      </c>
      <c r="E68" s="36" t="s">
        <v>234</v>
      </c>
      <c r="F68" s="33" t="s">
        <v>1089</v>
      </c>
    </row>
  </sheetData>
  <sheetProtection/>
  <mergeCells count="22">
    <mergeCell ref="B11:M11"/>
    <mergeCell ref="B53:M53"/>
    <mergeCell ref="B15:M15"/>
    <mergeCell ref="B22:M22"/>
    <mergeCell ref="B25:M25"/>
    <mergeCell ref="B34:M34"/>
    <mergeCell ref="B39:M39"/>
    <mergeCell ref="B46:M46"/>
    <mergeCell ref="A3:A4"/>
    <mergeCell ref="N3:N4"/>
    <mergeCell ref="B5:M5"/>
    <mergeCell ref="B8:M8"/>
    <mergeCell ref="L3:L4"/>
    <mergeCell ref="M3:M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5">
      <selection activeCell="L31" sqref="L31"/>
    </sheetView>
  </sheetViews>
  <sheetFormatPr defaultColWidth="8.75390625" defaultRowHeight="12.75"/>
  <cols>
    <col min="1" max="1" width="7.875" style="36" bestFit="1" customWidth="1"/>
    <col min="2" max="2" width="25.00390625" style="22" customWidth="1"/>
    <col min="3" max="3" width="26.875" style="22" bestFit="1" customWidth="1"/>
    <col min="4" max="4" width="10.625" style="22" bestFit="1" customWidth="1"/>
    <col min="5" max="5" width="14.125" style="22" customWidth="1"/>
    <col min="6" max="6" width="19.375" style="22" customWidth="1"/>
    <col min="7" max="7" width="34.00390625" style="22" bestFit="1" customWidth="1"/>
    <col min="8" max="10" width="5.625" style="36" bestFit="1" customWidth="1"/>
    <col min="11" max="11" width="5.125" style="36" bestFit="1" customWidth="1"/>
    <col min="12" max="12" width="13.625" style="36" customWidth="1"/>
    <col min="13" max="13" width="8.625" style="22" bestFit="1" customWidth="1"/>
    <col min="14" max="14" width="17.875" style="22" customWidth="1"/>
  </cols>
  <sheetData>
    <row r="1" spans="2:14" s="1" customFormat="1" ht="15" customHeight="1">
      <c r="B1" s="124" t="s">
        <v>1046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s="1" customFormat="1" ht="87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4" customFormat="1" ht="12.75" customHeight="1">
      <c r="A3" s="130" t="s">
        <v>688</v>
      </c>
      <c r="B3" s="139" t="s">
        <v>0</v>
      </c>
      <c r="C3" s="141" t="s">
        <v>1</v>
      </c>
      <c r="D3" s="141" t="s">
        <v>800</v>
      </c>
      <c r="E3" s="132" t="s">
        <v>11</v>
      </c>
      <c r="F3" s="132" t="s">
        <v>2</v>
      </c>
      <c r="G3" s="122" t="s">
        <v>692</v>
      </c>
      <c r="H3" s="139" t="s">
        <v>6</v>
      </c>
      <c r="I3" s="132"/>
      <c r="J3" s="132"/>
      <c r="K3" s="146"/>
      <c r="L3" s="130" t="s">
        <v>690</v>
      </c>
      <c r="M3" s="132" t="s">
        <v>9</v>
      </c>
      <c r="N3" s="146" t="s">
        <v>10</v>
      </c>
    </row>
    <row r="4" spans="1:14" s="4" customFormat="1" ht="23.25" customHeight="1" thickBot="1">
      <c r="A4" s="131"/>
      <c r="B4" s="140"/>
      <c r="C4" s="133"/>
      <c r="D4" s="133"/>
      <c r="E4" s="133"/>
      <c r="F4" s="133"/>
      <c r="G4" s="123"/>
      <c r="H4" s="6">
        <v>1</v>
      </c>
      <c r="I4" s="7">
        <v>2</v>
      </c>
      <c r="J4" s="7">
        <v>3</v>
      </c>
      <c r="K4" s="8" t="s">
        <v>7</v>
      </c>
      <c r="L4" s="131"/>
      <c r="M4" s="133"/>
      <c r="N4" s="147"/>
    </row>
    <row r="5" spans="1:13" ht="15.75">
      <c r="A5"/>
      <c r="B5" s="137" t="s">
        <v>12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2.75">
      <c r="A6" s="35" t="s">
        <v>689</v>
      </c>
      <c r="B6" s="23" t="s">
        <v>861</v>
      </c>
      <c r="C6" s="23" t="s">
        <v>294</v>
      </c>
      <c r="D6" s="23" t="s">
        <v>295</v>
      </c>
      <c r="E6" s="23" t="str">
        <f>"0,7551"</f>
        <v>0,7551</v>
      </c>
      <c r="F6" s="23" t="s">
        <v>15</v>
      </c>
      <c r="G6" s="23" t="s">
        <v>802</v>
      </c>
      <c r="H6" s="38" t="s">
        <v>297</v>
      </c>
      <c r="I6" s="34"/>
      <c r="J6" s="34"/>
      <c r="K6" s="34"/>
      <c r="L6" s="35">
        <v>182.5</v>
      </c>
      <c r="M6" s="79" t="str">
        <f>"137,8058"</f>
        <v>137,8058</v>
      </c>
      <c r="N6" s="23" t="s">
        <v>45</v>
      </c>
    </row>
    <row r="8" spans="1:13" ht="15.75">
      <c r="A8"/>
      <c r="B8" s="136" t="s">
        <v>25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4" ht="12.75">
      <c r="A9" s="35" t="s">
        <v>689</v>
      </c>
      <c r="B9" s="23" t="s">
        <v>862</v>
      </c>
      <c r="C9" s="23" t="s">
        <v>31</v>
      </c>
      <c r="D9" s="23" t="s">
        <v>32</v>
      </c>
      <c r="E9" s="23" t="str">
        <f>"0,6940"</f>
        <v>0,6940</v>
      </c>
      <c r="F9" s="23" t="s">
        <v>33</v>
      </c>
      <c r="G9" s="23" t="s">
        <v>34</v>
      </c>
      <c r="H9" s="38" t="s">
        <v>39</v>
      </c>
      <c r="I9" s="34"/>
      <c r="J9" s="34"/>
      <c r="K9" s="34"/>
      <c r="L9" s="35" t="s">
        <v>39</v>
      </c>
      <c r="M9" s="79" t="str">
        <f>"131,8600"</f>
        <v>131,8600</v>
      </c>
      <c r="N9" s="23" t="s">
        <v>872</v>
      </c>
    </row>
    <row r="11" spans="1:13" ht="15.75">
      <c r="A11"/>
      <c r="B11" s="136" t="s">
        <v>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4" ht="12.75">
      <c r="A12" s="39" t="s">
        <v>689</v>
      </c>
      <c r="B12" s="24" t="s">
        <v>600</v>
      </c>
      <c r="C12" s="24" t="s">
        <v>601</v>
      </c>
      <c r="D12" s="24" t="s">
        <v>602</v>
      </c>
      <c r="E12" s="24" t="str">
        <f>"0,6209"</f>
        <v>0,6209</v>
      </c>
      <c r="F12" s="24" t="s">
        <v>1033</v>
      </c>
      <c r="G12" s="24" t="s">
        <v>179</v>
      </c>
      <c r="H12" s="49" t="s">
        <v>83</v>
      </c>
      <c r="I12" s="49" t="s">
        <v>84</v>
      </c>
      <c r="J12" s="47"/>
      <c r="K12" s="47"/>
      <c r="L12" s="39" t="s">
        <v>84</v>
      </c>
      <c r="M12" s="80" t="str">
        <f>"180,0610"</f>
        <v>180,0610</v>
      </c>
      <c r="N12" s="24" t="s">
        <v>311</v>
      </c>
    </row>
    <row r="13" spans="1:14" ht="12.75">
      <c r="A13" s="52" t="s">
        <v>785</v>
      </c>
      <c r="B13" s="26" t="s">
        <v>817</v>
      </c>
      <c r="C13" s="26" t="s">
        <v>313</v>
      </c>
      <c r="D13" s="26" t="s">
        <v>314</v>
      </c>
      <c r="E13" s="26" t="str">
        <f>"0,6145"</f>
        <v>0,6145</v>
      </c>
      <c r="F13" s="91" t="s">
        <v>15</v>
      </c>
      <c r="G13" s="26" t="s">
        <v>802</v>
      </c>
      <c r="H13" s="95" t="s">
        <v>90</v>
      </c>
      <c r="I13" s="51"/>
      <c r="J13" s="51"/>
      <c r="K13" s="51"/>
      <c r="L13" s="52" t="s">
        <v>90</v>
      </c>
      <c r="M13" s="83" t="str">
        <f>"153,6375"</f>
        <v>153,6375</v>
      </c>
      <c r="N13" s="26" t="s">
        <v>803</v>
      </c>
    </row>
    <row r="14" spans="1:14" ht="12.75">
      <c r="A14" s="40" t="s">
        <v>689</v>
      </c>
      <c r="B14" s="25" t="s">
        <v>863</v>
      </c>
      <c r="C14" s="25" t="s">
        <v>394</v>
      </c>
      <c r="D14" s="25" t="s">
        <v>352</v>
      </c>
      <c r="E14" s="25" t="str">
        <f>"0,6184"</f>
        <v>0,6184</v>
      </c>
      <c r="F14" s="25" t="s">
        <v>164</v>
      </c>
      <c r="G14" s="25" t="s">
        <v>395</v>
      </c>
      <c r="H14" s="50" t="s">
        <v>89</v>
      </c>
      <c r="I14" s="48"/>
      <c r="J14" s="48"/>
      <c r="K14" s="48"/>
      <c r="L14" s="40" t="s">
        <v>89</v>
      </c>
      <c r="M14" s="81" t="str">
        <f>"203,0371"</f>
        <v>203,0371</v>
      </c>
      <c r="N14" s="25" t="s">
        <v>45</v>
      </c>
    </row>
    <row r="16" spans="1:13" ht="15.75">
      <c r="A16"/>
      <c r="B16" s="136" t="s">
        <v>57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</row>
    <row r="17" spans="1:14" ht="12.75">
      <c r="A17" s="39" t="s">
        <v>689</v>
      </c>
      <c r="B17" s="24" t="s">
        <v>864</v>
      </c>
      <c r="C17" s="24" t="s">
        <v>603</v>
      </c>
      <c r="D17" s="24" t="s">
        <v>604</v>
      </c>
      <c r="E17" s="24" t="str">
        <f>"0,6090"</f>
        <v>0,6090</v>
      </c>
      <c r="F17" s="24" t="s">
        <v>1033</v>
      </c>
      <c r="G17" s="24" t="s">
        <v>16</v>
      </c>
      <c r="H17" s="49" t="s">
        <v>80</v>
      </c>
      <c r="I17" s="49" t="s">
        <v>61</v>
      </c>
      <c r="J17" s="41" t="s">
        <v>353</v>
      </c>
      <c r="K17" s="47"/>
      <c r="L17" s="39" t="s">
        <v>61</v>
      </c>
      <c r="M17" s="80" t="str">
        <f>"158,3270"</f>
        <v>158,3270</v>
      </c>
      <c r="N17" s="24" t="s">
        <v>875</v>
      </c>
    </row>
    <row r="18" spans="1:14" ht="12.75">
      <c r="A18" s="52" t="s">
        <v>689</v>
      </c>
      <c r="B18" s="26" t="s">
        <v>865</v>
      </c>
      <c r="C18" s="26" t="s">
        <v>75</v>
      </c>
      <c r="D18" s="26" t="s">
        <v>76</v>
      </c>
      <c r="E18" s="26" t="str">
        <f>"0,5813"</f>
        <v>0,5813</v>
      </c>
      <c r="F18" s="26" t="s">
        <v>77</v>
      </c>
      <c r="G18" s="26" t="s">
        <v>78</v>
      </c>
      <c r="H18" s="53" t="s">
        <v>83</v>
      </c>
      <c r="I18" s="51"/>
      <c r="J18" s="51"/>
      <c r="K18" s="51"/>
      <c r="L18" s="52">
        <v>282.5</v>
      </c>
      <c r="M18" s="83" t="str">
        <f>"164,2173"</f>
        <v>164,2173</v>
      </c>
      <c r="N18" s="26" t="s">
        <v>871</v>
      </c>
    </row>
    <row r="19" spans="1:14" ht="12.75">
      <c r="A19" s="52" t="s">
        <v>785</v>
      </c>
      <c r="B19" s="26" t="s">
        <v>866</v>
      </c>
      <c r="C19" s="26" t="s">
        <v>318</v>
      </c>
      <c r="D19" s="26" t="s">
        <v>319</v>
      </c>
      <c r="E19" s="26" t="str">
        <f>"0,5867"</f>
        <v>0,5867</v>
      </c>
      <c r="F19" s="26" t="s">
        <v>232</v>
      </c>
      <c r="G19" s="26" t="s">
        <v>233</v>
      </c>
      <c r="H19" s="53" t="s">
        <v>61</v>
      </c>
      <c r="I19" s="53" t="s">
        <v>354</v>
      </c>
      <c r="J19" s="53" t="s">
        <v>605</v>
      </c>
      <c r="K19" s="51"/>
      <c r="L19" s="52">
        <v>277.5</v>
      </c>
      <c r="M19" s="83" t="str">
        <f>"162,7954"</f>
        <v>162,7954</v>
      </c>
      <c r="N19" s="26" t="s">
        <v>873</v>
      </c>
    </row>
    <row r="20" spans="1:14" ht="12.75">
      <c r="A20" s="40" t="s">
        <v>786</v>
      </c>
      <c r="B20" s="25" t="s">
        <v>867</v>
      </c>
      <c r="C20" s="25" t="s">
        <v>606</v>
      </c>
      <c r="D20" s="25" t="s">
        <v>607</v>
      </c>
      <c r="E20" s="25" t="str">
        <f>"0,5896"</f>
        <v>0,5896</v>
      </c>
      <c r="F20" s="25" t="s">
        <v>15</v>
      </c>
      <c r="G20" s="25" t="s">
        <v>16</v>
      </c>
      <c r="H20" s="50" t="s">
        <v>90</v>
      </c>
      <c r="I20" s="50" t="s">
        <v>56</v>
      </c>
      <c r="J20" s="42" t="s">
        <v>354</v>
      </c>
      <c r="K20" s="48"/>
      <c r="L20" s="40" t="s">
        <v>56</v>
      </c>
      <c r="M20" s="81" t="str">
        <f>"156,2572"</f>
        <v>156,2572</v>
      </c>
      <c r="N20" s="25" t="s">
        <v>874</v>
      </c>
    </row>
    <row r="22" spans="1:13" ht="15.75">
      <c r="A22"/>
      <c r="B22" s="136" t="s">
        <v>95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1:14" ht="12.75">
      <c r="A23" s="39" t="s">
        <v>689</v>
      </c>
      <c r="B23" s="24" t="s">
        <v>868</v>
      </c>
      <c r="C23" s="24" t="s">
        <v>608</v>
      </c>
      <c r="D23" s="24" t="s">
        <v>414</v>
      </c>
      <c r="E23" s="24" t="str">
        <f>"0,5666"</f>
        <v>0,5666</v>
      </c>
      <c r="F23" s="24" t="s">
        <v>1036</v>
      </c>
      <c r="G23" s="24" t="s">
        <v>16</v>
      </c>
      <c r="H23" s="49" t="s">
        <v>61</v>
      </c>
      <c r="I23" s="49" t="s">
        <v>265</v>
      </c>
      <c r="J23" s="41" t="s">
        <v>66</v>
      </c>
      <c r="K23" s="47"/>
      <c r="L23" s="39" t="s">
        <v>265</v>
      </c>
      <c r="M23" s="80" t="str">
        <f>"152,9955"</f>
        <v>152,9955</v>
      </c>
      <c r="N23" s="24" t="s">
        <v>1116</v>
      </c>
    </row>
    <row r="24" spans="1:14" ht="12.75">
      <c r="A24" s="40" t="s">
        <v>689</v>
      </c>
      <c r="B24" s="25" t="s">
        <v>869</v>
      </c>
      <c r="C24" s="25" t="s">
        <v>609</v>
      </c>
      <c r="D24" s="25" t="s">
        <v>610</v>
      </c>
      <c r="E24" s="25" t="str">
        <f>"0,5725"</f>
        <v>0,5725</v>
      </c>
      <c r="F24" s="25" t="s">
        <v>15</v>
      </c>
      <c r="G24" s="25" t="s">
        <v>16</v>
      </c>
      <c r="H24" s="50" t="s">
        <v>54</v>
      </c>
      <c r="I24" s="42" t="s">
        <v>55</v>
      </c>
      <c r="J24" s="50" t="s">
        <v>61</v>
      </c>
      <c r="K24" s="48"/>
      <c r="L24" s="40" t="s">
        <v>61</v>
      </c>
      <c r="M24" s="81" t="str">
        <f>"148,8630"</f>
        <v>148,8630</v>
      </c>
      <c r="N24" s="25" t="s">
        <v>45</v>
      </c>
    </row>
    <row r="26" spans="1:13" ht="15.75">
      <c r="A26"/>
      <c r="B26" s="136" t="s">
        <v>420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14" ht="12.75">
      <c r="A27" s="35" t="s">
        <v>689</v>
      </c>
      <c r="B27" s="23" t="s">
        <v>870</v>
      </c>
      <c r="C27" s="23" t="s">
        <v>611</v>
      </c>
      <c r="D27" s="23" t="s">
        <v>612</v>
      </c>
      <c r="E27" s="23" t="str">
        <f>"0,5469"</f>
        <v>0,5469</v>
      </c>
      <c r="F27" s="23" t="s">
        <v>15</v>
      </c>
      <c r="G27" s="23" t="s">
        <v>16</v>
      </c>
      <c r="H27" s="38" t="s">
        <v>90</v>
      </c>
      <c r="I27" s="37" t="s">
        <v>265</v>
      </c>
      <c r="J27" s="38" t="s">
        <v>84</v>
      </c>
      <c r="K27" s="34"/>
      <c r="L27" s="35" t="s">
        <v>84</v>
      </c>
      <c r="M27" s="79" t="str">
        <f>"158,6155"</f>
        <v>158,6155</v>
      </c>
      <c r="N27" s="23" t="s">
        <v>876</v>
      </c>
    </row>
    <row r="30" spans="2:3" ht="18">
      <c r="B30" s="27" t="s">
        <v>107</v>
      </c>
      <c r="C30" s="27"/>
    </row>
    <row r="31" spans="2:3" ht="15.75">
      <c r="B31" s="28" t="s">
        <v>116</v>
      </c>
      <c r="C31" s="28"/>
    </row>
    <row r="32" spans="2:3" ht="13.5">
      <c r="B32" s="30"/>
      <c r="C32" s="31" t="s">
        <v>109</v>
      </c>
    </row>
    <row r="33" spans="2:6" ht="13.5">
      <c r="B33" s="32" t="s">
        <v>110</v>
      </c>
      <c r="C33" s="32" t="s">
        <v>111</v>
      </c>
      <c r="D33" s="32" t="s">
        <v>112</v>
      </c>
      <c r="E33" s="32" t="s">
        <v>690</v>
      </c>
      <c r="F33" s="32" t="s">
        <v>114</v>
      </c>
    </row>
    <row r="34" spans="1:6" ht="12.75">
      <c r="A34" s="36" t="s">
        <v>689</v>
      </c>
      <c r="B34" s="29" t="s">
        <v>600</v>
      </c>
      <c r="C34" s="22" t="s">
        <v>109</v>
      </c>
      <c r="D34" s="22" t="s">
        <v>131</v>
      </c>
      <c r="E34" s="36" t="s">
        <v>84</v>
      </c>
      <c r="F34" s="33" t="s">
        <v>613</v>
      </c>
    </row>
    <row r="35" spans="1:6" ht="12.75">
      <c r="A35" s="36" t="s">
        <v>785</v>
      </c>
      <c r="B35" s="29" t="s">
        <v>74</v>
      </c>
      <c r="C35" s="22" t="s">
        <v>109</v>
      </c>
      <c r="D35" s="22" t="s">
        <v>17</v>
      </c>
      <c r="E35" s="36" t="s">
        <v>83</v>
      </c>
      <c r="F35" s="33" t="s">
        <v>614</v>
      </c>
    </row>
    <row r="36" spans="1:6" ht="12.75">
      <c r="A36" s="36" t="s">
        <v>786</v>
      </c>
      <c r="B36" s="29" t="s">
        <v>317</v>
      </c>
      <c r="C36" s="22" t="s">
        <v>109</v>
      </c>
      <c r="D36" s="22" t="s">
        <v>17</v>
      </c>
      <c r="E36" s="36" t="s">
        <v>605</v>
      </c>
      <c r="F36" s="33" t="s">
        <v>615</v>
      </c>
    </row>
  </sheetData>
  <sheetProtection/>
  <mergeCells count="18">
    <mergeCell ref="A3:A4"/>
    <mergeCell ref="B16:M16"/>
    <mergeCell ref="B22:M22"/>
    <mergeCell ref="B26:M26"/>
    <mergeCell ref="L3:L4"/>
    <mergeCell ref="M3:M4"/>
    <mergeCell ref="G3:G4"/>
    <mergeCell ref="H3:K3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F2">
      <selection activeCell="I31" sqref="I31"/>
    </sheetView>
  </sheetViews>
  <sheetFormatPr defaultColWidth="11.00390625" defaultRowHeight="12.75"/>
  <cols>
    <col min="1" max="1" width="3.125" style="0" customWidth="1"/>
    <col min="2" max="2" width="21.75390625" style="0" customWidth="1"/>
    <col min="3" max="3" width="24.375" style="0" customWidth="1"/>
    <col min="5" max="5" width="19.00390625" style="0" customWidth="1"/>
    <col min="6" max="6" width="31.375" style="0" customWidth="1"/>
    <col min="14" max="14" width="13.625" style="0" customWidth="1"/>
    <col min="15" max="15" width="19.25390625" style="0" customWidth="1"/>
  </cols>
  <sheetData>
    <row r="1" spans="1:18" ht="57.75" customHeight="1">
      <c r="A1" s="148"/>
      <c r="B1" s="149" t="s">
        <v>1107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2"/>
      <c r="Q1" s="158"/>
      <c r="R1" s="158"/>
    </row>
    <row r="2" spans="1:18" ht="30" thickBot="1">
      <c r="A2" s="148"/>
      <c r="B2" s="159" t="s">
        <v>1108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  <c r="P2" s="152"/>
      <c r="Q2" s="158"/>
      <c r="R2" s="158"/>
    </row>
    <row r="3" spans="1:15" ht="13.5">
      <c r="A3" s="109"/>
      <c r="B3" s="168" t="s">
        <v>0</v>
      </c>
      <c r="C3" s="110" t="s">
        <v>1099</v>
      </c>
      <c r="D3" s="162" t="s">
        <v>800</v>
      </c>
      <c r="E3" s="162" t="s">
        <v>2</v>
      </c>
      <c r="F3" s="162" t="s">
        <v>687</v>
      </c>
      <c r="G3" s="164" t="s">
        <v>1100</v>
      </c>
      <c r="H3" s="165"/>
      <c r="I3" s="165"/>
      <c r="J3" s="166"/>
      <c r="K3" s="167" t="s">
        <v>1101</v>
      </c>
      <c r="L3" s="165"/>
      <c r="M3" s="166"/>
      <c r="N3" s="154" t="s">
        <v>1102</v>
      </c>
      <c r="O3" s="156" t="s">
        <v>10</v>
      </c>
    </row>
    <row r="4" spans="1:15" ht="15" thickBot="1">
      <c r="A4" s="109"/>
      <c r="B4" s="169"/>
      <c r="C4" s="111" t="s">
        <v>1103</v>
      </c>
      <c r="D4" s="163"/>
      <c r="E4" s="163"/>
      <c r="F4" s="163"/>
      <c r="G4" s="112" t="s">
        <v>689</v>
      </c>
      <c r="H4" s="112" t="s">
        <v>785</v>
      </c>
      <c r="I4" s="112" t="s">
        <v>786</v>
      </c>
      <c r="J4" s="112" t="s">
        <v>690</v>
      </c>
      <c r="K4" s="112" t="s">
        <v>700</v>
      </c>
      <c r="L4" s="112" t="s">
        <v>690</v>
      </c>
      <c r="M4" s="113" t="s">
        <v>795</v>
      </c>
      <c r="N4" s="155"/>
      <c r="O4" s="157"/>
    </row>
    <row r="5" spans="2:18" ht="15.75">
      <c r="B5" s="153" t="s">
        <v>1109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2:18" ht="15.75">
      <c r="B6" s="153" t="s">
        <v>167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15" ht="12.75">
      <c r="A7" s="108">
        <v>1</v>
      </c>
      <c r="B7" s="23" t="s">
        <v>440</v>
      </c>
      <c r="C7" s="23" t="s">
        <v>441</v>
      </c>
      <c r="D7" s="23" t="s">
        <v>442</v>
      </c>
      <c r="E7" s="23" t="s">
        <v>1033</v>
      </c>
      <c r="F7" s="23" t="s">
        <v>16</v>
      </c>
      <c r="G7" s="118">
        <v>87.5</v>
      </c>
      <c r="H7" s="118">
        <v>90</v>
      </c>
      <c r="I7" s="119">
        <v>92.5</v>
      </c>
      <c r="J7" s="118">
        <v>90</v>
      </c>
      <c r="K7" s="118">
        <v>60</v>
      </c>
      <c r="L7" s="21">
        <v>21</v>
      </c>
      <c r="M7" s="120">
        <v>1260</v>
      </c>
      <c r="N7" s="21">
        <v>40</v>
      </c>
      <c r="O7" s="21" t="s">
        <v>857</v>
      </c>
    </row>
    <row r="8" spans="1:15" ht="12.75">
      <c r="A8" s="108">
        <v>1</v>
      </c>
      <c r="B8" s="23" t="s">
        <v>440</v>
      </c>
      <c r="C8" s="23" t="s">
        <v>788</v>
      </c>
      <c r="D8" s="23" t="s">
        <v>442</v>
      </c>
      <c r="E8" s="23" t="s">
        <v>1033</v>
      </c>
      <c r="F8" s="23" t="s">
        <v>16</v>
      </c>
      <c r="G8" s="118">
        <v>87.5</v>
      </c>
      <c r="H8" s="118">
        <v>90</v>
      </c>
      <c r="I8" s="119">
        <v>92.5</v>
      </c>
      <c r="J8" s="118">
        <v>90</v>
      </c>
      <c r="K8" s="118">
        <v>60</v>
      </c>
      <c r="L8" s="21">
        <v>21</v>
      </c>
      <c r="M8" s="120">
        <v>1260</v>
      </c>
      <c r="N8" s="21">
        <v>40</v>
      </c>
      <c r="O8" s="21" t="s">
        <v>857</v>
      </c>
    </row>
    <row r="9" spans="2:18" ht="15.75">
      <c r="B9" s="153" t="s">
        <v>41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15" ht="12.75">
      <c r="A10" s="108">
        <v>1</v>
      </c>
      <c r="B10" s="23" t="s">
        <v>810</v>
      </c>
      <c r="C10" s="23" t="s">
        <v>341</v>
      </c>
      <c r="D10" s="23" t="s">
        <v>223</v>
      </c>
      <c r="E10" s="23" t="s">
        <v>1033</v>
      </c>
      <c r="F10" s="23" t="s">
        <v>16</v>
      </c>
      <c r="G10" s="115">
        <v>140</v>
      </c>
      <c r="H10" s="115">
        <v>150</v>
      </c>
      <c r="I10" s="115"/>
      <c r="J10" s="115">
        <v>150</v>
      </c>
      <c r="K10" s="115">
        <v>90</v>
      </c>
      <c r="L10" s="116">
        <v>30</v>
      </c>
      <c r="M10" s="117">
        <v>2700</v>
      </c>
      <c r="N10" s="21">
        <v>40</v>
      </c>
      <c r="O10" s="21" t="s">
        <v>857</v>
      </c>
    </row>
    <row r="11" spans="1:15" ht="12.75">
      <c r="A11" s="108">
        <v>2</v>
      </c>
      <c r="B11" s="23" t="s">
        <v>1110</v>
      </c>
      <c r="C11" s="114" t="s">
        <v>1114</v>
      </c>
      <c r="D11" s="114" t="s">
        <v>544</v>
      </c>
      <c r="E11" s="114" t="s">
        <v>1105</v>
      </c>
      <c r="F11" s="23" t="s">
        <v>16</v>
      </c>
      <c r="G11" s="115">
        <v>120</v>
      </c>
      <c r="H11" s="115">
        <v>132.5</v>
      </c>
      <c r="I11" s="115" t="s">
        <v>1106</v>
      </c>
      <c r="J11" s="115">
        <v>132.5</v>
      </c>
      <c r="K11" s="115">
        <v>90</v>
      </c>
      <c r="L11" s="116">
        <v>20</v>
      </c>
      <c r="M11" s="117">
        <v>1800</v>
      </c>
      <c r="N11" s="21">
        <v>36</v>
      </c>
      <c r="O11" s="116" t="s">
        <v>1104</v>
      </c>
    </row>
    <row r="12" spans="1:18" ht="15.75">
      <c r="A12" s="108"/>
      <c r="B12" s="153" t="s">
        <v>1112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</row>
    <row r="13" spans="2:18" ht="15.75">
      <c r="B13" s="153" t="s">
        <v>57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</row>
    <row r="14" spans="1:16" ht="12.75">
      <c r="A14" s="108">
        <v>1</v>
      </c>
      <c r="B14" s="23" t="s">
        <v>1111</v>
      </c>
      <c r="C14" s="114" t="s">
        <v>1115</v>
      </c>
      <c r="D14" s="114" t="s">
        <v>1113</v>
      </c>
      <c r="E14" s="23" t="s">
        <v>581</v>
      </c>
      <c r="F14" s="23" t="s">
        <v>820</v>
      </c>
      <c r="G14" s="115">
        <v>165</v>
      </c>
      <c r="H14" s="115">
        <v>172.5</v>
      </c>
      <c r="I14" s="115" t="s">
        <v>1106</v>
      </c>
      <c r="J14" s="115">
        <v>172.5</v>
      </c>
      <c r="K14" s="115">
        <v>100</v>
      </c>
      <c r="L14" s="116">
        <v>28</v>
      </c>
      <c r="M14" s="117">
        <v>2800</v>
      </c>
      <c r="N14" s="21">
        <v>40</v>
      </c>
      <c r="O14" s="116" t="s">
        <v>1104</v>
      </c>
      <c r="P14" t="s">
        <v>1106</v>
      </c>
    </row>
  </sheetData>
  <sheetProtection/>
  <mergeCells count="19">
    <mergeCell ref="Q1:Q2"/>
    <mergeCell ref="R1:R2"/>
    <mergeCell ref="B2:O2"/>
    <mergeCell ref="F3:F4"/>
    <mergeCell ref="G3:J3"/>
    <mergeCell ref="K3:M3"/>
    <mergeCell ref="B3:B4"/>
    <mergeCell ref="D3:D4"/>
    <mergeCell ref="E3:E4"/>
    <mergeCell ref="A1:A2"/>
    <mergeCell ref="B1:O1"/>
    <mergeCell ref="P1:P2"/>
    <mergeCell ref="B13:R13"/>
    <mergeCell ref="B12:R12"/>
    <mergeCell ref="N3:N4"/>
    <mergeCell ref="O3:O4"/>
    <mergeCell ref="B5:R5"/>
    <mergeCell ref="B6:R6"/>
    <mergeCell ref="B9:R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2008-02-22T21:19:54Z</cp:lastPrinted>
  <dcterms:created xsi:type="dcterms:W3CDTF">2002-06-16T13:36:44Z</dcterms:created>
  <dcterms:modified xsi:type="dcterms:W3CDTF">2016-08-30T12:53:03Z</dcterms:modified>
  <cp:category/>
  <cp:version/>
  <cp:contentType/>
  <cp:contentStatus/>
</cp:coreProperties>
</file>