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9" activeTab="9"/>
  </bookViews>
  <sheets>
    <sheet name="Тяга без экипировки ДК" sheetId="1" r:id="rId1"/>
    <sheet name="Тяга без экипировки" sheetId="2" r:id="rId2"/>
    <sheet name="Жим однослойная экипировка" sheetId="3" r:id="rId3"/>
    <sheet name="Жим без экипировки ДК" sheetId="4" r:id="rId4"/>
    <sheet name="Жим без экипировки" sheetId="5" r:id="rId5"/>
    <sheet name="Пауэрлифтинг в бинтах ДК" sheetId="6" r:id="rId6"/>
    <sheet name="Пауэрлифтинг в бинтах" sheetId="7" r:id="rId7"/>
    <sheet name="Пауэрлифтинг без экипировки ДК" sheetId="8" r:id="rId8"/>
    <sheet name="Пауэрлифтинг без экипировки" sheetId="9" r:id="rId9"/>
    <sheet name="Командное первенство" sheetId="10" r:id="rId10"/>
  </sheets>
  <definedNames/>
  <calcPr fullCalcOnLoad="1"/>
</workbook>
</file>

<file path=xl/sharedStrings.xml><?xml version="1.0" encoding="utf-8"?>
<sst xmlns="http://schemas.openxmlformats.org/spreadsheetml/2006/main" count="896" uniqueCount="318">
  <si>
    <t>ФИО</t>
  </si>
  <si>
    <t>Весовая категория               Дата рождения/возраст</t>
  </si>
  <si>
    <t>Команда</t>
  </si>
  <si>
    <t>Город</t>
  </si>
  <si>
    <t>Присед</t>
  </si>
  <si>
    <t>Жим</t>
  </si>
  <si>
    <t>Тяга</t>
  </si>
  <si>
    <t>Рек.</t>
  </si>
  <si>
    <t>Сумма</t>
  </si>
  <si>
    <t>Очки</t>
  </si>
  <si>
    <t>Тренер</t>
  </si>
  <si>
    <t>Gloss</t>
  </si>
  <si>
    <t>ВЕСОВАЯ КАТЕГОРИЯ   56</t>
  </si>
  <si>
    <t>Open (26.10.1977)/38</t>
  </si>
  <si>
    <t>53,60</t>
  </si>
  <si>
    <t xml:space="preserve">Буйволы </t>
  </si>
  <si>
    <t xml:space="preserve">Буй/Костромская область </t>
  </si>
  <si>
    <t>145,0</t>
  </si>
  <si>
    <t>155,0</t>
  </si>
  <si>
    <t>75,0</t>
  </si>
  <si>
    <t>80,0</t>
  </si>
  <si>
    <t>82,5</t>
  </si>
  <si>
    <t>162,5</t>
  </si>
  <si>
    <t>170,0</t>
  </si>
  <si>
    <t>175,0</t>
  </si>
  <si>
    <t xml:space="preserve">Бурнашов, Длужневский </t>
  </si>
  <si>
    <t>ВЕСОВАЯ КАТЕГОРИЯ   67.5</t>
  </si>
  <si>
    <t>Гречанова Валерия</t>
  </si>
  <si>
    <t>Teen 16-17 (27.05.1999)/16</t>
  </si>
  <si>
    <t>64,40</t>
  </si>
  <si>
    <t xml:space="preserve">Котлас </t>
  </si>
  <si>
    <t xml:space="preserve">Котлас/Архангельская область </t>
  </si>
  <si>
    <t>70,0</t>
  </si>
  <si>
    <t>30,0</t>
  </si>
  <si>
    <t>35,0</t>
  </si>
  <si>
    <t>90,0</t>
  </si>
  <si>
    <t>95,0</t>
  </si>
  <si>
    <t>Teen 18-19 (13.02.1996)/19</t>
  </si>
  <si>
    <t>62,80</t>
  </si>
  <si>
    <t>100,0</t>
  </si>
  <si>
    <t>115,0</t>
  </si>
  <si>
    <t>105,0</t>
  </si>
  <si>
    <t>150,0</t>
  </si>
  <si>
    <t>160,0</t>
  </si>
  <si>
    <t>ВЕСОВАЯ КАТЕГОРИЯ   90</t>
  </si>
  <si>
    <t>Княжев Денис</t>
  </si>
  <si>
    <t>Open (01.06.1976)/39</t>
  </si>
  <si>
    <t>87,90</t>
  </si>
  <si>
    <t xml:space="preserve">Лично </t>
  </si>
  <si>
    <t>210,0</t>
  </si>
  <si>
    <t>215,0</t>
  </si>
  <si>
    <t>0,0</t>
  </si>
  <si>
    <t xml:space="preserve">Самостоятельно </t>
  </si>
  <si>
    <t>ВЕСОВАЯ КАТЕГОРИЯ   100</t>
  </si>
  <si>
    <t>Open (24.08.1977)/38</t>
  </si>
  <si>
    <t>100,00</t>
  </si>
  <si>
    <t xml:space="preserve">Великий Устюг </t>
  </si>
  <si>
    <t xml:space="preserve">Великий Устюг/Вологодская область </t>
  </si>
  <si>
    <t>220,0</t>
  </si>
  <si>
    <t>230,0</t>
  </si>
  <si>
    <t>232,5</t>
  </si>
  <si>
    <t>250,0</t>
  </si>
  <si>
    <t>270,0</t>
  </si>
  <si>
    <t>285,0</t>
  </si>
  <si>
    <t xml:space="preserve">Рассохин Александр </t>
  </si>
  <si>
    <t>Open (07.12.1984)/30</t>
  </si>
  <si>
    <t>94,80</t>
  </si>
  <si>
    <t>180,0</t>
  </si>
  <si>
    <t>185,0</t>
  </si>
  <si>
    <t>190,0</t>
  </si>
  <si>
    <t>120,0</t>
  </si>
  <si>
    <t>130,0</t>
  </si>
  <si>
    <t>200,0</t>
  </si>
  <si>
    <t>225,0</t>
  </si>
  <si>
    <t xml:space="preserve">Абсолютный зачёт </t>
  </si>
  <si>
    <t xml:space="preserve">ФИО </t>
  </si>
  <si>
    <t xml:space="preserve">Возрастная группа </t>
  </si>
  <si>
    <t xml:space="preserve">Весовая </t>
  </si>
  <si>
    <t xml:space="preserve">Gloss </t>
  </si>
  <si>
    <t xml:space="preserve">Открытая </t>
  </si>
  <si>
    <t xml:space="preserve">Мужчины </t>
  </si>
  <si>
    <t xml:space="preserve">100 </t>
  </si>
  <si>
    <t>ВЕСОВАЯ КАТЕГОРИЯ   52</t>
  </si>
  <si>
    <t>Teen 13-15 (15.11.2002)/12</t>
  </si>
  <si>
    <t>50,80</t>
  </si>
  <si>
    <t>125,0</t>
  </si>
  <si>
    <t>132,5</t>
  </si>
  <si>
    <t>65,0</t>
  </si>
  <si>
    <t>67,5</t>
  </si>
  <si>
    <t>135,0</t>
  </si>
  <si>
    <t>140,0</t>
  </si>
  <si>
    <t xml:space="preserve">Бурнашов Василий </t>
  </si>
  <si>
    <t>ВЕСОВАЯ КАТЕГОРИЯ   60</t>
  </si>
  <si>
    <t>Masters 55-59 (08.10.1960)/55</t>
  </si>
  <si>
    <t>60,00</t>
  </si>
  <si>
    <t>97,5</t>
  </si>
  <si>
    <t>Teen 16-17 (08.11.1999)/16</t>
  </si>
  <si>
    <t>64,70</t>
  </si>
  <si>
    <t xml:space="preserve">Вологда/Вологодская область </t>
  </si>
  <si>
    <t>110,0</t>
  </si>
  <si>
    <t>85,0</t>
  </si>
  <si>
    <t xml:space="preserve">Люсков Сергей </t>
  </si>
  <si>
    <t>Teen 16-17 (07.04.1999)/16</t>
  </si>
  <si>
    <t>66,00</t>
  </si>
  <si>
    <t>60,0</t>
  </si>
  <si>
    <t xml:space="preserve">Дурапов Николай </t>
  </si>
  <si>
    <t>ВЕСОВАЯ КАТЕГОРИЯ   75</t>
  </si>
  <si>
    <t>Teen 16-17 (28.10.1998)/17</t>
  </si>
  <si>
    <t>69,50</t>
  </si>
  <si>
    <t>122,5</t>
  </si>
  <si>
    <t>142,5</t>
  </si>
  <si>
    <t>ВЕСОВАЯ КАТЕГОРИЯ   82.5</t>
  </si>
  <si>
    <t>Open (08.11.1984)/31</t>
  </si>
  <si>
    <t>81,20</t>
  </si>
  <si>
    <t>195,0</t>
  </si>
  <si>
    <t>205,0</t>
  </si>
  <si>
    <t xml:space="preserve">Рассохин Алесандр </t>
  </si>
  <si>
    <t>Open (15.12.1988)/26</t>
  </si>
  <si>
    <t>82,20</t>
  </si>
  <si>
    <t>Masters 40-44 (08.11.1973)/42</t>
  </si>
  <si>
    <t>81,50</t>
  </si>
  <si>
    <t>Open (07.05.1988)/27</t>
  </si>
  <si>
    <t>85,60</t>
  </si>
  <si>
    <t xml:space="preserve">90 </t>
  </si>
  <si>
    <t>Open (02.07.1991)/24</t>
  </si>
  <si>
    <t>84,90</t>
  </si>
  <si>
    <t>240,0</t>
  </si>
  <si>
    <t>252,5</t>
  </si>
  <si>
    <t>295,0</t>
  </si>
  <si>
    <t>Open (03.10.1989)/26</t>
  </si>
  <si>
    <t>54,60</t>
  </si>
  <si>
    <t>50,0</t>
  </si>
  <si>
    <t>52,5</t>
  </si>
  <si>
    <t>Терюмина Екатерина</t>
  </si>
  <si>
    <t>Open (07.03.1990)/25</t>
  </si>
  <si>
    <t>74,00</t>
  </si>
  <si>
    <t>55,0</t>
  </si>
  <si>
    <t>57,5</t>
  </si>
  <si>
    <t>Белых Даниил</t>
  </si>
  <si>
    <t>Teen 13-15 (02.09.2007)/8</t>
  </si>
  <si>
    <t>27,5</t>
  </si>
  <si>
    <t>32,5</t>
  </si>
  <si>
    <t xml:space="preserve">Белых Павел </t>
  </si>
  <si>
    <t>Бураков Максим</t>
  </si>
  <si>
    <t>Teen 13-15 (15.04.2005)/10</t>
  </si>
  <si>
    <t>45,00</t>
  </si>
  <si>
    <t>25,0</t>
  </si>
  <si>
    <t>Леннок Ян</t>
  </si>
  <si>
    <t>Teen 13-15 (08.06.2001)/14</t>
  </si>
  <si>
    <t>57,80</t>
  </si>
  <si>
    <t>Капустин Игнат</t>
  </si>
  <si>
    <t>Teen 13-15 (08.10.2000)/15</t>
  </si>
  <si>
    <t>62,60</t>
  </si>
  <si>
    <t>72,5</t>
  </si>
  <si>
    <t>Teen 18-19 (08.07.1997)/18</t>
  </si>
  <si>
    <t>70,90</t>
  </si>
  <si>
    <t>Juniors 20-23 (15.10.1994)/21</t>
  </si>
  <si>
    <t>90,00</t>
  </si>
  <si>
    <t>Егоров Олег</t>
  </si>
  <si>
    <t>Open (23.12.1986)/28</t>
  </si>
  <si>
    <t>88,70</t>
  </si>
  <si>
    <t xml:space="preserve">пгт Кадуй/Вологодская область </t>
  </si>
  <si>
    <t xml:space="preserve">Нестеренко Геннадий </t>
  </si>
  <si>
    <t>Open (06.08.1980)/35</t>
  </si>
  <si>
    <t>165,0</t>
  </si>
  <si>
    <t>Juniors 20-23 (06.04.1995)/20</t>
  </si>
  <si>
    <t>99,00</t>
  </si>
  <si>
    <t>Марков Артем</t>
  </si>
  <si>
    <t>Open (03.08.1986)/29</t>
  </si>
  <si>
    <t>99,50</t>
  </si>
  <si>
    <t>192,5</t>
  </si>
  <si>
    <t>Open (13.02.1984)/31</t>
  </si>
  <si>
    <t>97,40</t>
  </si>
  <si>
    <t>137,5</t>
  </si>
  <si>
    <t>95,50</t>
  </si>
  <si>
    <t>ВЕСОВАЯ КАТЕГОРИЯ   110</t>
  </si>
  <si>
    <t>Open (18.02.1977)/38</t>
  </si>
  <si>
    <t>110,00</t>
  </si>
  <si>
    <t>Кулаков Александр</t>
  </si>
  <si>
    <t>Open (23.10.1986)/29</t>
  </si>
  <si>
    <t>104,00</t>
  </si>
  <si>
    <t>ВЕСОВАЯ КАТЕГОРИЯ   125</t>
  </si>
  <si>
    <t>Калининский Илья</t>
  </si>
  <si>
    <t>Open (11.04.1989)/26</t>
  </si>
  <si>
    <t>118,20</t>
  </si>
  <si>
    <t>ВЕСОВАЯ КАТЕГОРИЯ   140</t>
  </si>
  <si>
    <t>Masters 45-49 (17.04.1970)/45</t>
  </si>
  <si>
    <t>125,80</t>
  </si>
  <si>
    <t xml:space="preserve">125 </t>
  </si>
  <si>
    <t>121,6160</t>
  </si>
  <si>
    <t>117,2015</t>
  </si>
  <si>
    <t>116,5100</t>
  </si>
  <si>
    <t>51,00</t>
  </si>
  <si>
    <t>Teen 16-17 (28.12.1998)/16</t>
  </si>
  <si>
    <t>67,40</t>
  </si>
  <si>
    <t>Teen 16-17 (06.05.1998)/17</t>
  </si>
  <si>
    <t>59,40</t>
  </si>
  <si>
    <t>112,5</t>
  </si>
  <si>
    <t>Бессолов Андрей</t>
  </si>
  <si>
    <t>Open (16.12.1984)/30</t>
  </si>
  <si>
    <t>72,30</t>
  </si>
  <si>
    <t>127,5</t>
  </si>
  <si>
    <t>Teen 13-15 (10.03.2001)/14</t>
  </si>
  <si>
    <t>82,00</t>
  </si>
  <si>
    <t>Masters 40-44 (11.12.1972)/42</t>
  </si>
  <si>
    <t>77,10</t>
  </si>
  <si>
    <t>167,5</t>
  </si>
  <si>
    <t>Masters 40-44 (21.08.1973)/42</t>
  </si>
  <si>
    <t>152,5</t>
  </si>
  <si>
    <t>Канин Михаил</t>
  </si>
  <si>
    <t>Open (06.07.1978)/37</t>
  </si>
  <si>
    <t>97,10</t>
  </si>
  <si>
    <t>Бобчихин Сергей</t>
  </si>
  <si>
    <t>Open (25.06.1975)/40</t>
  </si>
  <si>
    <t>118,30</t>
  </si>
  <si>
    <t>105,0130</t>
  </si>
  <si>
    <t>102,4849</t>
  </si>
  <si>
    <t>100,1045</t>
  </si>
  <si>
    <t>Open (26.03.1976)/39</t>
  </si>
  <si>
    <t>111,90</t>
  </si>
  <si>
    <t>Дурапов Николай</t>
  </si>
  <si>
    <t>Open (17.07.1980)/35</t>
  </si>
  <si>
    <t>83,40</t>
  </si>
  <si>
    <t>290,0</t>
  </si>
  <si>
    <t>300,0</t>
  </si>
  <si>
    <t>Бурнашов Василий</t>
  </si>
  <si>
    <t>Open (28.11.1977)/37</t>
  </si>
  <si>
    <t>85,90</t>
  </si>
  <si>
    <t>280,0</t>
  </si>
  <si>
    <t>302,5</t>
  </si>
  <si>
    <t>Зеленин Сергей</t>
  </si>
  <si>
    <t>Open (23.02.1980)/35</t>
  </si>
  <si>
    <t>118,10</t>
  </si>
  <si>
    <t>310,0</t>
  </si>
  <si>
    <t>320,0</t>
  </si>
  <si>
    <t>330,0</t>
  </si>
  <si>
    <t>Open (28.02.1985)/30</t>
  </si>
  <si>
    <t>121,00</t>
  </si>
  <si>
    <t>235,0</t>
  </si>
  <si>
    <t>262,5</t>
  </si>
  <si>
    <t>192,0450</t>
  </si>
  <si>
    <t>182,2940</t>
  </si>
  <si>
    <t>176,9280</t>
  </si>
  <si>
    <t>Место</t>
  </si>
  <si>
    <t>1</t>
  </si>
  <si>
    <t>Результат</t>
  </si>
  <si>
    <t>2</t>
  </si>
  <si>
    <t>3</t>
  </si>
  <si>
    <t>Open (19.03.1982)/32</t>
  </si>
  <si>
    <t>27,8</t>
  </si>
  <si>
    <t>Великий Устюг</t>
  </si>
  <si>
    <t>Котлас</t>
  </si>
  <si>
    <t>Буйволы</t>
  </si>
  <si>
    <t>Буй/Костромская область</t>
  </si>
  <si>
    <t>Котлас/Архангельская область</t>
  </si>
  <si>
    <t>Великий Устюг/Вологодская область</t>
  </si>
  <si>
    <t>73</t>
  </si>
  <si>
    <t>33</t>
  </si>
  <si>
    <t>8</t>
  </si>
  <si>
    <t>Teen 16-17 (04.01.1999)/16</t>
  </si>
  <si>
    <t>Masters 40-44 (21.05.1971)/44</t>
  </si>
  <si>
    <t>Открытый Кубок Вологодской области GPA/IPO                                                                                                                 Командное первенство
г. Великий Устюг, 14 ноября 2015 г.</t>
  </si>
  <si>
    <t>Открытый Кубок Вологодской области GPA/IPO                                                                                                                 Пауэрлифтинг без экипировки
г. Великий Устюг, 14 ноября 2015 г.</t>
  </si>
  <si>
    <t xml:space="preserve">Бурнашова Светлана </t>
  </si>
  <si>
    <t xml:space="preserve">Задорожнов Александр </t>
  </si>
  <si>
    <t xml:space="preserve">Моисеев Сергей </t>
  </si>
  <si>
    <t xml:space="preserve">Сатулин Вадим </t>
  </si>
  <si>
    <t>Собств. вес</t>
  </si>
  <si>
    <t>Город/област</t>
  </si>
  <si>
    <t xml:space="preserve">Княжев Денис </t>
  </si>
  <si>
    <t>Открытый Кубок Вологодской области GPA/IPO                                                                                                                Пауэрлифтинг без экипировки ДК
г. Великий Устюг, 14 ноября 2015 г.</t>
  </si>
  <si>
    <t xml:space="preserve">Бурнашов Владимир </t>
  </si>
  <si>
    <t xml:space="preserve">Двойников Олег </t>
  </si>
  <si>
    <t xml:space="preserve">Люсков Роман </t>
  </si>
  <si>
    <t xml:space="preserve">Галкин Максим </t>
  </si>
  <si>
    <t xml:space="preserve">Третьяков Дмитрий </t>
  </si>
  <si>
    <t xml:space="preserve">Шашерин Артем </t>
  </si>
  <si>
    <t xml:space="preserve"> </t>
  </si>
  <si>
    <t xml:space="preserve">Лактионов Николай </t>
  </si>
  <si>
    <t>Сямжа/Вологодская область</t>
  </si>
  <si>
    <t>Город/ область</t>
  </si>
  <si>
    <t xml:space="preserve">Самостоятелно </t>
  </si>
  <si>
    <t xml:space="preserve">Поникаровский Юрий  </t>
  </si>
  <si>
    <t>Открытый Кубок Вологодской области GPA/IPO                                                                                                Пауэрлифтинг в бинтах 
г. Великий Устюг, 14 ноября 2015 г.</t>
  </si>
  <si>
    <t xml:space="preserve">Якушевич Алексей </t>
  </si>
  <si>
    <t>Открытый Кубок Вологодской области GPA/IPO                                                                                                               Пауэрлифтинг в бинтах ДК
г. Великий Устюг, 14 ноября 2015 г.</t>
  </si>
  <si>
    <t xml:space="preserve">Длужневский Сергей </t>
  </si>
  <si>
    <t>Открытый Кубок Вологодской области GPA/IPO                                                                                                              Жим без экипировки
г. Великий Устюг, 14 ноября 2015 г.</t>
  </si>
  <si>
    <t xml:space="preserve">Конева Наталья </t>
  </si>
  <si>
    <t xml:space="preserve">Поморцев Василий </t>
  </si>
  <si>
    <t xml:space="preserve">Насоновский Павел </t>
  </si>
  <si>
    <t xml:space="preserve">Егоров Олег </t>
  </si>
  <si>
    <t xml:space="preserve">Губенский Никита </t>
  </si>
  <si>
    <t xml:space="preserve">Марков Артем </t>
  </si>
  <si>
    <t xml:space="preserve">Брагин Алексей </t>
  </si>
  <si>
    <t xml:space="preserve">Шевкун Александр </t>
  </si>
  <si>
    <t xml:space="preserve">Капустин Андрей </t>
  </si>
  <si>
    <t xml:space="preserve">Калининский Илья </t>
  </si>
  <si>
    <t xml:space="preserve">Евстефеев Андрей </t>
  </si>
  <si>
    <t>Открытый Кубок Вологодской области GPA/IPO                                                                                                              Жим без экипировки ДК
г. Великий Устюг, 14 ноября 2015 г.</t>
  </si>
  <si>
    <t xml:space="preserve">Ермолаева Анастасия </t>
  </si>
  <si>
    <t xml:space="preserve">Третьякова Алена </t>
  </si>
  <si>
    <t xml:space="preserve">Шильниковский Сергей </t>
  </si>
  <si>
    <t xml:space="preserve">Бессолов Андрей </t>
  </si>
  <si>
    <t xml:space="preserve">Ермолин Никита </t>
  </si>
  <si>
    <t xml:space="preserve">Коровин Сергей  </t>
  </si>
  <si>
    <t xml:space="preserve">Бессолов Дмитрий </t>
  </si>
  <si>
    <t xml:space="preserve">Шамов Сергей </t>
  </si>
  <si>
    <t xml:space="preserve">Канин Михаил </t>
  </si>
  <si>
    <t xml:space="preserve">Бобчихин Сергей </t>
  </si>
  <si>
    <t>Демьяново/Кировская область</t>
  </si>
  <si>
    <t xml:space="preserve">Чебыкин Андрей </t>
  </si>
  <si>
    <t>Открытый Кубок Вологодской области GPA/IPO                                                                                                              Жим лежа в однослойной экипировке
г. Великий Устюг, 14 ноября 2015 г.</t>
  </si>
  <si>
    <t>Открытый Кубок Вологодской области GPA/IPO                                                                                                              Становая тяга без экипировки
г. Великий Устюг, 14 ноября 2015 г.</t>
  </si>
  <si>
    <t xml:space="preserve">Зеленин Сергей </t>
  </si>
  <si>
    <t xml:space="preserve">Голубков Денис </t>
  </si>
  <si>
    <t>Открытый Кубок Вологодской области GPA/IPO                                                                                                              Становая тяга без экипировки ДК
г. Великий Устюг, 14 ноября 2015 г.</t>
  </si>
  <si>
    <t>Весовая категория                   Дата рождения/возраст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</si>
</sst>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_-* #,##0.0_р_._-;\-* #,##0.0_р_._-;_-* &quot;-&quot;??_р_._-;_-@_-"/>
  </numFmts>
  <fonts count="49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ill="1" applyBorder="1" applyAlignment="1">
      <alignment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176" fontId="2" fillId="0" borderId="13" xfId="58" applyNumberFormat="1" applyFont="1" applyFill="1" applyBorder="1" applyAlignment="1">
      <alignment horizontal="center"/>
    </xf>
    <xf numFmtId="176" fontId="2" fillId="0" borderId="14" xfId="58" applyNumberFormat="1" applyFont="1" applyFill="1" applyBorder="1" applyAlignment="1">
      <alignment horizontal="center"/>
    </xf>
    <xf numFmtId="176" fontId="2" fillId="0" borderId="13" xfId="58" applyNumberFormat="1" applyFont="1" applyBorder="1" applyAlignment="1">
      <alignment horizontal="center"/>
    </xf>
    <xf numFmtId="176" fontId="2" fillId="0" borderId="15" xfId="58" applyNumberFormat="1" applyFont="1" applyBorder="1" applyAlignment="1">
      <alignment horizontal="center"/>
    </xf>
    <xf numFmtId="176" fontId="2" fillId="0" borderId="14" xfId="58" applyNumberFormat="1" applyFont="1" applyBorder="1" applyAlignment="1">
      <alignment horizontal="center"/>
    </xf>
    <xf numFmtId="176" fontId="48" fillId="0" borderId="14" xfId="58" applyNumberFormat="1" applyFont="1" applyBorder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B3" sqref="B3:B4"/>
    </sheetView>
  </sheetViews>
  <sheetFormatPr defaultColWidth="8.75390625" defaultRowHeight="12.75"/>
  <cols>
    <col min="1" max="1" width="7.875" style="25" bestFit="1" customWidth="1"/>
    <col min="2" max="2" width="26.00390625" style="12" bestFit="1" customWidth="1"/>
    <col min="3" max="3" width="26.875" style="12" bestFit="1" customWidth="1"/>
    <col min="4" max="4" width="10.625" style="12" bestFit="1" customWidth="1"/>
    <col min="5" max="5" width="8.375" style="12" bestFit="1" customWidth="1"/>
    <col min="6" max="6" width="15.125" style="12" customWidth="1"/>
    <col min="7" max="7" width="34.00390625" style="12" bestFit="1" customWidth="1"/>
    <col min="8" max="10" width="5.625" style="25" bestFit="1" customWidth="1"/>
    <col min="11" max="11" width="5.125" style="25" bestFit="1" customWidth="1"/>
    <col min="12" max="12" width="12.375" style="25" customWidth="1"/>
    <col min="13" max="13" width="8.625" style="25" bestFit="1" customWidth="1"/>
    <col min="14" max="14" width="19.125" style="12" bestFit="1" customWidth="1"/>
  </cols>
  <sheetData>
    <row r="1" spans="2:14" s="1" customFormat="1" ht="15" customHeight="1">
      <c r="B1" s="74" t="s">
        <v>316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2:14" s="1" customFormat="1" ht="114.75" customHeight="1" thickBot="1">
      <c r="B2" s="75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3" customFormat="1" ht="12.75" customHeight="1">
      <c r="A3" s="76" t="s">
        <v>243</v>
      </c>
      <c r="B3" s="54" t="s">
        <v>0</v>
      </c>
      <c r="C3" s="66" t="s">
        <v>1</v>
      </c>
      <c r="D3" s="66" t="s">
        <v>267</v>
      </c>
      <c r="E3" s="54" t="s">
        <v>11</v>
      </c>
      <c r="F3" s="54" t="s">
        <v>2</v>
      </c>
      <c r="G3" s="67" t="s">
        <v>280</v>
      </c>
      <c r="H3" s="64" t="s">
        <v>6</v>
      </c>
      <c r="I3" s="54"/>
      <c r="J3" s="54"/>
      <c r="K3" s="56"/>
      <c r="L3" s="52" t="s">
        <v>245</v>
      </c>
      <c r="M3" s="54" t="s">
        <v>9</v>
      </c>
      <c r="N3" s="56" t="s">
        <v>10</v>
      </c>
    </row>
    <row r="4" spans="1:14" s="3" customFormat="1" ht="23.25" customHeight="1" thickBot="1">
      <c r="A4" s="77"/>
      <c r="B4" s="55"/>
      <c r="C4" s="55"/>
      <c r="D4" s="55"/>
      <c r="E4" s="55"/>
      <c r="F4" s="55"/>
      <c r="G4" s="68"/>
      <c r="H4" s="5">
        <v>1</v>
      </c>
      <c r="I4" s="6">
        <v>2</v>
      </c>
      <c r="J4" s="6">
        <v>3</v>
      </c>
      <c r="K4" s="7" t="s">
        <v>7</v>
      </c>
      <c r="L4" s="53"/>
      <c r="M4" s="55"/>
      <c r="N4" s="57"/>
    </row>
    <row r="5" spans="1:13" ht="15.75">
      <c r="A5"/>
      <c r="B5" s="58" t="s">
        <v>92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ht="12.75">
      <c r="A6" s="23" t="s">
        <v>244</v>
      </c>
      <c r="B6" s="13" t="s">
        <v>272</v>
      </c>
      <c r="C6" s="13" t="s">
        <v>93</v>
      </c>
      <c r="D6" s="13" t="s">
        <v>94</v>
      </c>
      <c r="E6" s="13" t="str">
        <f>"0,8328"</f>
        <v>0,8328</v>
      </c>
      <c r="F6" s="13" t="s">
        <v>56</v>
      </c>
      <c r="G6" s="13" t="s">
        <v>57</v>
      </c>
      <c r="H6" s="26" t="s">
        <v>43</v>
      </c>
      <c r="I6" s="26" t="s">
        <v>23</v>
      </c>
      <c r="J6" s="26" t="s">
        <v>24</v>
      </c>
      <c r="K6" s="24"/>
      <c r="L6" s="80">
        <v>175</v>
      </c>
      <c r="M6" s="23" t="str">
        <f>"178,5422"</f>
        <v>178,5422</v>
      </c>
      <c r="N6" s="13" t="s">
        <v>52</v>
      </c>
    </row>
    <row r="8" spans="1:13" ht="15.75">
      <c r="A8"/>
      <c r="B8" s="59" t="s">
        <v>111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4" ht="12.75">
      <c r="A9" s="23" t="s">
        <v>244</v>
      </c>
      <c r="B9" s="13" t="s">
        <v>276</v>
      </c>
      <c r="C9" s="13" t="s">
        <v>112</v>
      </c>
      <c r="D9" s="13" t="s">
        <v>113</v>
      </c>
      <c r="E9" s="13" t="str">
        <f>"0,6513"</f>
        <v>0,6513</v>
      </c>
      <c r="F9" s="13" t="s">
        <v>56</v>
      </c>
      <c r="G9" s="13" t="s">
        <v>57</v>
      </c>
      <c r="H9" s="26" t="s">
        <v>50</v>
      </c>
      <c r="I9" s="27" t="s">
        <v>73</v>
      </c>
      <c r="J9" s="26" t="s">
        <v>73</v>
      </c>
      <c r="K9" s="24"/>
      <c r="L9" s="80">
        <v>225</v>
      </c>
      <c r="M9" s="23" t="str">
        <f>"146,5425"</f>
        <v>146,5425</v>
      </c>
      <c r="N9" s="13" t="s">
        <v>116</v>
      </c>
    </row>
  </sheetData>
  <sheetProtection/>
  <mergeCells count="14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A3:A4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D1">
      <selection activeCell="P3" sqref="P3"/>
    </sheetView>
  </sheetViews>
  <sheetFormatPr defaultColWidth="9.125" defaultRowHeight="12.75"/>
  <cols>
    <col min="1" max="1" width="7.375" style="40" customWidth="1"/>
    <col min="2" max="2" width="21.25390625" style="47" customWidth="1"/>
    <col min="3" max="3" width="32.625" style="2" customWidth="1"/>
    <col min="4" max="4" width="36.125" style="2" customWidth="1"/>
    <col min="5" max="5" width="8.375" style="2" hidden="1" customWidth="1"/>
    <col min="6" max="6" width="14.25390625" style="4" hidden="1" customWidth="1"/>
    <col min="7" max="7" width="2.25390625" style="4" hidden="1" customWidth="1"/>
    <col min="8" max="10" width="5.625" style="40" hidden="1" customWidth="1"/>
    <col min="11" max="11" width="5.125" style="40" hidden="1" customWidth="1"/>
    <col min="12" max="14" width="5.625" style="40" hidden="1" customWidth="1"/>
    <col min="15" max="15" width="5.125" style="40" hidden="1" customWidth="1"/>
    <col min="16" max="16384" width="9.125" style="1" customWidth="1"/>
  </cols>
  <sheetData>
    <row r="1" spans="1:15" ht="15" customHeight="1">
      <c r="A1" s="1"/>
      <c r="B1" s="71" t="s">
        <v>261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96.75" customHeight="1" thickBot="1">
      <c r="A2" s="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4" s="3" customFormat="1" ht="12.75" customHeight="1">
      <c r="A3" s="64" t="s">
        <v>243</v>
      </c>
      <c r="B3" s="54" t="s">
        <v>2</v>
      </c>
      <c r="C3" s="66" t="s">
        <v>3</v>
      </c>
      <c r="D3" s="73" t="s">
        <v>9</v>
      </c>
    </row>
    <row r="4" spans="1:4" s="3" customFormat="1" ht="23.25" customHeight="1" thickBot="1">
      <c r="A4" s="65"/>
      <c r="B4" s="55"/>
      <c r="C4" s="55"/>
      <c r="D4" s="57"/>
    </row>
    <row r="5" spans="1:4" ht="12.75">
      <c r="A5" s="40" t="s">
        <v>244</v>
      </c>
      <c r="B5" s="47" t="s">
        <v>250</v>
      </c>
      <c r="C5" s="4" t="s">
        <v>255</v>
      </c>
      <c r="D5" s="2" t="s">
        <v>256</v>
      </c>
    </row>
    <row r="6" spans="1:4" ht="12.75">
      <c r="A6" s="40" t="s">
        <v>246</v>
      </c>
      <c r="B6" s="47" t="s">
        <v>251</v>
      </c>
      <c r="C6" s="4" t="s">
        <v>254</v>
      </c>
      <c r="D6" s="2" t="s">
        <v>257</v>
      </c>
    </row>
    <row r="7" spans="1:4" ht="12.75">
      <c r="A7" s="40" t="s">
        <v>247</v>
      </c>
      <c r="B7" s="47" t="s">
        <v>252</v>
      </c>
      <c r="C7" s="4" t="s">
        <v>253</v>
      </c>
      <c r="D7" s="2" t="s">
        <v>258</v>
      </c>
    </row>
  </sheetData>
  <sheetProtection/>
  <mergeCells count="5">
    <mergeCell ref="B1:O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L13" sqref="L13:L14"/>
    </sheetView>
  </sheetViews>
  <sheetFormatPr defaultColWidth="8.75390625" defaultRowHeight="12.75"/>
  <cols>
    <col min="1" max="1" width="7.875" style="25" bestFit="1" customWidth="1"/>
    <col min="2" max="2" width="26.00390625" style="12" bestFit="1" customWidth="1"/>
    <col min="3" max="3" width="28.125" style="12" customWidth="1"/>
    <col min="4" max="4" width="10.625" style="12" bestFit="1" customWidth="1"/>
    <col min="5" max="5" width="13.625" style="12" customWidth="1"/>
    <col min="6" max="6" width="15.25390625" style="12" customWidth="1"/>
    <col min="7" max="7" width="34.00390625" style="12" bestFit="1" customWidth="1"/>
    <col min="8" max="11" width="5.625" style="25" bestFit="1" customWidth="1"/>
    <col min="12" max="12" width="11.625" style="25" customWidth="1"/>
    <col min="13" max="13" width="8.625" style="25" bestFit="1" customWidth="1"/>
    <col min="14" max="14" width="29.875" style="12" bestFit="1" customWidth="1"/>
  </cols>
  <sheetData>
    <row r="1" spans="2:14" s="1" customFormat="1" ht="15" customHeight="1">
      <c r="B1" s="74" t="s">
        <v>313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2:14" s="1" customFormat="1" ht="90.75" customHeight="1" thickBot="1">
      <c r="B2" s="75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3" customFormat="1" ht="12.75" customHeight="1">
      <c r="A3" s="76" t="s">
        <v>243</v>
      </c>
      <c r="B3" s="84" t="s">
        <v>0</v>
      </c>
      <c r="C3" s="66" t="s">
        <v>317</v>
      </c>
      <c r="D3" s="66" t="s">
        <v>267</v>
      </c>
      <c r="E3" s="54" t="s">
        <v>11</v>
      </c>
      <c r="F3" s="54" t="s">
        <v>2</v>
      </c>
      <c r="G3" s="67" t="s">
        <v>280</v>
      </c>
      <c r="H3" s="64" t="s">
        <v>6</v>
      </c>
      <c r="I3" s="54"/>
      <c r="J3" s="54"/>
      <c r="K3" s="56"/>
      <c r="L3" s="52" t="s">
        <v>245</v>
      </c>
      <c r="M3" s="54" t="s">
        <v>9</v>
      </c>
      <c r="N3" s="56" t="s">
        <v>10</v>
      </c>
    </row>
    <row r="4" spans="1:14" s="3" customFormat="1" ht="23.25" customHeight="1" thickBot="1">
      <c r="A4" s="77"/>
      <c r="B4" s="85"/>
      <c r="C4" s="55"/>
      <c r="D4" s="55"/>
      <c r="E4" s="55"/>
      <c r="F4" s="55"/>
      <c r="G4" s="68"/>
      <c r="H4" s="5">
        <v>1</v>
      </c>
      <c r="I4" s="6">
        <v>2</v>
      </c>
      <c r="J4" s="6">
        <v>3</v>
      </c>
      <c r="K4" s="7" t="s">
        <v>7</v>
      </c>
      <c r="L4" s="53"/>
      <c r="M4" s="55"/>
      <c r="N4" s="57"/>
    </row>
    <row r="5" spans="1:13" ht="15.75">
      <c r="A5"/>
      <c r="B5" s="58" t="s">
        <v>26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ht="12.75">
      <c r="A6" s="23" t="s">
        <v>244</v>
      </c>
      <c r="B6" s="13" t="s">
        <v>264</v>
      </c>
      <c r="C6" s="13" t="s">
        <v>37</v>
      </c>
      <c r="D6" s="13" t="s">
        <v>38</v>
      </c>
      <c r="E6" s="13" t="str">
        <f>"0,7977"</f>
        <v>0,7977</v>
      </c>
      <c r="F6" s="13" t="s">
        <v>30</v>
      </c>
      <c r="G6" s="13" t="s">
        <v>31</v>
      </c>
      <c r="H6" s="26" t="s">
        <v>42</v>
      </c>
      <c r="I6" s="26" t="s">
        <v>43</v>
      </c>
      <c r="J6" s="27" t="s">
        <v>23</v>
      </c>
      <c r="K6" s="24"/>
      <c r="L6" s="80">
        <v>160</v>
      </c>
      <c r="M6" s="23" t="str">
        <f>"127,6320"</f>
        <v>127,6320</v>
      </c>
      <c r="N6" s="13" t="s">
        <v>52</v>
      </c>
    </row>
    <row r="8" spans="1:13" ht="15.75">
      <c r="A8"/>
      <c r="B8" s="59" t="s">
        <v>44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4" ht="12.75">
      <c r="A9" s="23" t="s">
        <v>244</v>
      </c>
      <c r="B9" s="13" t="s">
        <v>105</v>
      </c>
      <c r="C9" s="13" t="s">
        <v>221</v>
      </c>
      <c r="D9" s="13" t="s">
        <v>222</v>
      </c>
      <c r="E9" s="13" t="str">
        <f>"0,6402"</f>
        <v>0,6402</v>
      </c>
      <c r="F9" s="13" t="s">
        <v>56</v>
      </c>
      <c r="G9" s="13" t="s">
        <v>57</v>
      </c>
      <c r="H9" s="26" t="s">
        <v>223</v>
      </c>
      <c r="I9" s="26" t="s">
        <v>224</v>
      </c>
      <c r="J9" s="24"/>
      <c r="K9" s="24"/>
      <c r="L9" s="80">
        <v>300</v>
      </c>
      <c r="M9" s="23" t="str">
        <f>"192,0450"</f>
        <v>192,0450</v>
      </c>
      <c r="N9" s="15" t="s">
        <v>286</v>
      </c>
    </row>
    <row r="10" spans="1:14" ht="12.75">
      <c r="A10" s="30" t="s">
        <v>246</v>
      </c>
      <c r="B10" s="15" t="s">
        <v>91</v>
      </c>
      <c r="C10" s="15" t="s">
        <v>226</v>
      </c>
      <c r="D10" s="15" t="s">
        <v>227</v>
      </c>
      <c r="E10" s="15" t="str">
        <f>"0,6286"</f>
        <v>0,6286</v>
      </c>
      <c r="F10" s="15" t="s">
        <v>15</v>
      </c>
      <c r="G10" s="15" t="s">
        <v>16</v>
      </c>
      <c r="H10" s="33" t="s">
        <v>228</v>
      </c>
      <c r="I10" s="33" t="s">
        <v>223</v>
      </c>
      <c r="J10" s="34" t="s">
        <v>229</v>
      </c>
      <c r="K10" s="31"/>
      <c r="L10" s="82">
        <v>290</v>
      </c>
      <c r="M10" s="30" t="str">
        <f>"182,2940"</f>
        <v>182,2940</v>
      </c>
      <c r="N10" s="15" t="s">
        <v>286</v>
      </c>
    </row>
    <row r="12" spans="1:13" ht="15.75">
      <c r="A12"/>
      <c r="B12" s="59" t="s">
        <v>181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4" ht="12.75">
      <c r="A13" s="23" t="s">
        <v>244</v>
      </c>
      <c r="B13" s="13" t="s">
        <v>314</v>
      </c>
      <c r="C13" s="13" t="s">
        <v>231</v>
      </c>
      <c r="D13" s="13" t="s">
        <v>232</v>
      </c>
      <c r="E13" s="13" t="str">
        <f>"0,5529"</f>
        <v>0,5529</v>
      </c>
      <c r="F13" s="13" t="s">
        <v>56</v>
      </c>
      <c r="G13" s="13" t="s">
        <v>57</v>
      </c>
      <c r="H13" s="26" t="s">
        <v>233</v>
      </c>
      <c r="I13" s="26" t="s">
        <v>234</v>
      </c>
      <c r="J13" s="27" t="s">
        <v>235</v>
      </c>
      <c r="K13" s="24"/>
      <c r="L13" s="80">
        <v>320</v>
      </c>
      <c r="M13" s="23" t="str">
        <f>"176,9280"</f>
        <v>176,9280</v>
      </c>
      <c r="N13" s="13" t="s">
        <v>52</v>
      </c>
    </row>
    <row r="14" spans="1:14" ht="12.75">
      <c r="A14" s="30" t="s">
        <v>246</v>
      </c>
      <c r="B14" s="15" t="s">
        <v>315</v>
      </c>
      <c r="C14" s="15" t="s">
        <v>236</v>
      </c>
      <c r="D14" s="15" t="s">
        <v>237</v>
      </c>
      <c r="E14" s="15" t="str">
        <f>"0,5499"</f>
        <v>0,5499</v>
      </c>
      <c r="F14" s="15" t="s">
        <v>48</v>
      </c>
      <c r="G14" s="15" t="s">
        <v>57</v>
      </c>
      <c r="H14" s="33" t="s">
        <v>238</v>
      </c>
      <c r="I14" s="33" t="s">
        <v>239</v>
      </c>
      <c r="J14" s="33" t="s">
        <v>223</v>
      </c>
      <c r="K14" s="34" t="s">
        <v>224</v>
      </c>
      <c r="L14" s="82">
        <v>290</v>
      </c>
      <c r="M14" s="30" t="str">
        <f>"159,4710"</f>
        <v>159,4710</v>
      </c>
      <c r="N14" s="13" t="s">
        <v>52</v>
      </c>
    </row>
    <row r="17" spans="2:3" ht="18">
      <c r="B17" s="16" t="s">
        <v>74</v>
      </c>
      <c r="C17" s="16"/>
    </row>
    <row r="18" spans="2:3" ht="18">
      <c r="B18" s="17" t="s">
        <v>80</v>
      </c>
      <c r="C18" s="16"/>
    </row>
    <row r="19" spans="2:3" ht="13.5">
      <c r="B19" s="19"/>
      <c r="C19" s="20" t="s">
        <v>277</v>
      </c>
    </row>
    <row r="20" spans="2:6" ht="13.5">
      <c r="B20" s="21" t="s">
        <v>75</v>
      </c>
      <c r="C20" s="21" t="s">
        <v>76</v>
      </c>
      <c r="D20" s="21" t="s">
        <v>77</v>
      </c>
      <c r="E20" s="21" t="s">
        <v>245</v>
      </c>
      <c r="F20" s="21" t="s">
        <v>78</v>
      </c>
    </row>
    <row r="21" spans="1:6" ht="12.75">
      <c r="A21" s="25" t="s">
        <v>244</v>
      </c>
      <c r="B21" s="18" t="s">
        <v>220</v>
      </c>
      <c r="C21" s="12" t="s">
        <v>79</v>
      </c>
      <c r="D21" s="12" t="s">
        <v>123</v>
      </c>
      <c r="E21" s="12" t="s">
        <v>224</v>
      </c>
      <c r="F21" s="22" t="s">
        <v>240</v>
      </c>
    </row>
    <row r="22" spans="1:6" ht="12.75">
      <c r="A22" s="25" t="s">
        <v>246</v>
      </c>
      <c r="B22" s="18" t="s">
        <v>225</v>
      </c>
      <c r="C22" s="12" t="s">
        <v>79</v>
      </c>
      <c r="D22" s="12" t="s">
        <v>123</v>
      </c>
      <c r="E22" s="12" t="s">
        <v>223</v>
      </c>
      <c r="F22" s="22" t="s">
        <v>241</v>
      </c>
    </row>
    <row r="23" spans="1:6" ht="12.75">
      <c r="A23" s="25" t="s">
        <v>247</v>
      </c>
      <c r="B23" s="18" t="s">
        <v>230</v>
      </c>
      <c r="C23" s="12" t="s">
        <v>79</v>
      </c>
      <c r="D23" s="12" t="s">
        <v>188</v>
      </c>
      <c r="E23" s="12" t="s">
        <v>234</v>
      </c>
      <c r="F23" s="22" t="s">
        <v>242</v>
      </c>
    </row>
  </sheetData>
  <sheetProtection/>
  <mergeCells count="15">
    <mergeCell ref="B12:M12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  <mergeCell ref="B5:M5"/>
    <mergeCell ref="B8: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L6" sqref="L6"/>
    </sheetView>
  </sheetViews>
  <sheetFormatPr defaultColWidth="8.75390625" defaultRowHeight="12.75"/>
  <cols>
    <col min="1" max="1" width="7.875" style="25" bestFit="1" customWidth="1"/>
    <col min="2" max="2" width="24.00390625" style="12" customWidth="1"/>
    <col min="3" max="3" width="25.875" style="12" customWidth="1"/>
    <col min="4" max="4" width="10.625" style="12" bestFit="1" customWidth="1"/>
    <col min="5" max="5" width="8.375" style="12" bestFit="1" customWidth="1"/>
    <col min="6" max="6" width="16.25390625" style="12" customWidth="1"/>
    <col min="7" max="7" width="34.00390625" style="12" bestFit="1" customWidth="1"/>
    <col min="8" max="10" width="5.625" style="25" bestFit="1" customWidth="1"/>
    <col min="11" max="11" width="5.125" style="25" bestFit="1" customWidth="1"/>
    <col min="12" max="12" width="13.25390625" style="25" customWidth="1"/>
    <col min="13" max="13" width="8.625" style="25" bestFit="1" customWidth="1"/>
    <col min="14" max="14" width="15.75390625" style="12" bestFit="1" customWidth="1"/>
  </cols>
  <sheetData>
    <row r="1" spans="2:14" s="1" customFormat="1" ht="15" customHeight="1">
      <c r="B1" s="74" t="s">
        <v>312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2:14" s="1" customFormat="1" ht="89.25" customHeight="1" thickBot="1">
      <c r="B2" s="75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3" customFormat="1" ht="12.75" customHeight="1">
      <c r="A3" s="76" t="s">
        <v>243</v>
      </c>
      <c r="B3" s="54" t="s">
        <v>0</v>
      </c>
      <c r="C3" s="66" t="s">
        <v>1</v>
      </c>
      <c r="D3" s="66" t="s">
        <v>267</v>
      </c>
      <c r="E3" s="54" t="s">
        <v>11</v>
      </c>
      <c r="F3" s="54" t="s">
        <v>2</v>
      </c>
      <c r="G3" s="67" t="s">
        <v>280</v>
      </c>
      <c r="H3" s="64" t="s">
        <v>5</v>
      </c>
      <c r="I3" s="54"/>
      <c r="J3" s="54"/>
      <c r="K3" s="56"/>
      <c r="L3" s="52" t="s">
        <v>245</v>
      </c>
      <c r="M3" s="54" t="s">
        <v>9</v>
      </c>
      <c r="N3" s="56" t="s">
        <v>10</v>
      </c>
    </row>
    <row r="4" spans="1:14" s="3" customFormat="1" ht="23.25" customHeight="1" thickBot="1">
      <c r="A4" s="77"/>
      <c r="B4" s="55"/>
      <c r="C4" s="55"/>
      <c r="D4" s="55"/>
      <c r="E4" s="55"/>
      <c r="F4" s="55"/>
      <c r="G4" s="68"/>
      <c r="H4" s="5">
        <v>1</v>
      </c>
      <c r="I4" s="6">
        <v>2</v>
      </c>
      <c r="J4" s="6">
        <v>3</v>
      </c>
      <c r="K4" s="7" t="s">
        <v>7</v>
      </c>
      <c r="L4" s="53"/>
      <c r="M4" s="55"/>
      <c r="N4" s="57"/>
    </row>
    <row r="5" spans="1:13" ht="15.75">
      <c r="A5"/>
      <c r="B5" s="58" t="s">
        <v>181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ht="12.75">
      <c r="A6" s="23" t="s">
        <v>244</v>
      </c>
      <c r="B6" s="13" t="s">
        <v>311</v>
      </c>
      <c r="C6" s="13" t="s">
        <v>218</v>
      </c>
      <c r="D6" s="13" t="s">
        <v>219</v>
      </c>
      <c r="E6" s="13" t="str">
        <f>"0,5599"</f>
        <v>0,5599</v>
      </c>
      <c r="F6" s="13" t="s">
        <v>56</v>
      </c>
      <c r="G6" s="13" t="s">
        <v>57</v>
      </c>
      <c r="H6" s="27" t="s">
        <v>61</v>
      </c>
      <c r="I6" s="27" t="s">
        <v>61</v>
      </c>
      <c r="J6" s="26" t="s">
        <v>61</v>
      </c>
      <c r="K6" s="24"/>
      <c r="L6" s="80">
        <v>250</v>
      </c>
      <c r="M6" s="23" t="str">
        <f>"139,9750"</f>
        <v>139,9750</v>
      </c>
      <c r="N6" s="13" t="s">
        <v>52</v>
      </c>
    </row>
  </sheetData>
  <sheetProtection/>
  <mergeCells count="13">
    <mergeCell ref="F3:F4"/>
    <mergeCell ref="G3:G4"/>
    <mergeCell ref="H3:K3"/>
    <mergeCell ref="L3:L4"/>
    <mergeCell ref="M3:M4"/>
    <mergeCell ref="N3:N4"/>
    <mergeCell ref="B5:M5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L31" sqref="L31"/>
    </sheetView>
  </sheetViews>
  <sheetFormatPr defaultColWidth="8.75390625" defaultRowHeight="12.75"/>
  <cols>
    <col min="1" max="1" width="7.875" style="25" bestFit="1" customWidth="1"/>
    <col min="2" max="2" width="28.25390625" style="12" bestFit="1" customWidth="1"/>
    <col min="3" max="3" width="26.875" style="12" bestFit="1" customWidth="1"/>
    <col min="4" max="4" width="10.625" style="12" bestFit="1" customWidth="1"/>
    <col min="5" max="5" width="11.25390625" style="12" customWidth="1"/>
    <col min="6" max="6" width="15.25390625" style="12" customWidth="1"/>
    <col min="7" max="7" width="34.00390625" style="12" bestFit="1" customWidth="1"/>
    <col min="8" max="10" width="5.625" style="25" bestFit="1" customWidth="1"/>
    <col min="11" max="11" width="5.125" style="25" bestFit="1" customWidth="1"/>
    <col min="12" max="12" width="11.375" style="25" customWidth="1"/>
    <col min="13" max="13" width="8.625" style="25" bestFit="1" customWidth="1"/>
    <col min="14" max="14" width="20.75390625" style="12" customWidth="1"/>
  </cols>
  <sheetData>
    <row r="1" spans="2:14" s="1" customFormat="1" ht="15" customHeight="1">
      <c r="B1" s="74" t="s">
        <v>299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2:14" s="1" customFormat="1" ht="89.25" customHeight="1" thickBot="1">
      <c r="B2" s="75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3" customFormat="1" ht="12.75" customHeight="1">
      <c r="A3" s="76" t="s">
        <v>243</v>
      </c>
      <c r="B3" s="54" t="s">
        <v>0</v>
      </c>
      <c r="C3" s="66" t="s">
        <v>1</v>
      </c>
      <c r="D3" s="66" t="s">
        <v>267</v>
      </c>
      <c r="E3" s="54" t="s">
        <v>11</v>
      </c>
      <c r="F3" s="54" t="s">
        <v>2</v>
      </c>
      <c r="G3" s="67" t="s">
        <v>280</v>
      </c>
      <c r="H3" s="64" t="s">
        <v>5</v>
      </c>
      <c r="I3" s="54"/>
      <c r="J3" s="54"/>
      <c r="K3" s="56"/>
      <c r="L3" s="52" t="s">
        <v>245</v>
      </c>
      <c r="M3" s="54" t="s">
        <v>9</v>
      </c>
      <c r="N3" s="56" t="s">
        <v>10</v>
      </c>
    </row>
    <row r="4" spans="1:14" s="3" customFormat="1" ht="23.25" customHeight="1" thickBot="1">
      <c r="A4" s="77"/>
      <c r="B4" s="55"/>
      <c r="C4" s="55"/>
      <c r="D4" s="55"/>
      <c r="E4" s="55"/>
      <c r="F4" s="55"/>
      <c r="G4" s="68"/>
      <c r="H4" s="5">
        <v>1</v>
      </c>
      <c r="I4" s="6">
        <v>2</v>
      </c>
      <c r="J4" s="6">
        <v>3</v>
      </c>
      <c r="K4" s="7" t="s">
        <v>7</v>
      </c>
      <c r="L4" s="53"/>
      <c r="M4" s="55"/>
      <c r="N4" s="57"/>
    </row>
    <row r="5" spans="1:13" ht="15.75">
      <c r="A5"/>
      <c r="B5" s="58" t="s">
        <v>82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s="50" customFormat="1" ht="12.75">
      <c r="A6" s="36" t="s">
        <v>244</v>
      </c>
      <c r="B6" s="51" t="s">
        <v>300</v>
      </c>
      <c r="C6" s="51" t="s">
        <v>259</v>
      </c>
      <c r="D6" s="51" t="s">
        <v>192</v>
      </c>
      <c r="E6" s="51" t="str">
        <f>"1,1247"</f>
        <v>1,1247</v>
      </c>
      <c r="F6" s="51" t="s">
        <v>56</v>
      </c>
      <c r="G6" s="51" t="s">
        <v>57</v>
      </c>
      <c r="H6" s="26" t="s">
        <v>132</v>
      </c>
      <c r="I6" s="44" t="s">
        <v>137</v>
      </c>
      <c r="J6" s="44" t="s">
        <v>137</v>
      </c>
      <c r="K6" s="42"/>
      <c r="L6" s="78">
        <v>52.5</v>
      </c>
      <c r="M6" s="36" t="str">
        <f>"59,0467"</f>
        <v>59,0467</v>
      </c>
      <c r="N6" s="51" t="s">
        <v>64</v>
      </c>
    </row>
    <row r="8" spans="1:13" ht="15.75">
      <c r="A8"/>
      <c r="B8" s="59" t="s">
        <v>26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4" ht="12.75">
      <c r="A9" s="23" t="s">
        <v>244</v>
      </c>
      <c r="B9" s="13" t="s">
        <v>301</v>
      </c>
      <c r="C9" s="13" t="s">
        <v>193</v>
      </c>
      <c r="D9" s="13" t="s">
        <v>194</v>
      </c>
      <c r="E9" s="13" t="str">
        <f>"0,9007"</f>
        <v>0,9007</v>
      </c>
      <c r="F9" s="13" t="s">
        <v>56</v>
      </c>
      <c r="G9" s="13" t="s">
        <v>57</v>
      </c>
      <c r="H9" s="26" t="s">
        <v>88</v>
      </c>
      <c r="I9" s="27" t="s">
        <v>19</v>
      </c>
      <c r="J9" s="27" t="s">
        <v>19</v>
      </c>
      <c r="K9" s="24"/>
      <c r="L9" s="80">
        <v>67.5</v>
      </c>
      <c r="M9" s="23" t="str">
        <f>"60,8006"</f>
        <v>60,8006</v>
      </c>
      <c r="N9" s="13" t="s">
        <v>116</v>
      </c>
    </row>
    <row r="11" spans="1:13" ht="15.75">
      <c r="A11"/>
      <c r="B11" s="59" t="s">
        <v>92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 ht="12.75">
      <c r="A12" s="28" t="s">
        <v>244</v>
      </c>
      <c r="B12" s="14" t="s">
        <v>302</v>
      </c>
      <c r="C12" s="14" t="s">
        <v>195</v>
      </c>
      <c r="D12" s="14" t="s">
        <v>196</v>
      </c>
      <c r="E12" s="14" t="str">
        <f>"0,8411"</f>
        <v>0,8411</v>
      </c>
      <c r="F12" s="14" t="s">
        <v>48</v>
      </c>
      <c r="G12" s="14" t="s">
        <v>57</v>
      </c>
      <c r="H12" s="35" t="s">
        <v>41</v>
      </c>
      <c r="I12" s="32" t="s">
        <v>41</v>
      </c>
      <c r="J12" s="35" t="s">
        <v>197</v>
      </c>
      <c r="K12" s="29"/>
      <c r="L12" s="81">
        <v>105</v>
      </c>
      <c r="M12" s="28" t="str">
        <f>"88,3103"</f>
        <v>88,3103</v>
      </c>
      <c r="N12" s="14" t="s">
        <v>64</v>
      </c>
    </row>
    <row r="13" spans="1:14" ht="12.75">
      <c r="A13" s="23" t="s">
        <v>244</v>
      </c>
      <c r="B13" s="13" t="s">
        <v>272</v>
      </c>
      <c r="C13" s="13" t="s">
        <v>93</v>
      </c>
      <c r="D13" s="13" t="s">
        <v>94</v>
      </c>
      <c r="E13" s="13" t="str">
        <f>"0,8328"</f>
        <v>0,8328</v>
      </c>
      <c r="F13" s="13" t="s">
        <v>56</v>
      </c>
      <c r="G13" s="13" t="s">
        <v>57</v>
      </c>
      <c r="H13" s="26" t="s">
        <v>35</v>
      </c>
      <c r="I13" s="26" t="s">
        <v>36</v>
      </c>
      <c r="J13" s="27" t="s">
        <v>95</v>
      </c>
      <c r="K13" s="24"/>
      <c r="L13" s="80">
        <v>95</v>
      </c>
      <c r="M13" s="23" t="str">
        <f>"96,9229"</f>
        <v>96,9229</v>
      </c>
      <c r="N13" s="13" t="s">
        <v>281</v>
      </c>
    </row>
    <row r="15" spans="1:13" ht="15.75">
      <c r="A15"/>
      <c r="B15" s="59" t="s">
        <v>106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4" ht="12.75">
      <c r="A16" s="23" t="s">
        <v>244</v>
      </c>
      <c r="B16" s="13" t="s">
        <v>303</v>
      </c>
      <c r="C16" s="13" t="s">
        <v>199</v>
      </c>
      <c r="D16" s="13" t="s">
        <v>200</v>
      </c>
      <c r="E16" s="13" t="str">
        <f>"0,7079"</f>
        <v>0,7079</v>
      </c>
      <c r="F16" s="13" t="s">
        <v>48</v>
      </c>
      <c r="G16" s="13" t="s">
        <v>310</v>
      </c>
      <c r="H16" s="27" t="s">
        <v>85</v>
      </c>
      <c r="I16" s="26" t="s">
        <v>85</v>
      </c>
      <c r="J16" s="27" t="s">
        <v>201</v>
      </c>
      <c r="K16" s="24"/>
      <c r="L16" s="80">
        <v>125</v>
      </c>
      <c r="M16" s="23" t="str">
        <f>"88,4875"</f>
        <v>88,4875</v>
      </c>
      <c r="N16" s="13" t="s">
        <v>52</v>
      </c>
    </row>
    <row r="18" spans="1:13" ht="15.75">
      <c r="A18"/>
      <c r="B18" s="59" t="s">
        <v>111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4" ht="12.75">
      <c r="A19" s="23" t="s">
        <v>244</v>
      </c>
      <c r="B19" s="13" t="s">
        <v>304</v>
      </c>
      <c r="C19" s="13" t="s">
        <v>202</v>
      </c>
      <c r="D19" s="13" t="s">
        <v>203</v>
      </c>
      <c r="E19" s="13" t="str">
        <f>"0,6471"</f>
        <v>0,6471</v>
      </c>
      <c r="F19" s="13" t="s">
        <v>56</v>
      </c>
      <c r="G19" s="13" t="s">
        <v>57</v>
      </c>
      <c r="H19" s="26" t="s">
        <v>39</v>
      </c>
      <c r="I19" s="26" t="s">
        <v>41</v>
      </c>
      <c r="J19" s="26" t="s">
        <v>99</v>
      </c>
      <c r="K19" s="24"/>
      <c r="L19" s="80">
        <v>110</v>
      </c>
      <c r="M19" s="23" t="str">
        <f>"71,1865"</f>
        <v>71,1865</v>
      </c>
      <c r="N19" s="13" t="s">
        <v>64</v>
      </c>
    </row>
    <row r="20" spans="1:14" ht="12.75">
      <c r="A20" s="30" t="s">
        <v>244</v>
      </c>
      <c r="B20" s="15" t="s">
        <v>305</v>
      </c>
      <c r="C20" s="15" t="s">
        <v>204</v>
      </c>
      <c r="D20" s="15" t="s">
        <v>205</v>
      </c>
      <c r="E20" s="15" t="str">
        <f>"0,6749"</f>
        <v>0,6749</v>
      </c>
      <c r="F20" s="15" t="s">
        <v>56</v>
      </c>
      <c r="G20" s="15" t="s">
        <v>57</v>
      </c>
      <c r="H20" s="34" t="s">
        <v>40</v>
      </c>
      <c r="I20" s="33" t="s">
        <v>40</v>
      </c>
      <c r="J20" s="34" t="s">
        <v>201</v>
      </c>
      <c r="K20" s="31"/>
      <c r="L20" s="82">
        <v>115</v>
      </c>
      <c r="M20" s="30" t="str">
        <f>"79,1658"</f>
        <v>79,1658</v>
      </c>
      <c r="N20" s="15" t="s">
        <v>64</v>
      </c>
    </row>
    <row r="22" spans="1:13" ht="15.75">
      <c r="A22"/>
      <c r="B22" s="59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4" ht="12.75">
      <c r="A23" s="28" t="s">
        <v>244</v>
      </c>
      <c r="B23" s="14" t="s">
        <v>306</v>
      </c>
      <c r="C23" s="14" t="s">
        <v>248</v>
      </c>
      <c r="D23" s="14" t="s">
        <v>157</v>
      </c>
      <c r="E23" s="14" t="str">
        <f>"0,6119"</f>
        <v>0,6119</v>
      </c>
      <c r="F23" s="14" t="s">
        <v>48</v>
      </c>
      <c r="G23" s="14" t="s">
        <v>310</v>
      </c>
      <c r="H23" s="32" t="s">
        <v>206</v>
      </c>
      <c r="I23" s="35" t="s">
        <v>24</v>
      </c>
      <c r="J23" s="35" t="s">
        <v>24</v>
      </c>
      <c r="K23" s="29"/>
      <c r="L23" s="81">
        <v>167.5</v>
      </c>
      <c r="M23" s="28" t="str">
        <f>"102,4849"</f>
        <v>102,4849</v>
      </c>
      <c r="N23" s="14" t="s">
        <v>52</v>
      </c>
    </row>
    <row r="24" spans="1:14" ht="12.75">
      <c r="A24" s="23" t="s">
        <v>246</v>
      </c>
      <c r="B24" s="13" t="s">
        <v>284</v>
      </c>
      <c r="C24" s="13" t="s">
        <v>124</v>
      </c>
      <c r="D24" s="13" t="s">
        <v>125</v>
      </c>
      <c r="E24" s="13" t="str">
        <f>"0,6331"</f>
        <v>0,6331</v>
      </c>
      <c r="F24" s="13" t="s">
        <v>48</v>
      </c>
      <c r="G24" s="13" t="s">
        <v>98</v>
      </c>
      <c r="H24" s="26" t="s">
        <v>90</v>
      </c>
      <c r="I24" s="26" t="s">
        <v>42</v>
      </c>
      <c r="J24" s="27" t="s">
        <v>22</v>
      </c>
      <c r="K24" s="24"/>
      <c r="L24" s="80">
        <v>150</v>
      </c>
      <c r="M24" s="23" t="str">
        <f>"94,9650"</f>
        <v>94,9650</v>
      </c>
      <c r="N24" s="13" t="s">
        <v>286</v>
      </c>
    </row>
    <row r="25" spans="1:14" ht="12.75">
      <c r="A25" s="30" t="s">
        <v>244</v>
      </c>
      <c r="B25" s="15" t="s">
        <v>307</v>
      </c>
      <c r="C25" s="15" t="s">
        <v>207</v>
      </c>
      <c r="D25" s="15" t="s">
        <v>157</v>
      </c>
      <c r="E25" s="15" t="str">
        <f>"0,6119"</f>
        <v>0,6119</v>
      </c>
      <c r="F25" s="15" t="s">
        <v>56</v>
      </c>
      <c r="G25" s="15" t="s">
        <v>57</v>
      </c>
      <c r="H25" s="33" t="s">
        <v>17</v>
      </c>
      <c r="I25" s="34" t="s">
        <v>208</v>
      </c>
      <c r="J25" s="34" t="s">
        <v>208</v>
      </c>
      <c r="K25" s="31"/>
      <c r="L25" s="82">
        <v>145</v>
      </c>
      <c r="M25" s="30" t="str">
        <f>"90,4926"</f>
        <v>90,4926</v>
      </c>
      <c r="N25" s="15" t="s">
        <v>116</v>
      </c>
    </row>
    <row r="27" spans="1:13" ht="15.75">
      <c r="A27"/>
      <c r="B27" s="59" t="s">
        <v>53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4" ht="12.75">
      <c r="A28" s="23" t="s">
        <v>244</v>
      </c>
      <c r="B28" s="13" t="s">
        <v>308</v>
      </c>
      <c r="C28" s="13" t="s">
        <v>210</v>
      </c>
      <c r="D28" s="13" t="s">
        <v>211</v>
      </c>
      <c r="E28" s="13" t="str">
        <f>"0,5889"</f>
        <v>0,5889</v>
      </c>
      <c r="F28" s="13" t="s">
        <v>56</v>
      </c>
      <c r="G28" s="13" t="s">
        <v>57</v>
      </c>
      <c r="H28" s="26" t="s">
        <v>43</v>
      </c>
      <c r="I28" s="26" t="s">
        <v>164</v>
      </c>
      <c r="J28" s="26" t="s">
        <v>23</v>
      </c>
      <c r="K28" s="24"/>
      <c r="L28" s="80">
        <v>170</v>
      </c>
      <c r="M28" s="23" t="str">
        <f>"100,1045"</f>
        <v>100,1045</v>
      </c>
      <c r="N28" s="13" t="s">
        <v>116</v>
      </c>
    </row>
    <row r="30" spans="1:13" ht="15.75">
      <c r="A30"/>
      <c r="B30" s="59" t="s">
        <v>181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4" ht="12.75">
      <c r="A31" s="23" t="s">
        <v>244</v>
      </c>
      <c r="B31" s="13" t="s">
        <v>309</v>
      </c>
      <c r="C31" s="13" t="s">
        <v>213</v>
      </c>
      <c r="D31" s="13" t="s">
        <v>214</v>
      </c>
      <c r="E31" s="13" t="str">
        <f>"0,5527"</f>
        <v>0,5527</v>
      </c>
      <c r="F31" s="13" t="s">
        <v>56</v>
      </c>
      <c r="G31" s="13" t="s">
        <v>57</v>
      </c>
      <c r="H31" s="26" t="s">
        <v>69</v>
      </c>
      <c r="I31" s="27" t="s">
        <v>72</v>
      </c>
      <c r="J31" s="27" t="s">
        <v>72</v>
      </c>
      <c r="K31" s="24"/>
      <c r="L31" s="80">
        <v>190</v>
      </c>
      <c r="M31" s="23" t="str">
        <f>"105,0130"</f>
        <v>105,0130</v>
      </c>
      <c r="N31" s="13" t="s">
        <v>52</v>
      </c>
    </row>
    <row r="32" spans="1:14" ht="12.75">
      <c r="A32" s="86"/>
      <c r="B32" s="87"/>
      <c r="C32" s="87"/>
      <c r="D32" s="87"/>
      <c r="E32" s="87"/>
      <c r="F32" s="87"/>
      <c r="G32" s="87"/>
      <c r="H32" s="88"/>
      <c r="I32" s="89"/>
      <c r="J32" s="89"/>
      <c r="K32" s="90"/>
      <c r="L32" s="86"/>
      <c r="M32" s="86"/>
      <c r="N32" s="87"/>
    </row>
    <row r="34" spans="2:3" ht="18">
      <c r="B34" s="16" t="s">
        <v>74</v>
      </c>
      <c r="C34" s="16"/>
    </row>
    <row r="35" spans="2:3" ht="15.75">
      <c r="B35" s="17" t="s">
        <v>80</v>
      </c>
      <c r="C35" s="17"/>
    </row>
    <row r="36" spans="2:3" ht="13.5">
      <c r="B36" s="19"/>
      <c r="C36" s="20" t="s">
        <v>277</v>
      </c>
    </row>
    <row r="37" spans="2:6" ht="13.5">
      <c r="B37" s="21" t="s">
        <v>75</v>
      </c>
      <c r="C37" s="21" t="s">
        <v>76</v>
      </c>
      <c r="D37" s="21" t="s">
        <v>77</v>
      </c>
      <c r="E37" s="21" t="s">
        <v>245</v>
      </c>
      <c r="F37" s="21" t="s">
        <v>78</v>
      </c>
    </row>
    <row r="38" spans="1:6" ht="12.75">
      <c r="A38" s="25" t="s">
        <v>244</v>
      </c>
      <c r="B38" s="18" t="s">
        <v>212</v>
      </c>
      <c r="C38" s="12" t="s">
        <v>79</v>
      </c>
      <c r="D38" s="12" t="s">
        <v>188</v>
      </c>
      <c r="E38" s="12" t="s">
        <v>69</v>
      </c>
      <c r="F38" s="22" t="s">
        <v>215</v>
      </c>
    </row>
    <row r="39" spans="1:6" ht="12.75">
      <c r="A39" s="25" t="s">
        <v>246</v>
      </c>
      <c r="B39" s="18" t="s">
        <v>198</v>
      </c>
      <c r="C39" s="12" t="s">
        <v>79</v>
      </c>
      <c r="D39" s="12" t="s">
        <v>123</v>
      </c>
      <c r="E39" s="12" t="s">
        <v>206</v>
      </c>
      <c r="F39" s="22" t="s">
        <v>216</v>
      </c>
    </row>
    <row r="40" spans="1:6" ht="12.75">
      <c r="A40" s="25" t="s">
        <v>247</v>
      </c>
      <c r="B40" s="18" t="s">
        <v>209</v>
      </c>
      <c r="C40" s="12" t="s">
        <v>79</v>
      </c>
      <c r="D40" s="12" t="s">
        <v>81</v>
      </c>
      <c r="E40" s="12" t="s">
        <v>23</v>
      </c>
      <c r="F40" s="22" t="s">
        <v>217</v>
      </c>
    </row>
  </sheetData>
  <sheetProtection/>
  <mergeCells count="20"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B15:M15"/>
    <mergeCell ref="B18:M18"/>
    <mergeCell ref="B22:M22"/>
    <mergeCell ref="B27:M27"/>
    <mergeCell ref="B30:M30"/>
    <mergeCell ref="A3:A4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5">
      <selection activeCell="L43" sqref="L43"/>
    </sheetView>
  </sheetViews>
  <sheetFormatPr defaultColWidth="8.75390625" defaultRowHeight="12.75"/>
  <cols>
    <col min="1" max="1" width="7.875" style="25" bestFit="1" customWidth="1"/>
    <col min="2" max="2" width="24.25390625" style="12" customWidth="1"/>
    <col min="3" max="3" width="26.875" style="12" bestFit="1" customWidth="1"/>
    <col min="4" max="4" width="10.625" style="12" bestFit="1" customWidth="1"/>
    <col min="5" max="5" width="12.875" style="12" customWidth="1"/>
    <col min="6" max="6" width="15.00390625" style="12" customWidth="1"/>
    <col min="7" max="7" width="34.00390625" style="12" bestFit="1" customWidth="1"/>
    <col min="8" max="10" width="5.625" style="25" bestFit="1" customWidth="1"/>
    <col min="11" max="11" width="5.125" style="25" bestFit="1" customWidth="1"/>
    <col min="12" max="12" width="12.125" style="25" customWidth="1"/>
    <col min="13" max="13" width="8.625" style="25" bestFit="1" customWidth="1"/>
    <col min="14" max="14" width="20.375" style="12" bestFit="1" customWidth="1"/>
  </cols>
  <sheetData>
    <row r="1" spans="2:14" s="1" customFormat="1" ht="15" customHeight="1">
      <c r="B1" s="74" t="s">
        <v>287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2:14" s="1" customFormat="1" ht="103.5" customHeight="1" thickBot="1">
      <c r="B2" s="75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3" customFormat="1" ht="12.75" customHeight="1">
      <c r="A3" s="76" t="s">
        <v>243</v>
      </c>
      <c r="B3" s="54" t="s">
        <v>0</v>
      </c>
      <c r="C3" s="66" t="s">
        <v>1</v>
      </c>
      <c r="D3" s="66" t="s">
        <v>267</v>
      </c>
      <c r="E3" s="54" t="s">
        <v>11</v>
      </c>
      <c r="F3" s="54" t="s">
        <v>2</v>
      </c>
      <c r="G3" s="67" t="s">
        <v>280</v>
      </c>
      <c r="H3" s="64" t="s">
        <v>5</v>
      </c>
      <c r="I3" s="54"/>
      <c r="J3" s="54"/>
      <c r="K3" s="56"/>
      <c r="L3" s="52" t="s">
        <v>245</v>
      </c>
      <c r="M3" s="54" t="s">
        <v>9</v>
      </c>
      <c r="N3" s="56" t="s">
        <v>10</v>
      </c>
    </row>
    <row r="4" spans="1:14" s="3" customFormat="1" ht="23.25" customHeight="1" thickBot="1">
      <c r="A4" s="77"/>
      <c r="B4" s="55"/>
      <c r="C4" s="55"/>
      <c r="D4" s="55"/>
      <c r="E4" s="55"/>
      <c r="F4" s="55"/>
      <c r="G4" s="68"/>
      <c r="H4" s="5">
        <v>1</v>
      </c>
      <c r="I4" s="6">
        <v>2</v>
      </c>
      <c r="J4" s="6">
        <v>3</v>
      </c>
      <c r="K4" s="7" t="s">
        <v>7</v>
      </c>
      <c r="L4" s="53"/>
      <c r="M4" s="55"/>
      <c r="N4" s="57"/>
    </row>
    <row r="5" spans="1:13" ht="15.75">
      <c r="A5"/>
      <c r="B5" s="58" t="s">
        <v>12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ht="12.75">
      <c r="A6" s="23" t="s">
        <v>244</v>
      </c>
      <c r="B6" s="13" t="s">
        <v>288</v>
      </c>
      <c r="C6" s="13" t="s">
        <v>129</v>
      </c>
      <c r="D6" s="13" t="s">
        <v>130</v>
      </c>
      <c r="E6" s="13" t="str">
        <f>"1,0653"</f>
        <v>1,0653</v>
      </c>
      <c r="F6" s="13" t="s">
        <v>30</v>
      </c>
      <c r="G6" s="13" t="s">
        <v>31</v>
      </c>
      <c r="H6" s="26" t="s">
        <v>131</v>
      </c>
      <c r="I6" s="27" t="s">
        <v>132</v>
      </c>
      <c r="J6" s="27" t="s">
        <v>132</v>
      </c>
      <c r="K6" s="24"/>
      <c r="L6" s="80">
        <v>50</v>
      </c>
      <c r="M6" s="23" t="str">
        <f>"53,2650"</f>
        <v>53,2650</v>
      </c>
      <c r="N6" s="13" t="s">
        <v>52</v>
      </c>
    </row>
    <row r="8" spans="1:13" ht="15.75">
      <c r="A8"/>
      <c r="B8" s="59" t="s">
        <v>106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4" ht="12.75">
      <c r="A9" s="23" t="s">
        <v>244</v>
      </c>
      <c r="B9" s="13" t="s">
        <v>133</v>
      </c>
      <c r="C9" s="13" t="s">
        <v>134</v>
      </c>
      <c r="D9" s="13" t="s">
        <v>135</v>
      </c>
      <c r="E9" s="13" t="str">
        <f>"0,8436"</f>
        <v>0,8436</v>
      </c>
      <c r="F9" s="13" t="s">
        <v>30</v>
      </c>
      <c r="G9" s="13" t="s">
        <v>31</v>
      </c>
      <c r="H9" s="26" t="s">
        <v>131</v>
      </c>
      <c r="I9" s="26" t="s">
        <v>136</v>
      </c>
      <c r="J9" s="27" t="s">
        <v>137</v>
      </c>
      <c r="K9" s="24"/>
      <c r="L9" s="80">
        <v>55</v>
      </c>
      <c r="M9" s="23" t="str">
        <f>"46,4007"</f>
        <v>46,4007</v>
      </c>
      <c r="N9" s="13" t="s">
        <v>52</v>
      </c>
    </row>
    <row r="11" spans="1:13" ht="15.75">
      <c r="A11"/>
      <c r="B11" s="59" t="s">
        <v>82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 ht="12.75">
      <c r="A12" s="28" t="s">
        <v>244</v>
      </c>
      <c r="B12" s="14" t="s">
        <v>138</v>
      </c>
      <c r="C12" s="14" t="s">
        <v>139</v>
      </c>
      <c r="D12" s="14" t="s">
        <v>249</v>
      </c>
      <c r="E12" s="14" t="str">
        <f>"1,3243"</f>
        <v>1,3243</v>
      </c>
      <c r="F12" s="14" t="s">
        <v>56</v>
      </c>
      <c r="G12" s="14" t="s">
        <v>57</v>
      </c>
      <c r="H12" s="32" t="s">
        <v>140</v>
      </c>
      <c r="I12" s="32" t="s">
        <v>33</v>
      </c>
      <c r="J12" s="35" t="s">
        <v>141</v>
      </c>
      <c r="K12" s="29"/>
      <c r="L12" s="81">
        <v>30</v>
      </c>
      <c r="M12" s="28" t="str">
        <f>"39,7305"</f>
        <v>39,7305</v>
      </c>
      <c r="N12" s="14" t="s">
        <v>142</v>
      </c>
    </row>
    <row r="13" spans="1:14" ht="12.75">
      <c r="A13" s="23" t="s">
        <v>246</v>
      </c>
      <c r="B13" s="13" t="s">
        <v>143</v>
      </c>
      <c r="C13" s="13" t="s">
        <v>144</v>
      </c>
      <c r="D13" s="13" t="s">
        <v>145</v>
      </c>
      <c r="E13" s="13" t="str">
        <f>"1,1433"</f>
        <v>1,1433</v>
      </c>
      <c r="F13" s="13" t="s">
        <v>48</v>
      </c>
      <c r="G13" s="13" t="s">
        <v>57</v>
      </c>
      <c r="H13" s="26" t="s">
        <v>146</v>
      </c>
      <c r="I13" s="26" t="s">
        <v>140</v>
      </c>
      <c r="J13" s="27" t="s">
        <v>33</v>
      </c>
      <c r="K13" s="24"/>
      <c r="L13" s="80">
        <v>27.5</v>
      </c>
      <c r="M13" s="23" t="str">
        <f>"31,4408"</f>
        <v>31,4408</v>
      </c>
      <c r="N13" s="13" t="s">
        <v>64</v>
      </c>
    </row>
    <row r="15" spans="1:13" ht="15.75">
      <c r="A15"/>
      <c r="B15" s="59" t="s">
        <v>92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4" ht="12.75">
      <c r="A16" s="23" t="s">
        <v>244</v>
      </c>
      <c r="B16" s="13" t="s">
        <v>147</v>
      </c>
      <c r="C16" s="13" t="s">
        <v>148</v>
      </c>
      <c r="D16" s="13" t="s">
        <v>149</v>
      </c>
      <c r="E16" s="13" t="str">
        <f>"0,8641"</f>
        <v>0,8641</v>
      </c>
      <c r="F16" s="13" t="s">
        <v>56</v>
      </c>
      <c r="G16" s="13" t="s">
        <v>57</v>
      </c>
      <c r="H16" s="26" t="s">
        <v>104</v>
      </c>
      <c r="I16" s="27" t="s">
        <v>87</v>
      </c>
      <c r="J16" s="27" t="s">
        <v>87</v>
      </c>
      <c r="K16" s="24"/>
      <c r="L16" s="80">
        <v>60</v>
      </c>
      <c r="M16" s="23" t="str">
        <f>"51,8490"</f>
        <v>51,8490</v>
      </c>
      <c r="N16" s="13" t="s">
        <v>64</v>
      </c>
    </row>
    <row r="18" spans="1:13" ht="15.75">
      <c r="A18"/>
      <c r="B18" s="59" t="s">
        <v>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4" ht="12.75">
      <c r="A19" s="23" t="s">
        <v>244</v>
      </c>
      <c r="B19" s="13" t="s">
        <v>150</v>
      </c>
      <c r="C19" s="13" t="s">
        <v>151</v>
      </c>
      <c r="D19" s="13" t="s">
        <v>152</v>
      </c>
      <c r="E19" s="13" t="str">
        <f>"0,8001"</f>
        <v>0,8001</v>
      </c>
      <c r="F19" s="13" t="s">
        <v>56</v>
      </c>
      <c r="G19" s="13" t="s">
        <v>57</v>
      </c>
      <c r="H19" s="26" t="s">
        <v>88</v>
      </c>
      <c r="I19" s="26" t="s">
        <v>32</v>
      </c>
      <c r="J19" s="26" t="s">
        <v>153</v>
      </c>
      <c r="K19" s="24"/>
      <c r="L19" s="80">
        <v>72.5</v>
      </c>
      <c r="M19" s="23" t="str">
        <f>"58,0036"</f>
        <v>58,0036</v>
      </c>
      <c r="N19" s="13" t="s">
        <v>52</v>
      </c>
    </row>
    <row r="21" spans="1:13" ht="15.75">
      <c r="A21"/>
      <c r="B21" s="59" t="s">
        <v>106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4" ht="12.75">
      <c r="A22" s="23" t="s">
        <v>244</v>
      </c>
      <c r="B22" s="13" t="s">
        <v>289</v>
      </c>
      <c r="C22" s="13" t="s">
        <v>154</v>
      </c>
      <c r="D22" s="13" t="s">
        <v>155</v>
      </c>
      <c r="E22" s="13" t="str">
        <f>"0,7189"</f>
        <v>0,7189</v>
      </c>
      <c r="F22" s="13" t="s">
        <v>48</v>
      </c>
      <c r="G22" s="13" t="s">
        <v>31</v>
      </c>
      <c r="H22" s="26" t="s">
        <v>99</v>
      </c>
      <c r="I22" s="26" t="s">
        <v>40</v>
      </c>
      <c r="J22" s="24" t="s">
        <v>70</v>
      </c>
      <c r="K22" s="24"/>
      <c r="L22" s="80">
        <v>115</v>
      </c>
      <c r="M22" s="23" t="str">
        <f>"82,6678"</f>
        <v>82,6678</v>
      </c>
      <c r="N22" s="13" t="s">
        <v>52</v>
      </c>
    </row>
    <row r="24" spans="1:13" ht="15.75">
      <c r="A24"/>
      <c r="B24" s="59" t="s">
        <v>44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4" ht="12.75">
      <c r="A25" s="28" t="s">
        <v>244</v>
      </c>
      <c r="B25" s="14" t="s">
        <v>290</v>
      </c>
      <c r="C25" s="14" t="s">
        <v>156</v>
      </c>
      <c r="D25" s="14" t="s">
        <v>157</v>
      </c>
      <c r="E25" s="14" t="str">
        <f>"0,6119"</f>
        <v>0,6119</v>
      </c>
      <c r="F25" s="14" t="s">
        <v>56</v>
      </c>
      <c r="G25" s="14" t="s">
        <v>57</v>
      </c>
      <c r="H25" s="32" t="s">
        <v>42</v>
      </c>
      <c r="I25" s="35" t="s">
        <v>18</v>
      </c>
      <c r="J25" s="35" t="s">
        <v>18</v>
      </c>
      <c r="K25" s="29"/>
      <c r="L25" s="81">
        <v>150</v>
      </c>
      <c r="M25" s="28" t="str">
        <f>"91,7775"</f>
        <v>91,7775</v>
      </c>
      <c r="N25" s="14" t="s">
        <v>64</v>
      </c>
    </row>
    <row r="26" spans="1:14" ht="12.75">
      <c r="A26" s="23" t="s">
        <v>244</v>
      </c>
      <c r="B26" s="13" t="s">
        <v>291</v>
      </c>
      <c r="C26" s="13" t="s">
        <v>159</v>
      </c>
      <c r="D26" s="13" t="s">
        <v>160</v>
      </c>
      <c r="E26" s="13" t="str">
        <f>"0,6169"</f>
        <v>0,6169</v>
      </c>
      <c r="F26" s="13" t="s">
        <v>48</v>
      </c>
      <c r="G26" s="13" t="s">
        <v>161</v>
      </c>
      <c r="H26" s="26" t="s">
        <v>67</v>
      </c>
      <c r="I26" s="26" t="s">
        <v>68</v>
      </c>
      <c r="J26" s="26" t="s">
        <v>69</v>
      </c>
      <c r="K26" s="24"/>
      <c r="L26" s="80">
        <v>190</v>
      </c>
      <c r="M26" s="23" t="str">
        <f>"117,2015"</f>
        <v>117,2015</v>
      </c>
      <c r="N26" s="13" t="s">
        <v>162</v>
      </c>
    </row>
    <row r="27" spans="1:14" ht="12.75">
      <c r="A27" s="30" t="s">
        <v>246</v>
      </c>
      <c r="B27" s="15" t="s">
        <v>142</v>
      </c>
      <c r="C27" s="15" t="s">
        <v>163</v>
      </c>
      <c r="D27" s="15" t="s">
        <v>157</v>
      </c>
      <c r="E27" s="15" t="str">
        <f>"0,6119"</f>
        <v>0,6119</v>
      </c>
      <c r="F27" s="15" t="s">
        <v>56</v>
      </c>
      <c r="G27" s="15" t="s">
        <v>57</v>
      </c>
      <c r="H27" s="33" t="s">
        <v>164</v>
      </c>
      <c r="I27" s="33" t="s">
        <v>23</v>
      </c>
      <c r="J27" s="34" t="s">
        <v>24</v>
      </c>
      <c r="K27" s="31"/>
      <c r="L27" s="82">
        <v>170</v>
      </c>
      <c r="M27" s="30" t="str">
        <f>"104,0145"</f>
        <v>104,0145</v>
      </c>
      <c r="N27" s="15" t="s">
        <v>52</v>
      </c>
    </row>
    <row r="29" spans="1:13" ht="15.75">
      <c r="A29"/>
      <c r="B29" s="59" t="s">
        <v>53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4" ht="12.75">
      <c r="A30" s="28" t="s">
        <v>244</v>
      </c>
      <c r="B30" s="14" t="s">
        <v>292</v>
      </c>
      <c r="C30" s="14" t="s">
        <v>165</v>
      </c>
      <c r="D30" s="14" t="s">
        <v>166</v>
      </c>
      <c r="E30" s="14" t="str">
        <f>"0,5838"</f>
        <v>0,5838</v>
      </c>
      <c r="F30" s="14" t="s">
        <v>30</v>
      </c>
      <c r="G30" s="14" t="s">
        <v>31</v>
      </c>
      <c r="H30" s="32" t="s">
        <v>43</v>
      </c>
      <c r="I30" s="35" t="s">
        <v>164</v>
      </c>
      <c r="J30" s="32" t="s">
        <v>23</v>
      </c>
      <c r="K30" s="29"/>
      <c r="L30" s="81">
        <v>170</v>
      </c>
      <c r="M30" s="28" t="str">
        <f>"99,2460"</f>
        <v>99,2460</v>
      </c>
      <c r="N30" s="14" t="s">
        <v>52</v>
      </c>
    </row>
    <row r="31" spans="1:14" ht="12.75">
      <c r="A31" s="23" t="s">
        <v>244</v>
      </c>
      <c r="B31" s="13" t="s">
        <v>293</v>
      </c>
      <c r="C31" s="13" t="s">
        <v>168</v>
      </c>
      <c r="D31" s="13" t="s">
        <v>169</v>
      </c>
      <c r="E31" s="13" t="str">
        <f>"0,5825"</f>
        <v>0,5825</v>
      </c>
      <c r="F31" s="13" t="s">
        <v>56</v>
      </c>
      <c r="G31" s="13" t="s">
        <v>57</v>
      </c>
      <c r="H31" s="26" t="s">
        <v>68</v>
      </c>
      <c r="I31" s="26" t="s">
        <v>170</v>
      </c>
      <c r="J31" s="26" t="s">
        <v>72</v>
      </c>
      <c r="K31" s="24"/>
      <c r="L31" s="80">
        <v>200</v>
      </c>
      <c r="M31" s="23" t="str">
        <f>"116,5100"</f>
        <v>116,5100</v>
      </c>
      <c r="N31" s="13" t="s">
        <v>64</v>
      </c>
    </row>
    <row r="32" spans="1:14" ht="12.75">
      <c r="A32" s="23" t="s">
        <v>246</v>
      </c>
      <c r="B32" s="13" t="s">
        <v>294</v>
      </c>
      <c r="C32" s="13" t="s">
        <v>171</v>
      </c>
      <c r="D32" s="13" t="s">
        <v>172</v>
      </c>
      <c r="E32" s="13" t="str">
        <f>"0,5880"</f>
        <v>0,5880</v>
      </c>
      <c r="F32" s="13" t="s">
        <v>30</v>
      </c>
      <c r="G32" s="13" t="s">
        <v>31</v>
      </c>
      <c r="H32" s="26" t="s">
        <v>71</v>
      </c>
      <c r="I32" s="26" t="s">
        <v>89</v>
      </c>
      <c r="J32" s="26" t="s">
        <v>173</v>
      </c>
      <c r="K32" s="24"/>
      <c r="L32" s="80">
        <v>137.5</v>
      </c>
      <c r="M32" s="23" t="str">
        <f>"80,8500"</f>
        <v>80,8500</v>
      </c>
      <c r="N32" s="13" t="s">
        <v>52</v>
      </c>
    </row>
    <row r="33" spans="1:14" s="50" customFormat="1" ht="12.75">
      <c r="A33" s="41" t="s">
        <v>244</v>
      </c>
      <c r="B33" s="49" t="s">
        <v>295</v>
      </c>
      <c r="C33" s="49" t="s">
        <v>260</v>
      </c>
      <c r="D33" s="49" t="s">
        <v>174</v>
      </c>
      <c r="E33" s="49" t="str">
        <f>"0,5935"</f>
        <v>0,5935</v>
      </c>
      <c r="F33" s="49" t="s">
        <v>30</v>
      </c>
      <c r="G33" s="49" t="s">
        <v>31</v>
      </c>
      <c r="H33" s="33" t="s">
        <v>42</v>
      </c>
      <c r="I33" s="46" t="s">
        <v>18</v>
      </c>
      <c r="J33" s="43"/>
      <c r="K33" s="43"/>
      <c r="L33" s="79">
        <v>150</v>
      </c>
      <c r="M33" s="41" t="str">
        <f>"92,8453"</f>
        <v>92,8453</v>
      </c>
      <c r="N33" s="49" t="s">
        <v>52</v>
      </c>
    </row>
    <row r="35" spans="1:13" ht="15.75">
      <c r="A35"/>
      <c r="B35" s="59" t="s">
        <v>175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4" ht="12.75">
      <c r="A36" s="23" t="s">
        <v>244</v>
      </c>
      <c r="B36" s="13" t="s">
        <v>296</v>
      </c>
      <c r="C36" s="13" t="s">
        <v>176</v>
      </c>
      <c r="D36" s="13" t="s">
        <v>177</v>
      </c>
      <c r="E36" s="13" t="str">
        <f>"0,5625"</f>
        <v>0,5625</v>
      </c>
      <c r="F36" s="13" t="s">
        <v>30</v>
      </c>
      <c r="G36" s="13" t="s">
        <v>31</v>
      </c>
      <c r="H36" s="26" t="s">
        <v>69</v>
      </c>
      <c r="I36" s="26" t="s">
        <v>72</v>
      </c>
      <c r="J36" s="27" t="s">
        <v>115</v>
      </c>
      <c r="K36" s="24"/>
      <c r="L36" s="80">
        <v>200</v>
      </c>
      <c r="M36" s="23" t="s">
        <v>197</v>
      </c>
      <c r="N36" s="13" t="s">
        <v>52</v>
      </c>
    </row>
    <row r="37" spans="1:14" ht="12.75">
      <c r="A37" s="30"/>
      <c r="B37" s="15" t="s">
        <v>178</v>
      </c>
      <c r="C37" s="15" t="s">
        <v>179</v>
      </c>
      <c r="D37" s="15" t="s">
        <v>180</v>
      </c>
      <c r="E37" s="15" t="str">
        <f>"0,5725"</f>
        <v>0,5725</v>
      </c>
      <c r="F37" s="15" t="s">
        <v>30</v>
      </c>
      <c r="G37" s="15" t="s">
        <v>31</v>
      </c>
      <c r="H37" s="34" t="s">
        <v>72</v>
      </c>
      <c r="I37" s="34" t="s">
        <v>72</v>
      </c>
      <c r="J37" s="34" t="s">
        <v>72</v>
      </c>
      <c r="K37" s="31"/>
      <c r="L37" s="83">
        <v>0</v>
      </c>
      <c r="M37" s="30" t="str">
        <f>"0,0000"</f>
        <v>0,0000</v>
      </c>
      <c r="N37" s="15" t="s">
        <v>52</v>
      </c>
    </row>
    <row r="39" spans="1:13" ht="15.75">
      <c r="A39"/>
      <c r="B39" s="59" t="s">
        <v>181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4" ht="12.75">
      <c r="A40" s="23" t="s">
        <v>244</v>
      </c>
      <c r="B40" s="13" t="s">
        <v>297</v>
      </c>
      <c r="C40" s="13" t="s">
        <v>183</v>
      </c>
      <c r="D40" s="13" t="s">
        <v>184</v>
      </c>
      <c r="E40" s="13" t="str">
        <f>"0,5528"</f>
        <v>0,5528</v>
      </c>
      <c r="F40" s="13" t="s">
        <v>56</v>
      </c>
      <c r="G40" s="13" t="s">
        <v>57</v>
      </c>
      <c r="H40" s="26" t="s">
        <v>58</v>
      </c>
      <c r="I40" s="27" t="s">
        <v>59</v>
      </c>
      <c r="J40" s="27" t="s">
        <v>59</v>
      </c>
      <c r="K40" s="24"/>
      <c r="L40" s="80">
        <v>220</v>
      </c>
      <c r="M40" s="23" t="str">
        <f>"121,6160"</f>
        <v>121,6160</v>
      </c>
      <c r="N40" s="13" t="s">
        <v>64</v>
      </c>
    </row>
    <row r="42" spans="1:13" ht="15.75">
      <c r="A42"/>
      <c r="B42" s="59" t="s">
        <v>185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4" ht="12.75">
      <c r="A43" s="23" t="s">
        <v>244</v>
      </c>
      <c r="B43" s="13" t="s">
        <v>298</v>
      </c>
      <c r="C43" s="13" t="s">
        <v>186</v>
      </c>
      <c r="D43" s="13" t="s">
        <v>187</v>
      </c>
      <c r="E43" s="13" t="str">
        <f>"0,5446"</f>
        <v>0,5446</v>
      </c>
      <c r="F43" s="13" t="s">
        <v>48</v>
      </c>
      <c r="G43" s="13" t="s">
        <v>31</v>
      </c>
      <c r="H43" s="27" t="s">
        <v>67</v>
      </c>
      <c r="I43" s="26" t="s">
        <v>67</v>
      </c>
      <c r="J43" s="27" t="s">
        <v>68</v>
      </c>
      <c r="K43" s="24"/>
      <c r="L43" s="80">
        <v>180</v>
      </c>
      <c r="M43" s="23" t="str">
        <f>"103,4176"</f>
        <v>103,4176</v>
      </c>
      <c r="N43" s="13" t="s">
        <v>52</v>
      </c>
    </row>
    <row r="45" spans="2:3" ht="18">
      <c r="B45" s="16" t="s">
        <v>74</v>
      </c>
      <c r="C45" s="16"/>
    </row>
    <row r="46" spans="2:3" ht="15.75">
      <c r="B46" s="17" t="s">
        <v>80</v>
      </c>
      <c r="C46" s="17"/>
    </row>
    <row r="47" spans="2:3" ht="13.5">
      <c r="B47" s="19"/>
      <c r="C47" s="20" t="s">
        <v>277</v>
      </c>
    </row>
    <row r="48" spans="2:6" ht="13.5">
      <c r="B48" s="21" t="s">
        <v>75</v>
      </c>
      <c r="C48" s="21" t="s">
        <v>76</v>
      </c>
      <c r="D48" s="21" t="s">
        <v>77</v>
      </c>
      <c r="E48" s="21" t="s">
        <v>245</v>
      </c>
      <c r="F48" s="21" t="s">
        <v>78</v>
      </c>
    </row>
    <row r="49" spans="1:6" ht="12.75">
      <c r="A49" s="25" t="s">
        <v>244</v>
      </c>
      <c r="B49" s="18" t="s">
        <v>182</v>
      </c>
      <c r="C49" s="12" t="s">
        <v>79</v>
      </c>
      <c r="D49" s="12" t="s">
        <v>188</v>
      </c>
      <c r="E49" s="12" t="s">
        <v>58</v>
      </c>
      <c r="F49" s="22" t="s">
        <v>189</v>
      </c>
    </row>
    <row r="50" spans="1:6" ht="12.75">
      <c r="A50" s="25" t="s">
        <v>246</v>
      </c>
      <c r="B50" s="18" t="s">
        <v>158</v>
      </c>
      <c r="C50" s="12" t="s">
        <v>79</v>
      </c>
      <c r="D50" s="12" t="s">
        <v>123</v>
      </c>
      <c r="E50" s="12" t="s">
        <v>69</v>
      </c>
      <c r="F50" s="22" t="s">
        <v>190</v>
      </c>
    </row>
    <row r="51" spans="1:6" ht="12.75">
      <c r="A51" s="25" t="s">
        <v>247</v>
      </c>
      <c r="B51" s="18" t="s">
        <v>167</v>
      </c>
      <c r="C51" s="12" t="s">
        <v>79</v>
      </c>
      <c r="D51" s="12" t="s">
        <v>81</v>
      </c>
      <c r="E51" s="12" t="s">
        <v>72</v>
      </c>
      <c r="F51" s="22" t="s">
        <v>191</v>
      </c>
    </row>
    <row r="53" ht="12.75">
      <c r="G53" s="48"/>
    </row>
  </sheetData>
  <sheetProtection/>
  <mergeCells count="23">
    <mergeCell ref="F3:F4"/>
    <mergeCell ref="G3:G4"/>
    <mergeCell ref="H3:K3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B39:M39"/>
    <mergeCell ref="B42:M42"/>
    <mergeCell ref="A3:A4"/>
    <mergeCell ref="B15:M15"/>
    <mergeCell ref="B18:M18"/>
    <mergeCell ref="B21:M21"/>
    <mergeCell ref="B24:M24"/>
    <mergeCell ref="B29:M29"/>
    <mergeCell ref="B35:M35"/>
    <mergeCell ref="L3:L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C1">
      <selection activeCell="T6" sqref="T6"/>
    </sheetView>
  </sheetViews>
  <sheetFormatPr defaultColWidth="8.75390625" defaultRowHeight="12.75"/>
  <cols>
    <col min="1" max="1" width="7.875" style="25" bestFit="1" customWidth="1"/>
    <col min="2" max="2" width="23.375" style="12" customWidth="1"/>
    <col min="3" max="3" width="27.875" style="12" customWidth="1"/>
    <col min="4" max="4" width="10.625" style="12" bestFit="1" customWidth="1"/>
    <col min="5" max="5" width="8.375" style="12" bestFit="1" customWidth="1"/>
    <col min="6" max="6" width="11.375" style="12" customWidth="1"/>
    <col min="7" max="7" width="28.125" style="12" bestFit="1" customWidth="1"/>
    <col min="8" max="10" width="5.625" style="25" bestFit="1" customWidth="1"/>
    <col min="11" max="11" width="5.125" style="25" bestFit="1" customWidth="1"/>
    <col min="12" max="14" width="5.625" style="25" bestFit="1" customWidth="1"/>
    <col min="15" max="15" width="5.125" style="25" bestFit="1" customWidth="1"/>
    <col min="16" max="19" width="5.625" style="25" bestFit="1" customWidth="1"/>
    <col min="20" max="20" width="9.25390625" style="25" bestFit="1" customWidth="1"/>
    <col min="21" max="21" width="8.625" style="25" bestFit="1" customWidth="1"/>
    <col min="22" max="22" width="22.25390625" style="12" customWidth="1"/>
  </cols>
  <sheetData>
    <row r="1" spans="2:22" s="1" customFormat="1" ht="15" customHeight="1">
      <c r="B1" s="74" t="s">
        <v>285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2:22" s="1" customFormat="1" ht="111.75" customHeight="1" thickBot="1">
      <c r="B2" s="75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s="3" customFormat="1" ht="12.75" customHeight="1">
      <c r="A3" s="76" t="s">
        <v>243</v>
      </c>
      <c r="B3" s="54" t="s">
        <v>0</v>
      </c>
      <c r="C3" s="66" t="s">
        <v>1</v>
      </c>
      <c r="D3" s="66" t="s">
        <v>267</v>
      </c>
      <c r="E3" s="54" t="s">
        <v>11</v>
      </c>
      <c r="F3" s="54" t="s">
        <v>2</v>
      </c>
      <c r="G3" s="67" t="s">
        <v>280</v>
      </c>
      <c r="H3" s="64" t="s">
        <v>4</v>
      </c>
      <c r="I3" s="54"/>
      <c r="J3" s="54"/>
      <c r="K3" s="56"/>
      <c r="L3" s="64" t="s">
        <v>5</v>
      </c>
      <c r="M3" s="54"/>
      <c r="N3" s="54"/>
      <c r="O3" s="56"/>
      <c r="P3" s="64" t="s">
        <v>6</v>
      </c>
      <c r="Q3" s="54"/>
      <c r="R3" s="54"/>
      <c r="S3" s="56"/>
      <c r="T3" s="52" t="s">
        <v>8</v>
      </c>
      <c r="U3" s="54" t="s">
        <v>9</v>
      </c>
      <c r="V3" s="56" t="s">
        <v>10</v>
      </c>
    </row>
    <row r="4" spans="1:22" s="3" customFormat="1" ht="23.25" customHeight="1" thickBot="1">
      <c r="A4" s="77"/>
      <c r="B4" s="55"/>
      <c r="C4" s="55"/>
      <c r="D4" s="55"/>
      <c r="E4" s="55"/>
      <c r="F4" s="55"/>
      <c r="G4" s="68"/>
      <c r="H4" s="5">
        <v>1</v>
      </c>
      <c r="I4" s="6">
        <v>2</v>
      </c>
      <c r="J4" s="6">
        <v>3</v>
      </c>
      <c r="K4" s="7" t="s">
        <v>7</v>
      </c>
      <c r="L4" s="5">
        <v>1</v>
      </c>
      <c r="M4" s="6">
        <v>2</v>
      </c>
      <c r="N4" s="6">
        <v>3</v>
      </c>
      <c r="O4" s="7" t="s">
        <v>7</v>
      </c>
      <c r="P4" s="5">
        <v>1</v>
      </c>
      <c r="Q4" s="6">
        <v>2</v>
      </c>
      <c r="R4" s="6">
        <v>3</v>
      </c>
      <c r="S4" s="7" t="s">
        <v>7</v>
      </c>
      <c r="T4" s="53"/>
      <c r="U4" s="55"/>
      <c r="V4" s="57"/>
    </row>
    <row r="5" spans="1:21" ht="15.75">
      <c r="A5"/>
      <c r="B5" s="58" t="s">
        <v>44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2" ht="12.75">
      <c r="A6" s="23" t="s">
        <v>244</v>
      </c>
      <c r="B6" s="13" t="s">
        <v>284</v>
      </c>
      <c r="C6" s="13" t="s">
        <v>124</v>
      </c>
      <c r="D6" s="13" t="s">
        <v>125</v>
      </c>
      <c r="E6" s="13" t="str">
        <f>"0,6331"</f>
        <v>0,6331</v>
      </c>
      <c r="F6" s="13" t="s">
        <v>48</v>
      </c>
      <c r="G6" s="13" t="s">
        <v>98</v>
      </c>
      <c r="H6" s="26" t="s">
        <v>126</v>
      </c>
      <c r="I6" s="27" t="s">
        <v>61</v>
      </c>
      <c r="J6" s="27" t="s">
        <v>127</v>
      </c>
      <c r="K6" s="24"/>
      <c r="L6" s="26" t="s">
        <v>90</v>
      </c>
      <c r="M6" s="26" t="s">
        <v>42</v>
      </c>
      <c r="N6" s="27" t="s">
        <v>22</v>
      </c>
      <c r="O6" s="24"/>
      <c r="P6" s="26" t="s">
        <v>61</v>
      </c>
      <c r="Q6" s="26" t="s">
        <v>62</v>
      </c>
      <c r="R6" s="26" t="s">
        <v>63</v>
      </c>
      <c r="S6" s="26" t="s">
        <v>128</v>
      </c>
      <c r="T6" s="80">
        <v>675</v>
      </c>
      <c r="U6" s="23" t="str">
        <f>"427,3425"</f>
        <v>427,3425</v>
      </c>
      <c r="V6" s="13" t="s">
        <v>286</v>
      </c>
    </row>
  </sheetData>
  <sheetProtection/>
  <mergeCells count="15"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A3:A4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G24" sqref="G24"/>
    </sheetView>
  </sheetViews>
  <sheetFormatPr defaultColWidth="8.75390625" defaultRowHeight="12.75"/>
  <cols>
    <col min="1" max="1" width="7.875" style="25" bestFit="1" customWidth="1"/>
    <col min="2" max="2" width="22.375" style="12" customWidth="1"/>
    <col min="3" max="3" width="27.625" style="12" customWidth="1"/>
    <col min="4" max="4" width="10.625" style="12" bestFit="1" customWidth="1"/>
    <col min="5" max="5" width="8.375" style="12" bestFit="1" customWidth="1"/>
    <col min="6" max="6" width="12.375" style="12" customWidth="1"/>
    <col min="7" max="7" width="28.75390625" style="12" bestFit="1" customWidth="1"/>
    <col min="8" max="10" width="5.625" style="25" bestFit="1" customWidth="1"/>
    <col min="11" max="11" width="5.125" style="25" bestFit="1" customWidth="1"/>
    <col min="12" max="14" width="5.625" style="25" bestFit="1" customWidth="1"/>
    <col min="15" max="15" width="5.125" style="25" bestFit="1" customWidth="1"/>
    <col min="16" max="18" width="5.625" style="25" bestFit="1" customWidth="1"/>
    <col min="19" max="19" width="5.125" style="25" bestFit="1" customWidth="1"/>
    <col min="20" max="20" width="7.875" style="25" bestFit="1" customWidth="1"/>
    <col min="21" max="21" width="8.625" style="25" bestFit="1" customWidth="1"/>
    <col min="22" max="22" width="15.75390625" style="12" bestFit="1" customWidth="1"/>
  </cols>
  <sheetData>
    <row r="1" spans="2:22" s="1" customFormat="1" ht="15" customHeight="1">
      <c r="B1" s="74" t="s">
        <v>283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2:22" s="1" customFormat="1" ht="96.75" customHeight="1" thickBot="1">
      <c r="B2" s="75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s="3" customFormat="1" ht="12.75" customHeight="1">
      <c r="A3" s="76" t="s">
        <v>243</v>
      </c>
      <c r="B3" s="54" t="s">
        <v>0</v>
      </c>
      <c r="C3" s="66" t="s">
        <v>1</v>
      </c>
      <c r="D3" s="66" t="s">
        <v>267</v>
      </c>
      <c r="E3" s="54" t="s">
        <v>11</v>
      </c>
      <c r="F3" s="54" t="s">
        <v>2</v>
      </c>
      <c r="G3" s="67" t="s">
        <v>280</v>
      </c>
      <c r="H3" s="64" t="s">
        <v>4</v>
      </c>
      <c r="I3" s="54"/>
      <c r="J3" s="54"/>
      <c r="K3" s="56"/>
      <c r="L3" s="64" t="s">
        <v>5</v>
      </c>
      <c r="M3" s="54"/>
      <c r="N3" s="54"/>
      <c r="O3" s="56"/>
      <c r="P3" s="64" t="s">
        <v>6</v>
      </c>
      <c r="Q3" s="54"/>
      <c r="R3" s="54"/>
      <c r="S3" s="56"/>
      <c r="T3" s="52" t="s">
        <v>8</v>
      </c>
      <c r="U3" s="54" t="s">
        <v>9</v>
      </c>
      <c r="V3" s="56" t="s">
        <v>10</v>
      </c>
    </row>
    <row r="4" spans="1:22" s="3" customFormat="1" ht="23.25" customHeight="1" thickBot="1">
      <c r="A4" s="77"/>
      <c r="B4" s="55"/>
      <c r="C4" s="55"/>
      <c r="D4" s="55"/>
      <c r="E4" s="55"/>
      <c r="F4" s="55"/>
      <c r="G4" s="68"/>
      <c r="H4" s="5">
        <v>1</v>
      </c>
      <c r="I4" s="6">
        <v>2</v>
      </c>
      <c r="J4" s="6">
        <v>3</v>
      </c>
      <c r="K4" s="7" t="s">
        <v>7</v>
      </c>
      <c r="L4" s="5">
        <v>1</v>
      </c>
      <c r="M4" s="6">
        <v>2</v>
      </c>
      <c r="N4" s="6">
        <v>3</v>
      </c>
      <c r="O4" s="7" t="s">
        <v>7</v>
      </c>
      <c r="P4" s="5">
        <v>1</v>
      </c>
      <c r="Q4" s="6">
        <v>2</v>
      </c>
      <c r="R4" s="6">
        <v>3</v>
      </c>
      <c r="S4" s="7" t="s">
        <v>7</v>
      </c>
      <c r="T4" s="53"/>
      <c r="U4" s="55"/>
      <c r="V4" s="57"/>
    </row>
    <row r="5" spans="1:21" ht="15.75">
      <c r="A5"/>
      <c r="B5" s="58" t="s">
        <v>44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2" ht="12.75">
      <c r="A6" s="23" t="s">
        <v>244</v>
      </c>
      <c r="B6" s="13" t="s">
        <v>282</v>
      </c>
      <c r="C6" s="13" t="s">
        <v>121</v>
      </c>
      <c r="D6" s="13" t="s">
        <v>122</v>
      </c>
      <c r="E6" s="13" t="str">
        <f>"0,6299"</f>
        <v>0,6299</v>
      </c>
      <c r="F6" s="13" t="s">
        <v>30</v>
      </c>
      <c r="G6" s="13" t="s">
        <v>31</v>
      </c>
      <c r="H6" s="27" t="s">
        <v>23</v>
      </c>
      <c r="I6" s="26" t="s">
        <v>23</v>
      </c>
      <c r="J6" s="27" t="s">
        <v>67</v>
      </c>
      <c r="K6" s="24"/>
      <c r="L6" s="26" t="s">
        <v>70</v>
      </c>
      <c r="M6" s="26" t="s">
        <v>85</v>
      </c>
      <c r="N6" s="27" t="s">
        <v>71</v>
      </c>
      <c r="O6" s="24"/>
      <c r="P6" s="27" t="s">
        <v>69</v>
      </c>
      <c r="Q6" s="27" t="s">
        <v>69</v>
      </c>
      <c r="R6" s="26" t="s">
        <v>114</v>
      </c>
      <c r="S6" s="24"/>
      <c r="T6" s="23">
        <v>490</v>
      </c>
      <c r="U6" s="23" t="str">
        <f>"308,6510"</f>
        <v>308,6510</v>
      </c>
      <c r="V6" s="13" t="s">
        <v>52</v>
      </c>
    </row>
  </sheetData>
  <sheetProtection/>
  <mergeCells count="15"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A3:A4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E1">
      <selection activeCell="N23" sqref="N23"/>
    </sheetView>
  </sheetViews>
  <sheetFormatPr defaultColWidth="8.75390625" defaultRowHeight="12.75"/>
  <cols>
    <col min="1" max="1" width="7.875" style="25" bestFit="1" customWidth="1"/>
    <col min="2" max="2" width="26.125" style="12" customWidth="1"/>
    <col min="3" max="3" width="24.75390625" style="12" customWidth="1"/>
    <col min="4" max="4" width="10.625" style="12" bestFit="1" customWidth="1"/>
    <col min="5" max="5" width="8.375" style="12" bestFit="1" customWidth="1"/>
    <col min="6" max="6" width="15.625" style="12" customWidth="1"/>
    <col min="7" max="7" width="32.25390625" style="12" customWidth="1"/>
    <col min="8" max="10" width="5.625" style="25" bestFit="1" customWidth="1"/>
    <col min="11" max="11" width="5.125" style="25" bestFit="1" customWidth="1"/>
    <col min="12" max="14" width="5.625" style="25" bestFit="1" customWidth="1"/>
    <col min="15" max="15" width="5.125" style="25" bestFit="1" customWidth="1"/>
    <col min="16" max="19" width="5.625" style="25" bestFit="1" customWidth="1"/>
    <col min="20" max="20" width="9.25390625" style="25" bestFit="1" customWidth="1"/>
    <col min="21" max="21" width="8.625" style="25" bestFit="1" customWidth="1"/>
    <col min="22" max="22" width="19.125" style="12" bestFit="1" customWidth="1"/>
  </cols>
  <sheetData>
    <row r="1" spans="2:22" s="1" customFormat="1" ht="15" customHeight="1">
      <c r="B1" s="74" t="s">
        <v>270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2:22" s="1" customFormat="1" ht="82.5" customHeight="1" thickBot="1">
      <c r="B2" s="75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s="3" customFormat="1" ht="12.75" customHeight="1">
      <c r="A3" s="76" t="s">
        <v>243</v>
      </c>
      <c r="B3" s="54" t="s">
        <v>0</v>
      </c>
      <c r="C3" s="66" t="s">
        <v>1</v>
      </c>
      <c r="D3" s="66" t="s">
        <v>267</v>
      </c>
      <c r="E3" s="54" t="s">
        <v>11</v>
      </c>
      <c r="F3" s="54" t="s">
        <v>2</v>
      </c>
      <c r="G3" s="67" t="s">
        <v>280</v>
      </c>
      <c r="H3" s="64" t="s">
        <v>4</v>
      </c>
      <c r="I3" s="54"/>
      <c r="J3" s="54"/>
      <c r="K3" s="56"/>
      <c r="L3" s="64" t="s">
        <v>5</v>
      </c>
      <c r="M3" s="54"/>
      <c r="N3" s="54"/>
      <c r="O3" s="56"/>
      <c r="P3" s="64" t="s">
        <v>6</v>
      </c>
      <c r="Q3" s="54"/>
      <c r="R3" s="54"/>
      <c r="S3" s="56"/>
      <c r="T3" s="52" t="s">
        <v>8</v>
      </c>
      <c r="U3" s="54" t="s">
        <v>9</v>
      </c>
      <c r="V3" s="56" t="s">
        <v>10</v>
      </c>
    </row>
    <row r="4" spans="1:22" s="3" customFormat="1" ht="23.25" customHeight="1" thickBot="1">
      <c r="A4" s="77"/>
      <c r="B4" s="55"/>
      <c r="C4" s="55"/>
      <c r="D4" s="55"/>
      <c r="E4" s="55"/>
      <c r="F4" s="55"/>
      <c r="G4" s="68"/>
      <c r="H4" s="5">
        <v>1</v>
      </c>
      <c r="I4" s="6">
        <v>2</v>
      </c>
      <c r="J4" s="6">
        <v>3</v>
      </c>
      <c r="K4" s="7" t="s">
        <v>7</v>
      </c>
      <c r="L4" s="5">
        <v>1</v>
      </c>
      <c r="M4" s="6">
        <v>2</v>
      </c>
      <c r="N4" s="6">
        <v>3</v>
      </c>
      <c r="O4" s="7" t="s">
        <v>7</v>
      </c>
      <c r="P4" s="5">
        <v>1</v>
      </c>
      <c r="Q4" s="6">
        <v>2</v>
      </c>
      <c r="R4" s="6">
        <v>3</v>
      </c>
      <c r="S4" s="7" t="s">
        <v>7</v>
      </c>
      <c r="T4" s="53"/>
      <c r="U4" s="55"/>
      <c r="V4" s="57"/>
    </row>
    <row r="5" spans="1:21" ht="15.75">
      <c r="A5"/>
      <c r="B5" s="58" t="s">
        <v>82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2" ht="12.75">
      <c r="A6" s="23" t="s">
        <v>244</v>
      </c>
      <c r="B6" s="13" t="s">
        <v>271</v>
      </c>
      <c r="C6" s="13" t="s">
        <v>83</v>
      </c>
      <c r="D6" s="13" t="s">
        <v>84</v>
      </c>
      <c r="E6" s="13" t="str">
        <f>"0,9919"</f>
        <v>0,9919</v>
      </c>
      <c r="F6" s="13" t="s">
        <v>15</v>
      </c>
      <c r="G6" s="13" t="s">
        <v>16</v>
      </c>
      <c r="H6" s="26" t="s">
        <v>70</v>
      </c>
      <c r="I6" s="26" t="s">
        <v>85</v>
      </c>
      <c r="J6" s="26" t="s">
        <v>86</v>
      </c>
      <c r="K6" s="24"/>
      <c r="L6" s="26" t="s">
        <v>87</v>
      </c>
      <c r="M6" s="26" t="s">
        <v>88</v>
      </c>
      <c r="N6" s="27" t="s">
        <v>32</v>
      </c>
      <c r="O6" s="24"/>
      <c r="P6" s="26" t="s">
        <v>89</v>
      </c>
      <c r="Q6" s="26" t="s">
        <v>90</v>
      </c>
      <c r="R6" s="26" t="s">
        <v>17</v>
      </c>
      <c r="S6" s="27" t="s">
        <v>42</v>
      </c>
      <c r="T6" s="80">
        <v>345</v>
      </c>
      <c r="U6" s="23" t="str">
        <f>"342,2055"</f>
        <v>342,2055</v>
      </c>
      <c r="V6" s="13" t="s">
        <v>91</v>
      </c>
    </row>
    <row r="8" spans="1:21" ht="15.75">
      <c r="A8"/>
      <c r="B8" s="59" t="s">
        <v>92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2" ht="12.75">
      <c r="A9" s="23" t="s">
        <v>244</v>
      </c>
      <c r="B9" s="13" t="s">
        <v>272</v>
      </c>
      <c r="C9" s="13" t="s">
        <v>93</v>
      </c>
      <c r="D9" s="13" t="s">
        <v>94</v>
      </c>
      <c r="E9" s="13" t="str">
        <f>"0,8328"</f>
        <v>0,8328</v>
      </c>
      <c r="F9" s="13" t="s">
        <v>56</v>
      </c>
      <c r="G9" s="13" t="s">
        <v>57</v>
      </c>
      <c r="H9" s="26" t="s">
        <v>70</v>
      </c>
      <c r="I9" s="26" t="s">
        <v>71</v>
      </c>
      <c r="J9" s="26" t="s">
        <v>89</v>
      </c>
      <c r="K9" s="24"/>
      <c r="L9" s="26" t="s">
        <v>35</v>
      </c>
      <c r="M9" s="26" t="s">
        <v>36</v>
      </c>
      <c r="N9" s="27" t="s">
        <v>95</v>
      </c>
      <c r="O9" s="24"/>
      <c r="P9" s="26" t="s">
        <v>43</v>
      </c>
      <c r="Q9" s="26" t="s">
        <v>23</v>
      </c>
      <c r="R9" s="26" t="s">
        <v>24</v>
      </c>
      <c r="S9" s="24"/>
      <c r="T9" s="80">
        <v>405</v>
      </c>
      <c r="U9" s="23" t="str">
        <f>"413,1977"</f>
        <v>413,1977</v>
      </c>
      <c r="V9" s="13" t="s">
        <v>281</v>
      </c>
    </row>
    <row r="11" spans="1:21" ht="15.75">
      <c r="A11"/>
      <c r="B11" s="59" t="s">
        <v>26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2" ht="12.75">
      <c r="A12" s="28" t="s">
        <v>244</v>
      </c>
      <c r="B12" s="14" t="s">
        <v>273</v>
      </c>
      <c r="C12" s="14" t="s">
        <v>96</v>
      </c>
      <c r="D12" s="14" t="s">
        <v>97</v>
      </c>
      <c r="E12" s="14" t="str">
        <f>"0,7764"</f>
        <v>0,7764</v>
      </c>
      <c r="F12" s="14" t="s">
        <v>48</v>
      </c>
      <c r="G12" s="13" t="s">
        <v>279</v>
      </c>
      <c r="H12" s="32" t="s">
        <v>99</v>
      </c>
      <c r="I12" s="32" t="s">
        <v>70</v>
      </c>
      <c r="J12" s="32" t="s">
        <v>71</v>
      </c>
      <c r="K12" s="29"/>
      <c r="L12" s="32" t="s">
        <v>20</v>
      </c>
      <c r="M12" s="32" t="s">
        <v>100</v>
      </c>
      <c r="N12" s="35" t="s">
        <v>35</v>
      </c>
      <c r="O12" s="29"/>
      <c r="P12" s="32" t="s">
        <v>70</v>
      </c>
      <c r="Q12" s="32" t="s">
        <v>89</v>
      </c>
      <c r="R12" s="32" t="s">
        <v>17</v>
      </c>
      <c r="S12" s="29"/>
      <c r="T12" s="81">
        <v>360</v>
      </c>
      <c r="U12" s="28" t="str">
        <f>"279,5220"</f>
        <v>279,5220</v>
      </c>
      <c r="V12" s="14" t="s">
        <v>101</v>
      </c>
    </row>
    <row r="13" spans="1:22" ht="12.75">
      <c r="A13" s="23" t="s">
        <v>246</v>
      </c>
      <c r="B13" s="13" t="s">
        <v>274</v>
      </c>
      <c r="C13" s="13" t="s">
        <v>102</v>
      </c>
      <c r="D13" s="13" t="s">
        <v>103</v>
      </c>
      <c r="E13" s="13" t="str">
        <f>"0,7630"</f>
        <v>0,7630</v>
      </c>
      <c r="F13" s="13" t="s">
        <v>56</v>
      </c>
      <c r="G13" s="13" t="s">
        <v>57</v>
      </c>
      <c r="H13" s="26" t="s">
        <v>39</v>
      </c>
      <c r="I13" s="26" t="s">
        <v>99</v>
      </c>
      <c r="J13" s="26" t="s">
        <v>70</v>
      </c>
      <c r="K13" s="24"/>
      <c r="L13" s="26" t="s">
        <v>104</v>
      </c>
      <c r="M13" s="26" t="s">
        <v>32</v>
      </c>
      <c r="N13" s="27" t="s">
        <v>19</v>
      </c>
      <c r="O13" s="24"/>
      <c r="P13" s="26" t="s">
        <v>70</v>
      </c>
      <c r="Q13" s="26" t="s">
        <v>89</v>
      </c>
      <c r="R13" s="26" t="s">
        <v>17</v>
      </c>
      <c r="S13" s="24"/>
      <c r="T13" s="80">
        <v>335</v>
      </c>
      <c r="U13" s="23" t="str">
        <f>"255,6050"</f>
        <v>255,6050</v>
      </c>
      <c r="V13" s="13" t="s">
        <v>105</v>
      </c>
    </row>
    <row r="15" spans="1:21" ht="15.75">
      <c r="A15"/>
      <c r="B15" s="59" t="s">
        <v>106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2" ht="12.75">
      <c r="A16" s="23" t="s">
        <v>244</v>
      </c>
      <c r="B16" s="13" t="s">
        <v>275</v>
      </c>
      <c r="C16" s="13" t="s">
        <v>107</v>
      </c>
      <c r="D16" s="13" t="s">
        <v>108</v>
      </c>
      <c r="E16" s="13" t="str">
        <f>"0,7304"</f>
        <v>0,7304</v>
      </c>
      <c r="F16" s="13" t="s">
        <v>56</v>
      </c>
      <c r="G16" s="13" t="s">
        <v>57</v>
      </c>
      <c r="H16" s="26" t="s">
        <v>99</v>
      </c>
      <c r="I16" s="26" t="s">
        <v>40</v>
      </c>
      <c r="J16" s="26" t="s">
        <v>109</v>
      </c>
      <c r="K16" s="24"/>
      <c r="L16" s="26" t="s">
        <v>32</v>
      </c>
      <c r="M16" s="27" t="s">
        <v>20</v>
      </c>
      <c r="N16" s="26" t="s">
        <v>20</v>
      </c>
      <c r="O16" s="24"/>
      <c r="P16" s="27" t="s">
        <v>71</v>
      </c>
      <c r="Q16" s="26" t="s">
        <v>71</v>
      </c>
      <c r="R16" s="26" t="s">
        <v>110</v>
      </c>
      <c r="S16" s="24"/>
      <c r="T16" s="80">
        <v>345</v>
      </c>
      <c r="U16" s="23" t="str">
        <f>"252,0052"</f>
        <v>252,0052</v>
      </c>
      <c r="V16" s="13" t="s">
        <v>105</v>
      </c>
    </row>
    <row r="18" spans="1:21" ht="15.75">
      <c r="A18"/>
      <c r="B18" s="59" t="s">
        <v>111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2" ht="12.75">
      <c r="A19" s="28" t="s">
        <v>244</v>
      </c>
      <c r="B19" s="14" t="s">
        <v>276</v>
      </c>
      <c r="C19" s="14" t="s">
        <v>112</v>
      </c>
      <c r="D19" s="14" t="s">
        <v>113</v>
      </c>
      <c r="E19" s="14" t="str">
        <f>"0,6513"</f>
        <v>0,6513</v>
      </c>
      <c r="F19" s="14" t="s">
        <v>56</v>
      </c>
      <c r="G19" s="14" t="s">
        <v>57</v>
      </c>
      <c r="H19" s="35" t="s">
        <v>114</v>
      </c>
      <c r="I19" s="32" t="s">
        <v>114</v>
      </c>
      <c r="J19" s="35" t="s">
        <v>115</v>
      </c>
      <c r="K19" s="29"/>
      <c r="L19" s="32" t="s">
        <v>85</v>
      </c>
      <c r="M19" s="32" t="s">
        <v>71</v>
      </c>
      <c r="N19" s="35" t="s">
        <v>89</v>
      </c>
      <c r="O19" s="29"/>
      <c r="P19" s="32" t="s">
        <v>50</v>
      </c>
      <c r="Q19" s="35" t="s">
        <v>73</v>
      </c>
      <c r="R19" s="32" t="s">
        <v>73</v>
      </c>
      <c r="S19" s="29"/>
      <c r="T19" s="81">
        <v>550</v>
      </c>
      <c r="U19" s="28" t="str">
        <f>"358,2150"</f>
        <v>358,2150</v>
      </c>
      <c r="V19" s="14" t="s">
        <v>116</v>
      </c>
    </row>
    <row r="20" spans="1:22" ht="12.75">
      <c r="A20" s="23" t="s">
        <v>246</v>
      </c>
      <c r="B20" s="13" t="s">
        <v>278</v>
      </c>
      <c r="C20" s="13" t="s">
        <v>117</v>
      </c>
      <c r="D20" s="13" t="s">
        <v>118</v>
      </c>
      <c r="E20" s="13" t="str">
        <f>"0,6461"</f>
        <v>0,6461</v>
      </c>
      <c r="F20" s="13" t="s">
        <v>30</v>
      </c>
      <c r="G20" s="13" t="s">
        <v>31</v>
      </c>
      <c r="H20" s="26" t="s">
        <v>42</v>
      </c>
      <c r="I20" s="26" t="s">
        <v>43</v>
      </c>
      <c r="J20" s="27" t="s">
        <v>23</v>
      </c>
      <c r="K20" s="24"/>
      <c r="L20" s="26" t="s">
        <v>70</v>
      </c>
      <c r="M20" s="26" t="s">
        <v>71</v>
      </c>
      <c r="N20" s="27" t="s">
        <v>89</v>
      </c>
      <c r="O20" s="24"/>
      <c r="P20" s="26" t="s">
        <v>69</v>
      </c>
      <c r="Q20" s="26" t="s">
        <v>72</v>
      </c>
      <c r="R20" s="27" t="s">
        <v>49</v>
      </c>
      <c r="S20" s="24"/>
      <c r="T20" s="80">
        <v>490</v>
      </c>
      <c r="U20" s="23" t="str">
        <f>"316,6135"</f>
        <v>316,6135</v>
      </c>
      <c r="V20" s="13" t="s">
        <v>52</v>
      </c>
    </row>
    <row r="21" spans="1:22" ht="12.75">
      <c r="A21" s="30" t="s">
        <v>244</v>
      </c>
      <c r="B21" s="15" t="s">
        <v>101</v>
      </c>
      <c r="C21" s="15" t="s">
        <v>119</v>
      </c>
      <c r="D21" s="15" t="s">
        <v>120</v>
      </c>
      <c r="E21" s="15" t="str">
        <f>"0,6497"</f>
        <v>0,6497</v>
      </c>
      <c r="F21" s="15" t="s">
        <v>48</v>
      </c>
      <c r="G21" s="15" t="s">
        <v>279</v>
      </c>
      <c r="H21" s="33" t="s">
        <v>90</v>
      </c>
      <c r="I21" s="33" t="s">
        <v>42</v>
      </c>
      <c r="J21" s="33" t="s">
        <v>43</v>
      </c>
      <c r="K21" s="31"/>
      <c r="L21" s="33" t="s">
        <v>39</v>
      </c>
      <c r="M21" s="34" t="s">
        <v>99</v>
      </c>
      <c r="N21" s="34" t="s">
        <v>99</v>
      </c>
      <c r="O21" s="31"/>
      <c r="P21" s="33" t="s">
        <v>24</v>
      </c>
      <c r="Q21" s="33" t="s">
        <v>68</v>
      </c>
      <c r="R21" s="34" t="s">
        <v>114</v>
      </c>
      <c r="S21" s="31"/>
      <c r="T21" s="82">
        <v>445</v>
      </c>
      <c r="U21" s="30" t="str">
        <f>"294,9215"</f>
        <v>294,9215</v>
      </c>
      <c r="V21" s="15" t="s">
        <v>52</v>
      </c>
    </row>
    <row r="23" ht="12.75">
      <c r="G23" s="15"/>
    </row>
  </sheetData>
  <sheetProtection/>
  <mergeCells count="19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5:U15"/>
    <mergeCell ref="B18:U18"/>
    <mergeCell ref="A3:A4"/>
    <mergeCell ref="T3:T4"/>
    <mergeCell ref="U3:U4"/>
    <mergeCell ref="V3:V4"/>
    <mergeCell ref="B5:U5"/>
    <mergeCell ref="B8:U8"/>
    <mergeCell ref="B11:U11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F1">
      <selection activeCell="U36" sqref="U36"/>
    </sheetView>
  </sheetViews>
  <sheetFormatPr defaultColWidth="9.125" defaultRowHeight="12.75"/>
  <cols>
    <col min="1" max="1" width="7.875" style="40" bestFit="1" customWidth="1"/>
    <col min="2" max="2" width="24.625" style="38" customWidth="1"/>
    <col min="3" max="3" width="24.875" style="2" customWidth="1"/>
    <col min="4" max="4" width="10.625" style="2" bestFit="1" customWidth="1"/>
    <col min="5" max="5" width="8.375" style="2" bestFit="1" customWidth="1"/>
    <col min="6" max="6" width="14.25390625" style="4" customWidth="1"/>
    <col min="7" max="7" width="34.00390625" style="4" bestFit="1" customWidth="1"/>
    <col min="8" max="10" width="5.625" style="40" bestFit="1" customWidth="1"/>
    <col min="11" max="11" width="5.125" style="40" bestFit="1" customWidth="1"/>
    <col min="12" max="14" width="5.625" style="40" bestFit="1" customWidth="1"/>
    <col min="15" max="15" width="5.125" style="40" bestFit="1" customWidth="1"/>
    <col min="16" max="18" width="5.625" style="40" bestFit="1" customWidth="1"/>
    <col min="19" max="19" width="5.125" style="40" bestFit="1" customWidth="1"/>
    <col min="20" max="20" width="9.25390625" style="40" bestFit="1" customWidth="1"/>
    <col min="21" max="21" width="8.625" style="40" bestFit="1" customWidth="1"/>
    <col min="22" max="22" width="23.875" style="4" bestFit="1" customWidth="1"/>
    <col min="23" max="16384" width="9.125" style="1" customWidth="1"/>
  </cols>
  <sheetData>
    <row r="1" spans="1:22" ht="15" customHeight="1">
      <c r="A1" s="1"/>
      <c r="B1" s="74" t="s">
        <v>262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1:22" ht="96.75" customHeight="1" thickBot="1">
      <c r="A2" s="1"/>
      <c r="B2" s="75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s="3" customFormat="1" ht="12.75" customHeight="1">
      <c r="A3" s="76" t="s">
        <v>243</v>
      </c>
      <c r="B3" s="54" t="s">
        <v>0</v>
      </c>
      <c r="C3" s="66" t="s">
        <v>1</v>
      </c>
      <c r="D3" s="66" t="s">
        <v>267</v>
      </c>
      <c r="E3" s="54" t="s">
        <v>11</v>
      </c>
      <c r="F3" s="54" t="s">
        <v>2</v>
      </c>
      <c r="G3" s="67" t="s">
        <v>268</v>
      </c>
      <c r="H3" s="64" t="s">
        <v>4</v>
      </c>
      <c r="I3" s="54"/>
      <c r="J3" s="54"/>
      <c r="K3" s="56"/>
      <c r="L3" s="64" t="s">
        <v>5</v>
      </c>
      <c r="M3" s="54"/>
      <c r="N3" s="54"/>
      <c r="O3" s="56"/>
      <c r="P3" s="64" t="s">
        <v>6</v>
      </c>
      <c r="Q3" s="54"/>
      <c r="R3" s="54"/>
      <c r="S3" s="56"/>
      <c r="T3" s="52" t="s">
        <v>8</v>
      </c>
      <c r="U3" s="54" t="s">
        <v>9</v>
      </c>
      <c r="V3" s="56" t="s">
        <v>10</v>
      </c>
    </row>
    <row r="4" spans="1:22" s="3" customFormat="1" ht="23.25" customHeight="1" thickBot="1">
      <c r="A4" s="77"/>
      <c r="B4" s="55"/>
      <c r="C4" s="55"/>
      <c r="D4" s="55"/>
      <c r="E4" s="55"/>
      <c r="F4" s="55"/>
      <c r="G4" s="68"/>
      <c r="H4" s="5">
        <v>1</v>
      </c>
      <c r="I4" s="6">
        <v>2</v>
      </c>
      <c r="J4" s="6">
        <v>3</v>
      </c>
      <c r="K4" s="7" t="s">
        <v>7</v>
      </c>
      <c r="L4" s="5">
        <v>1</v>
      </c>
      <c r="M4" s="6">
        <v>2</v>
      </c>
      <c r="N4" s="6">
        <v>3</v>
      </c>
      <c r="O4" s="7" t="s">
        <v>7</v>
      </c>
      <c r="P4" s="5">
        <v>1</v>
      </c>
      <c r="Q4" s="6">
        <v>2</v>
      </c>
      <c r="R4" s="6">
        <v>3</v>
      </c>
      <c r="S4" s="7" t="s">
        <v>7</v>
      </c>
      <c r="T4" s="53"/>
      <c r="U4" s="55"/>
      <c r="V4" s="57"/>
    </row>
    <row r="5" spans="2:22" s="2" customFormat="1" ht="15.75">
      <c r="B5" s="70" t="s">
        <v>12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4"/>
    </row>
    <row r="6" spans="1:22" s="2" customFormat="1" ht="12.75">
      <c r="A6" s="36" t="s">
        <v>244</v>
      </c>
      <c r="B6" s="37" t="s">
        <v>263</v>
      </c>
      <c r="C6" s="8" t="s">
        <v>13</v>
      </c>
      <c r="D6" s="8" t="s">
        <v>14</v>
      </c>
      <c r="E6" s="8" t="str">
        <f>"1,0812"</f>
        <v>1,0812</v>
      </c>
      <c r="F6" s="9" t="s">
        <v>15</v>
      </c>
      <c r="G6" s="9" t="s">
        <v>16</v>
      </c>
      <c r="H6" s="44" t="s">
        <v>17</v>
      </c>
      <c r="I6" s="26" t="s">
        <v>17</v>
      </c>
      <c r="J6" s="26" t="s">
        <v>18</v>
      </c>
      <c r="K6" s="42"/>
      <c r="L6" s="26" t="s">
        <v>19</v>
      </c>
      <c r="M6" s="26" t="s">
        <v>20</v>
      </c>
      <c r="N6" s="26" t="s">
        <v>21</v>
      </c>
      <c r="O6" s="42"/>
      <c r="P6" s="26" t="s">
        <v>22</v>
      </c>
      <c r="Q6" s="26" t="s">
        <v>23</v>
      </c>
      <c r="R6" s="44" t="s">
        <v>24</v>
      </c>
      <c r="S6" s="42"/>
      <c r="T6" s="36">
        <v>407.5</v>
      </c>
      <c r="U6" s="36" t="str">
        <f>"440,5890"</f>
        <v>440,5890</v>
      </c>
      <c r="V6" s="9" t="s">
        <v>25</v>
      </c>
    </row>
    <row r="7" spans="1:22" s="2" customFormat="1" ht="12.75">
      <c r="A7" s="40"/>
      <c r="B7" s="38"/>
      <c r="F7" s="4"/>
      <c r="G7" s="4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"/>
    </row>
    <row r="8" spans="1:21" ht="15.75">
      <c r="A8" s="1"/>
      <c r="B8" s="69" t="s">
        <v>26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2" ht="12.75">
      <c r="A9" s="36" t="s">
        <v>244</v>
      </c>
      <c r="B9" s="37" t="s">
        <v>27</v>
      </c>
      <c r="C9" s="8" t="s">
        <v>28</v>
      </c>
      <c r="D9" s="8" t="s">
        <v>29</v>
      </c>
      <c r="E9" s="8" t="str">
        <f>"0,9334"</f>
        <v>0,9334</v>
      </c>
      <c r="F9" s="9" t="s">
        <v>30</v>
      </c>
      <c r="G9" s="9" t="s">
        <v>31</v>
      </c>
      <c r="H9" s="26" t="s">
        <v>32</v>
      </c>
      <c r="I9" s="26" t="s">
        <v>19</v>
      </c>
      <c r="J9" s="44" t="s">
        <v>20</v>
      </c>
      <c r="K9" s="42"/>
      <c r="L9" s="26" t="s">
        <v>33</v>
      </c>
      <c r="M9" s="44" t="s">
        <v>34</v>
      </c>
      <c r="N9" s="44" t="s">
        <v>34</v>
      </c>
      <c r="O9" s="42"/>
      <c r="P9" s="26" t="s">
        <v>20</v>
      </c>
      <c r="Q9" s="26" t="s">
        <v>35</v>
      </c>
      <c r="R9" s="26" t="s">
        <v>36</v>
      </c>
      <c r="S9" s="42"/>
      <c r="T9" s="78">
        <v>200</v>
      </c>
      <c r="U9" s="36" t="str">
        <f>"186,6900"</f>
        <v>186,6900</v>
      </c>
      <c r="V9" s="9" t="s">
        <v>269</v>
      </c>
    </row>
    <row r="11" spans="1:21" ht="15.75">
      <c r="A11" s="1"/>
      <c r="B11" s="69" t="s">
        <v>26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2" ht="12.75">
      <c r="A12" s="36" t="s">
        <v>244</v>
      </c>
      <c r="B12" s="37" t="s">
        <v>264</v>
      </c>
      <c r="C12" s="8" t="s">
        <v>37</v>
      </c>
      <c r="D12" s="8" t="s">
        <v>38</v>
      </c>
      <c r="E12" s="8" t="str">
        <f>"0,7977"</f>
        <v>0,7977</v>
      </c>
      <c r="F12" s="9" t="s">
        <v>30</v>
      </c>
      <c r="G12" s="9" t="s">
        <v>31</v>
      </c>
      <c r="H12" s="44" t="s">
        <v>39</v>
      </c>
      <c r="I12" s="26" t="s">
        <v>39</v>
      </c>
      <c r="J12" s="26" t="s">
        <v>40</v>
      </c>
      <c r="K12" s="42"/>
      <c r="L12" s="26" t="s">
        <v>36</v>
      </c>
      <c r="M12" s="26" t="s">
        <v>39</v>
      </c>
      <c r="N12" s="44" t="s">
        <v>41</v>
      </c>
      <c r="O12" s="42"/>
      <c r="P12" s="26" t="s">
        <v>42</v>
      </c>
      <c r="Q12" s="26" t="s">
        <v>43</v>
      </c>
      <c r="R12" s="44" t="s">
        <v>23</v>
      </c>
      <c r="S12" s="42"/>
      <c r="T12" s="78">
        <v>375</v>
      </c>
      <c r="U12" s="36" t="str">
        <f>"299,1375"</f>
        <v>299,1375</v>
      </c>
      <c r="V12" s="9" t="s">
        <v>52</v>
      </c>
    </row>
    <row r="14" spans="1:21" ht="15.75">
      <c r="A14" s="1"/>
      <c r="B14" s="69" t="s">
        <v>44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2" ht="12.75">
      <c r="A15" s="36"/>
      <c r="B15" s="37" t="s">
        <v>45</v>
      </c>
      <c r="C15" s="8" t="s">
        <v>46</v>
      </c>
      <c r="D15" s="8" t="s">
        <v>47</v>
      </c>
      <c r="E15" s="8" t="str">
        <f>"0,6201"</f>
        <v>0,6201</v>
      </c>
      <c r="F15" s="9" t="s">
        <v>48</v>
      </c>
      <c r="G15" s="9" t="s">
        <v>31</v>
      </c>
      <c r="H15" s="44" t="s">
        <v>49</v>
      </c>
      <c r="I15" s="44" t="s">
        <v>50</v>
      </c>
      <c r="J15" s="42"/>
      <c r="K15" s="42"/>
      <c r="L15" s="44" t="s">
        <v>51</v>
      </c>
      <c r="M15" s="42"/>
      <c r="N15" s="42"/>
      <c r="O15" s="42"/>
      <c r="P15" s="44" t="s">
        <v>51</v>
      </c>
      <c r="Q15" s="42"/>
      <c r="R15" s="42"/>
      <c r="S15" s="42"/>
      <c r="T15" s="45">
        <v>0</v>
      </c>
      <c r="U15" s="36" t="str">
        <f>"0,0000"</f>
        <v>0,0000</v>
      </c>
      <c r="V15" s="9" t="s">
        <v>52</v>
      </c>
    </row>
    <row r="17" spans="1:21" ht="15.75">
      <c r="A17" s="1"/>
      <c r="B17" s="69" t="s">
        <v>53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2" ht="12.75">
      <c r="A18" s="36" t="s">
        <v>244</v>
      </c>
      <c r="B18" s="37" t="s">
        <v>265</v>
      </c>
      <c r="C18" s="8" t="s">
        <v>54</v>
      </c>
      <c r="D18" s="8" t="s">
        <v>55</v>
      </c>
      <c r="E18" s="8" t="str">
        <f>"0,5813"</f>
        <v>0,5813</v>
      </c>
      <c r="F18" s="9" t="s">
        <v>56</v>
      </c>
      <c r="G18" s="9" t="s">
        <v>57</v>
      </c>
      <c r="H18" s="26" t="s">
        <v>58</v>
      </c>
      <c r="I18" s="44" t="s">
        <v>59</v>
      </c>
      <c r="J18" s="44" t="s">
        <v>60</v>
      </c>
      <c r="K18" s="42"/>
      <c r="L18" s="26" t="s">
        <v>17</v>
      </c>
      <c r="M18" s="26" t="s">
        <v>42</v>
      </c>
      <c r="N18" s="44" t="s">
        <v>18</v>
      </c>
      <c r="O18" s="42"/>
      <c r="P18" s="26" t="s">
        <v>61</v>
      </c>
      <c r="Q18" s="26" t="s">
        <v>62</v>
      </c>
      <c r="R18" s="44" t="s">
        <v>63</v>
      </c>
      <c r="S18" s="42"/>
      <c r="T18" s="78">
        <v>640</v>
      </c>
      <c r="U18" s="36" t="str">
        <f>"372,0320"</f>
        <v>372,0320</v>
      </c>
      <c r="V18" s="9" t="s">
        <v>64</v>
      </c>
    </row>
    <row r="19" spans="1:22" ht="12.75">
      <c r="A19" s="41" t="s">
        <v>246</v>
      </c>
      <c r="B19" s="39" t="s">
        <v>266</v>
      </c>
      <c r="C19" s="10" t="s">
        <v>65</v>
      </c>
      <c r="D19" s="10" t="s">
        <v>66</v>
      </c>
      <c r="E19" s="10" t="str">
        <f>"0,5955"</f>
        <v>0,5955</v>
      </c>
      <c r="F19" s="11" t="s">
        <v>30</v>
      </c>
      <c r="G19" s="11" t="s">
        <v>31</v>
      </c>
      <c r="H19" s="33" t="s">
        <v>67</v>
      </c>
      <c r="I19" s="33" t="s">
        <v>68</v>
      </c>
      <c r="J19" s="33" t="s">
        <v>69</v>
      </c>
      <c r="K19" s="43"/>
      <c r="L19" s="46" t="s">
        <v>70</v>
      </c>
      <c r="M19" s="33" t="s">
        <v>70</v>
      </c>
      <c r="N19" s="46" t="s">
        <v>71</v>
      </c>
      <c r="O19" s="43"/>
      <c r="P19" s="33" t="s">
        <v>72</v>
      </c>
      <c r="Q19" s="33" t="s">
        <v>50</v>
      </c>
      <c r="R19" s="33" t="s">
        <v>73</v>
      </c>
      <c r="S19" s="43"/>
      <c r="T19" s="79">
        <v>535</v>
      </c>
      <c r="U19" s="41" t="str">
        <f>"318,5925"</f>
        <v>318,5925</v>
      </c>
      <c r="V19" s="11" t="s">
        <v>52</v>
      </c>
    </row>
  </sheetData>
  <sheetProtection/>
  <mergeCells count="19">
    <mergeCell ref="T3:T4"/>
    <mergeCell ref="U3:U4"/>
    <mergeCell ref="B1:V2"/>
    <mergeCell ref="H3:K3"/>
    <mergeCell ref="L3:O3"/>
    <mergeCell ref="P3:S3"/>
    <mergeCell ref="B3:B4"/>
    <mergeCell ref="C3:C4"/>
    <mergeCell ref="D3:D4"/>
    <mergeCell ref="B14:U14"/>
    <mergeCell ref="B17:U17"/>
    <mergeCell ref="A3:A4"/>
    <mergeCell ref="V3:V4"/>
    <mergeCell ref="G3:G4"/>
    <mergeCell ref="F3:F4"/>
    <mergeCell ref="B5:U5"/>
    <mergeCell ref="B8:U8"/>
    <mergeCell ref="B11:U11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65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2008-02-22T21:19:54Z</cp:lastPrinted>
  <dcterms:created xsi:type="dcterms:W3CDTF">2002-06-16T13:36:44Z</dcterms:created>
  <dcterms:modified xsi:type="dcterms:W3CDTF">2015-11-22T18:18:43Z</dcterms:modified>
  <cp:category/>
  <cp:version/>
  <cp:contentType/>
  <cp:contentStatus/>
</cp:coreProperties>
</file>