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0" yWindow="600" windowWidth="25600" windowHeight="16000" firstSheet="1" activeTab="1"/>
  </bookViews>
  <sheets>
    <sheet name="Тяга без экипировки ДК" sheetId="1" r:id="rId1"/>
    <sheet name="Тяга без экипировки" sheetId="2" r:id="rId2"/>
    <sheet name="Народный жим 1_2 ДК" sheetId="3" r:id="rId3"/>
    <sheet name="Народный жим ДК" sheetId="4" r:id="rId4"/>
    <sheet name="Народный жим 1_2" sheetId="5" r:id="rId5"/>
    <sheet name="Народный жим" sheetId="6" r:id="rId6"/>
    <sheet name="Жим многослой ДК" sheetId="7" r:id="rId7"/>
    <sheet name="Жим однослой ДК" sheetId="8" r:id="rId8"/>
    <sheet name="Жим однослой" sheetId="9" r:id="rId9"/>
    <sheet name="Жим без экипировки ДК" sheetId="10" r:id="rId10"/>
    <sheet name="Жим без экипировки" sheetId="11" r:id="rId11"/>
    <sheet name="Присед в бинтах ДК" sheetId="12" r:id="rId12"/>
    <sheet name="Присед в бинтах" sheetId="13" r:id="rId13"/>
    <sheet name="Присед без экипировки" sheetId="14" r:id="rId14"/>
    <sheet name="Пауэрифтинг однослой ДК" sheetId="15" r:id="rId15"/>
    <sheet name="Пауэрлифтинг однослой" sheetId="16" r:id="rId16"/>
    <sheet name="Пауэрлифтинг в бинтах ДК" sheetId="17" r:id="rId17"/>
    <sheet name="Пауэрлифтинг в бинтах" sheetId="18" r:id="rId18"/>
    <sheet name="Пауэрлифтинг без экипировки ДК" sheetId="19" r:id="rId19"/>
    <sheet name="Пауэлифтинг без экипировки" sheetId="20" r:id="rId20"/>
  </sheets>
  <definedNames/>
  <calcPr fullCalcOnLoad="1" refMode="R1C1"/>
</workbook>
</file>

<file path=xl/sharedStrings.xml><?xml version="1.0" encoding="utf-8"?>
<sst xmlns="http://schemas.openxmlformats.org/spreadsheetml/2006/main" count="2803" uniqueCount="820">
  <si>
    <t>ФИО</t>
  </si>
  <si>
    <t>Весовая категория               Дата рождения/возраст</t>
  </si>
  <si>
    <t>Команда</t>
  </si>
  <si>
    <t>Присед</t>
  </si>
  <si>
    <t>Жим</t>
  </si>
  <si>
    <t>Тяга</t>
  </si>
  <si>
    <t>Рек.</t>
  </si>
  <si>
    <t>Сумма</t>
  </si>
  <si>
    <t>Очки</t>
  </si>
  <si>
    <t>Тренер</t>
  </si>
  <si>
    <t>Gloss</t>
  </si>
  <si>
    <t>ВЕСОВАЯ КАТЕГОРИЯ   60</t>
  </si>
  <si>
    <t>Teen 16-17 (01.06.1999)/16</t>
  </si>
  <si>
    <t>59,10</t>
  </si>
  <si>
    <t xml:space="preserve">Спартак </t>
  </si>
  <si>
    <t xml:space="preserve">Новосибирск/Новосибирская обла </t>
  </si>
  <si>
    <t>80,0</t>
  </si>
  <si>
    <t>90,0</t>
  </si>
  <si>
    <t>102,5</t>
  </si>
  <si>
    <t>57,5</t>
  </si>
  <si>
    <t>62,5</t>
  </si>
  <si>
    <t>127,5</t>
  </si>
  <si>
    <t>132,5</t>
  </si>
  <si>
    <t>137,5</t>
  </si>
  <si>
    <t xml:space="preserve">Щелков Александр </t>
  </si>
  <si>
    <t>ВЕСОВАЯ КАТЕГОРИЯ   67.5</t>
  </si>
  <si>
    <t>Juniors 20-23 (20.12.1994)/20</t>
  </si>
  <si>
    <t>67,40</t>
  </si>
  <si>
    <t xml:space="preserve">Новосибирск/Новосибирская область </t>
  </si>
  <si>
    <t>135,0</t>
  </si>
  <si>
    <t>150,0</t>
  </si>
  <si>
    <t>162,5</t>
  </si>
  <si>
    <t>112,5</t>
  </si>
  <si>
    <t>117,5</t>
  </si>
  <si>
    <t>120,0</t>
  </si>
  <si>
    <t>170,0</t>
  </si>
  <si>
    <t>185,0</t>
  </si>
  <si>
    <t>192,5</t>
  </si>
  <si>
    <t xml:space="preserve">Филипович Владислав </t>
  </si>
  <si>
    <t>ВЕСОВАЯ КАТЕГОРИЯ   90</t>
  </si>
  <si>
    <t>Бирюков Антон</t>
  </si>
  <si>
    <t>Juniors 20-23 (02.05.1992)/23</t>
  </si>
  <si>
    <t>89,60</t>
  </si>
  <si>
    <t>252,5</t>
  </si>
  <si>
    <t>260,0</t>
  </si>
  <si>
    <t>270,0</t>
  </si>
  <si>
    <t>172,5</t>
  </si>
  <si>
    <t>180,0</t>
  </si>
  <si>
    <t>315,0</t>
  </si>
  <si>
    <t>325,0</t>
  </si>
  <si>
    <t>330,0</t>
  </si>
  <si>
    <t>Open (02.05.1992)/23</t>
  </si>
  <si>
    <t>Open (05.11.1989)/25</t>
  </si>
  <si>
    <t>85,50</t>
  </si>
  <si>
    <t>200,0</t>
  </si>
  <si>
    <t>215,0</t>
  </si>
  <si>
    <t>165,0</t>
  </si>
  <si>
    <t>240,0</t>
  </si>
  <si>
    <t>0,0</t>
  </si>
  <si>
    <t>Open (13.02.1989)/26</t>
  </si>
  <si>
    <t>89,50</t>
  </si>
  <si>
    <t xml:space="preserve">Лично </t>
  </si>
  <si>
    <t>160,0</t>
  </si>
  <si>
    <t>130,0</t>
  </si>
  <si>
    <t>145,0</t>
  </si>
  <si>
    <t xml:space="preserve">Кучин Александр </t>
  </si>
  <si>
    <t>ВЕСОВАЯ КАТЕГОРИЯ   110</t>
  </si>
  <si>
    <t>Клемешов Александр</t>
  </si>
  <si>
    <t>Juniors 20-23 (14.05.1995)/20</t>
  </si>
  <si>
    <t>108,80</t>
  </si>
  <si>
    <t>225,0</t>
  </si>
  <si>
    <t>237,5</t>
  </si>
  <si>
    <t>167,5</t>
  </si>
  <si>
    <t>230,0</t>
  </si>
  <si>
    <t>245,0</t>
  </si>
  <si>
    <t>Обухович Александр</t>
  </si>
  <si>
    <t>Open (16.08.1987)/28</t>
  </si>
  <si>
    <t>107,70</t>
  </si>
  <si>
    <t xml:space="preserve">СВС </t>
  </si>
  <si>
    <t xml:space="preserve">Томск/Томская область </t>
  </si>
  <si>
    <t>250,0</t>
  </si>
  <si>
    <t>265,0</t>
  </si>
  <si>
    <t>187,5</t>
  </si>
  <si>
    <t>195,0</t>
  </si>
  <si>
    <t>320,0</t>
  </si>
  <si>
    <t>350,0</t>
  </si>
  <si>
    <t>375,0</t>
  </si>
  <si>
    <t xml:space="preserve">Самостоятельно </t>
  </si>
  <si>
    <t>Open (14.05.1995)/20</t>
  </si>
  <si>
    <t>ВЕСОВАЯ КАТЕГОРИЯ   125</t>
  </si>
  <si>
    <t>Семакин Сергей</t>
  </si>
  <si>
    <t>Open (29.08.1978)/37</t>
  </si>
  <si>
    <t>117,00</t>
  </si>
  <si>
    <t>280,0</t>
  </si>
  <si>
    <t>300,0</t>
  </si>
  <si>
    <t>310,0</t>
  </si>
  <si>
    <t>175,0</t>
  </si>
  <si>
    <t>182,5</t>
  </si>
  <si>
    <t>190,0</t>
  </si>
  <si>
    <t>360,0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</si>
  <si>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</si>
  <si>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</si>
  <si>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</si>
  <si>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</si>
  <si>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</si>
  <si>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</si>
  <si>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</si>
  <si>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Юноши 16 - 17 </t>
  </si>
  <si>
    <t xml:space="preserve">60 </t>
  </si>
  <si>
    <t xml:space="preserve">Юниоры 20 - 23 </t>
  </si>
  <si>
    <t xml:space="preserve">90 </t>
  </si>
  <si>
    <t>775,0</t>
  </si>
  <si>
    <t>475,3462</t>
  </si>
  <si>
    <t xml:space="preserve">110 </t>
  </si>
  <si>
    <t xml:space="preserve">67.5 </t>
  </si>
  <si>
    <t xml:space="preserve">Открытая </t>
  </si>
  <si>
    <t>815,0</t>
  </si>
  <si>
    <t>461,2492</t>
  </si>
  <si>
    <t xml:space="preserve">125 </t>
  </si>
  <si>
    <t>830,0</t>
  </si>
  <si>
    <t>459,8615</t>
  </si>
  <si>
    <t>ВЕСОВАЯ КАТЕГОРИЯ   48</t>
  </si>
  <si>
    <t>Мордвинова Полина</t>
  </si>
  <si>
    <t>Teen 13-15 (11.12.2000)/14</t>
  </si>
  <si>
    <t>48,00</t>
  </si>
  <si>
    <t>65,0</t>
  </si>
  <si>
    <t>72,5</t>
  </si>
  <si>
    <t>77,5</t>
  </si>
  <si>
    <t>32,5</t>
  </si>
  <si>
    <t>37,5</t>
  </si>
  <si>
    <t>82,5</t>
  </si>
  <si>
    <t>100,0</t>
  </si>
  <si>
    <t>Баннова Татьяна</t>
  </si>
  <si>
    <t>Open (30.10.1986)/29</t>
  </si>
  <si>
    <t>47,80</t>
  </si>
  <si>
    <t>75,0</t>
  </si>
  <si>
    <t>40,0</t>
  </si>
  <si>
    <t>45,0</t>
  </si>
  <si>
    <t>95,0</t>
  </si>
  <si>
    <t xml:space="preserve">Медведева Юлия </t>
  </si>
  <si>
    <t>Родикова Ульяна</t>
  </si>
  <si>
    <t>Open (24.12.1987)/27</t>
  </si>
  <si>
    <t>47,50</t>
  </si>
  <si>
    <t xml:space="preserve">Искитим/Новосибирская область </t>
  </si>
  <si>
    <t>55,0</t>
  </si>
  <si>
    <t>60,0</t>
  </si>
  <si>
    <t>35,0</t>
  </si>
  <si>
    <t>107,5</t>
  </si>
  <si>
    <t>ВЕСОВАЯ КАТЕГОРИЯ   52</t>
  </si>
  <si>
    <t>Макаренко Дарья</t>
  </si>
  <si>
    <t>Teen 18-19 (24.07.1996)/19</t>
  </si>
  <si>
    <t>50,80</t>
  </si>
  <si>
    <t>85,0</t>
  </si>
  <si>
    <t>50,0</t>
  </si>
  <si>
    <t>115,0</t>
  </si>
  <si>
    <t xml:space="preserve"> </t>
  </si>
  <si>
    <t>Демская Анна</t>
  </si>
  <si>
    <t>Open (28.02.1985)/30</t>
  </si>
  <si>
    <t>50,30</t>
  </si>
  <si>
    <t>70,0</t>
  </si>
  <si>
    <t>42,5</t>
  </si>
  <si>
    <t>Варнавская Наталья</t>
  </si>
  <si>
    <t>Open (17.05.1983)/32</t>
  </si>
  <si>
    <t>52,00</t>
  </si>
  <si>
    <t xml:space="preserve">Стальной медведь </t>
  </si>
  <si>
    <t>87,5</t>
  </si>
  <si>
    <t>92,5</t>
  </si>
  <si>
    <t>52,5</t>
  </si>
  <si>
    <t xml:space="preserve">Быховец Артём </t>
  </si>
  <si>
    <t>ВЕСОВАЯ КАТЕГОРИЯ   56</t>
  </si>
  <si>
    <t>Галл-Савальская Ксения</t>
  </si>
  <si>
    <t>Juniors 20-23 (19.04.1992)/23</t>
  </si>
  <si>
    <t>55,90</t>
  </si>
  <si>
    <t>110,0</t>
  </si>
  <si>
    <t>Вишняк Анна</t>
  </si>
  <si>
    <t>Open (12.12.1984)/30</t>
  </si>
  <si>
    <t>54,80</t>
  </si>
  <si>
    <t>122,5</t>
  </si>
  <si>
    <t>152,5</t>
  </si>
  <si>
    <t xml:space="preserve">Быховец Артем </t>
  </si>
  <si>
    <t>Чернобаева Лариса</t>
  </si>
  <si>
    <t>Open (22.12.1980)/34</t>
  </si>
  <si>
    <t>54,00</t>
  </si>
  <si>
    <t>Коптякова Татьяна</t>
  </si>
  <si>
    <t>Open (15.05.1991)/24</t>
  </si>
  <si>
    <t>56,00</t>
  </si>
  <si>
    <t>Иванова Полина</t>
  </si>
  <si>
    <t>Open (27.09.1986)/29</t>
  </si>
  <si>
    <t>59,50</t>
  </si>
  <si>
    <t>Шпигунова Инна</t>
  </si>
  <si>
    <t>Teen 18-19 (10.05.1996)/19</t>
  </si>
  <si>
    <t>66,90</t>
  </si>
  <si>
    <t>105,0</t>
  </si>
  <si>
    <t>Афанасенкова Дарья</t>
  </si>
  <si>
    <t>Teen 18-19 (01.06.1996)/19</t>
  </si>
  <si>
    <t>65,00</t>
  </si>
  <si>
    <t xml:space="preserve">Локомотив </t>
  </si>
  <si>
    <t xml:space="preserve">Пасынков Виталий </t>
  </si>
  <si>
    <t>Ялама Дарья</t>
  </si>
  <si>
    <t>Open (25.03.1987)/28</t>
  </si>
  <si>
    <t>60,10</t>
  </si>
  <si>
    <t xml:space="preserve">Шматков Виктор </t>
  </si>
  <si>
    <t>Сукачёв Алексей</t>
  </si>
  <si>
    <t>Teen 16-17 (25.01.1998)/17</t>
  </si>
  <si>
    <t>67,00</t>
  </si>
  <si>
    <t xml:space="preserve">Проф лига </t>
  </si>
  <si>
    <t>140,0</t>
  </si>
  <si>
    <t>155,0</t>
  </si>
  <si>
    <t>Суслав Михаил</t>
  </si>
  <si>
    <t>Open (24.08.1994)/21</t>
  </si>
  <si>
    <t>66,50</t>
  </si>
  <si>
    <t>205,0</t>
  </si>
  <si>
    <t>125,0</t>
  </si>
  <si>
    <t>210,0</t>
  </si>
  <si>
    <t>Open (31.05.1991)/24</t>
  </si>
  <si>
    <t>67,20</t>
  </si>
  <si>
    <t>ВЕСОВАЯ КАТЕГОРИЯ   75</t>
  </si>
  <si>
    <t>Open (22.07.1984)/31</t>
  </si>
  <si>
    <t>69,50</t>
  </si>
  <si>
    <t>142,5</t>
  </si>
  <si>
    <t>157,5</t>
  </si>
  <si>
    <t>Open (03.09.1986)/29</t>
  </si>
  <si>
    <t>74,30</t>
  </si>
  <si>
    <t xml:space="preserve">Овчаров Дмитрий </t>
  </si>
  <si>
    <t>ВЕСОВАЯ КАТЕГОРИЯ   82.5</t>
  </si>
  <si>
    <t>Чайкин Денис</t>
  </si>
  <si>
    <t>Teen 13-15 (14.09.2000)/15</t>
  </si>
  <si>
    <t>79,90</t>
  </si>
  <si>
    <t>Близнюк Владислав</t>
  </si>
  <si>
    <t>Teen 16-17 (03.03.1998)/17</t>
  </si>
  <si>
    <t>78,20</t>
  </si>
  <si>
    <t>Колпаков Леонид</t>
  </si>
  <si>
    <t>Teen 18-19 (22.10.1997)/18</t>
  </si>
  <si>
    <t>81,50</t>
  </si>
  <si>
    <t>227,5</t>
  </si>
  <si>
    <t>Juniors 20-23 (19.07.1995)/20</t>
  </si>
  <si>
    <t>80,00</t>
  </si>
  <si>
    <t>222,5</t>
  </si>
  <si>
    <t>Лобанов Вячеслав</t>
  </si>
  <si>
    <t>Juniors 20-23 (05.09.1993)/22</t>
  </si>
  <si>
    <t>82,20</t>
  </si>
  <si>
    <t>Платошин Алексей</t>
  </si>
  <si>
    <t>Open (01.10.1984)/31</t>
  </si>
  <si>
    <t>82,00</t>
  </si>
  <si>
    <t xml:space="preserve">Энергия </t>
  </si>
  <si>
    <t>Open (24.03.1990)/25</t>
  </si>
  <si>
    <t>81,30</t>
  </si>
  <si>
    <t>177,5</t>
  </si>
  <si>
    <t>217,5</t>
  </si>
  <si>
    <t>Вебер Алексей</t>
  </si>
  <si>
    <t>Open (11.02.1987)/28</t>
  </si>
  <si>
    <t>80,30</t>
  </si>
  <si>
    <t>147,5</t>
  </si>
  <si>
    <t>Open (20.06.1990)/25</t>
  </si>
  <si>
    <t>81,90</t>
  </si>
  <si>
    <t>Жуков Андрей</t>
  </si>
  <si>
    <t>Open (29.04.1991)/24</t>
  </si>
  <si>
    <t>77,70</t>
  </si>
  <si>
    <t>Open (08.01.1991)/24</t>
  </si>
  <si>
    <t>89,40</t>
  </si>
  <si>
    <t>220,0</t>
  </si>
  <si>
    <t>Кюббар Александр</t>
  </si>
  <si>
    <t>Masters 55-59 (23.05.1960)/55</t>
  </si>
  <si>
    <t>88,80</t>
  </si>
  <si>
    <t>ВЕСОВАЯ КАТЕГОРИЯ   100</t>
  </si>
  <si>
    <t>Teen 16-17 (19.02.1999)/16</t>
  </si>
  <si>
    <t>96,50</t>
  </si>
  <si>
    <t xml:space="preserve">Пашков Александр </t>
  </si>
  <si>
    <t>Толоконников Николай</t>
  </si>
  <si>
    <t>Juniors 20-23 (02.11.1991)/23</t>
  </si>
  <si>
    <t>106,00</t>
  </si>
  <si>
    <t>232,5</t>
  </si>
  <si>
    <t>242,5</t>
  </si>
  <si>
    <t>Open (02.11.1991)/23</t>
  </si>
  <si>
    <t xml:space="preserve">Женщины </t>
  </si>
  <si>
    <t xml:space="preserve">48 </t>
  </si>
  <si>
    <t xml:space="preserve">Юноши 18 - 19 </t>
  </si>
  <si>
    <t xml:space="preserve">56 </t>
  </si>
  <si>
    <t>332,5</t>
  </si>
  <si>
    <t>353,1815</t>
  </si>
  <si>
    <t>285,0</t>
  </si>
  <si>
    <t>306,3180</t>
  </si>
  <si>
    <t>283,3612</t>
  </si>
  <si>
    <t xml:space="preserve">82.5 </t>
  </si>
  <si>
    <t>475,0</t>
  </si>
  <si>
    <t>317,3713</t>
  </si>
  <si>
    <t>362,5</t>
  </si>
  <si>
    <t>273,0169</t>
  </si>
  <si>
    <t xml:space="preserve">100 </t>
  </si>
  <si>
    <t>395,0</t>
  </si>
  <si>
    <t>542,5</t>
  </si>
  <si>
    <t>352,4894</t>
  </si>
  <si>
    <t>620,0</t>
  </si>
  <si>
    <t>352,6870</t>
  </si>
  <si>
    <t>570,0</t>
  </si>
  <si>
    <t>432,0885</t>
  </si>
  <si>
    <t>580,0</t>
  </si>
  <si>
    <t>375,3470</t>
  </si>
  <si>
    <t xml:space="preserve">75 </t>
  </si>
  <si>
    <t>Teen 18-19 (31.01.1996)/19</t>
  </si>
  <si>
    <t>66,40</t>
  </si>
  <si>
    <t>Juniors 20-23 (07.06.1995)/20</t>
  </si>
  <si>
    <t>73,60</t>
  </si>
  <si>
    <t>Open (24.02.1989)/26</t>
  </si>
  <si>
    <t>47,30</t>
  </si>
  <si>
    <t>47,5</t>
  </si>
  <si>
    <t>Open (04.03.1986)/29</t>
  </si>
  <si>
    <t>73,50</t>
  </si>
  <si>
    <t>212,5</t>
  </si>
  <si>
    <t>197,5</t>
  </si>
  <si>
    <t>Бокарев Алексей</t>
  </si>
  <si>
    <t>Open (10.09.1991)/24</t>
  </si>
  <si>
    <t>108,50</t>
  </si>
  <si>
    <t xml:space="preserve">ШелеповАлексанр </t>
  </si>
  <si>
    <t>Open (01.07.1990)/25</t>
  </si>
  <si>
    <t>119,60</t>
  </si>
  <si>
    <t xml:space="preserve">Обухович Александр </t>
  </si>
  <si>
    <t>ВЕСОВАЯ КАТЕГОРИЯ   140</t>
  </si>
  <si>
    <t>Малашкин Василий</t>
  </si>
  <si>
    <t>Juniors 20-23 (14.02.1992)/23</t>
  </si>
  <si>
    <t>139,00</t>
  </si>
  <si>
    <t xml:space="preserve">КПД </t>
  </si>
  <si>
    <t xml:space="preserve">Кемерово/Кемеровская область </t>
  </si>
  <si>
    <t>385,0</t>
  </si>
  <si>
    <t>290,0</t>
  </si>
  <si>
    <t>305,0</t>
  </si>
  <si>
    <t>355,0</t>
  </si>
  <si>
    <t>370,0</t>
  </si>
  <si>
    <t xml:space="preserve">Диваков Денис </t>
  </si>
  <si>
    <t>Open (14.02.1992)/23</t>
  </si>
  <si>
    <t xml:space="preserve">140 </t>
  </si>
  <si>
    <t>1065,0</t>
  </si>
  <si>
    <t>566,6013</t>
  </si>
  <si>
    <t>715,0</t>
  </si>
  <si>
    <t>403,7605</t>
  </si>
  <si>
    <t>660,0</t>
  </si>
  <si>
    <t>363,9240</t>
  </si>
  <si>
    <t>ВЕСОВАЯ КАТЕГОРИЯ   44</t>
  </si>
  <si>
    <t>Open (14.11.1984)/30</t>
  </si>
  <si>
    <t>43,80</t>
  </si>
  <si>
    <t>67,5</t>
  </si>
  <si>
    <t>Open (14.12.1987)/27</t>
  </si>
  <si>
    <t>82,50</t>
  </si>
  <si>
    <t>272,5</t>
  </si>
  <si>
    <t>277,5</t>
  </si>
  <si>
    <t>235,0</t>
  </si>
  <si>
    <t>322,5</t>
  </si>
  <si>
    <t>Teen 13-15 (26.11.2001)/13</t>
  </si>
  <si>
    <t xml:space="preserve">Обухвич Александр </t>
  </si>
  <si>
    <t>Пашков Егор</t>
  </si>
  <si>
    <t>Teen 13-15 (08.06.2000)/15</t>
  </si>
  <si>
    <t>56,90</t>
  </si>
  <si>
    <t>Teen 18-19 (08.11.1996)/18</t>
  </si>
  <si>
    <t>75,00</t>
  </si>
  <si>
    <t xml:space="preserve">НВИ </t>
  </si>
  <si>
    <t>Open (17.08.1990)/25</t>
  </si>
  <si>
    <t>71,80</t>
  </si>
  <si>
    <t>Беловал Евгений</t>
  </si>
  <si>
    <t>87,90</t>
  </si>
  <si>
    <t xml:space="preserve">Свинцов Максим </t>
  </si>
  <si>
    <t>Open (06.12.1991)/23</t>
  </si>
  <si>
    <t>Open (29.07.1988)/27</t>
  </si>
  <si>
    <t>87,60</t>
  </si>
  <si>
    <t>Поспелов Валентин</t>
  </si>
  <si>
    <t>Open (13.10.1972)/43</t>
  </si>
  <si>
    <t>85,00</t>
  </si>
  <si>
    <t xml:space="preserve">Караганда/Карагандинская </t>
  </si>
  <si>
    <t>Masters 40-44 (13.10.1972)/43</t>
  </si>
  <si>
    <t>Романов Денис</t>
  </si>
  <si>
    <t>Juniors 20-23 (24.04.1994)/21</t>
  </si>
  <si>
    <t>99,00</t>
  </si>
  <si>
    <t xml:space="preserve">Гребенкин Сергей </t>
  </si>
  <si>
    <t>Панин денис</t>
  </si>
  <si>
    <t>Open (08.06.1982)/33</t>
  </si>
  <si>
    <t>97,80</t>
  </si>
  <si>
    <t>Open (08.07.1990)/25</t>
  </si>
  <si>
    <t>96,90</t>
  </si>
  <si>
    <t xml:space="preserve">Дементьев Антон </t>
  </si>
  <si>
    <t>Masters 40-44 (01.07.1972)/43</t>
  </si>
  <si>
    <t>98,20</t>
  </si>
  <si>
    <t>Juniors 20-23 (11.02.1993)/22</t>
  </si>
  <si>
    <t>109,00</t>
  </si>
  <si>
    <t>Бибиков Виталий</t>
  </si>
  <si>
    <t>Open (05.02.1985)/30</t>
  </si>
  <si>
    <t>106,80</t>
  </si>
  <si>
    <t>Open (17.02.1991)/24</t>
  </si>
  <si>
    <t>103,60</t>
  </si>
  <si>
    <t xml:space="preserve">Суслов Михаил </t>
  </si>
  <si>
    <t>Masters 40-44 (17.09.1972)/43</t>
  </si>
  <si>
    <t>102,40</t>
  </si>
  <si>
    <t>Juniors 20-23 (17.02.1994)/21</t>
  </si>
  <si>
    <t>115,90</t>
  </si>
  <si>
    <t>202,5</t>
  </si>
  <si>
    <t>136,4220</t>
  </si>
  <si>
    <t>126,2576</t>
  </si>
  <si>
    <t>114,4553</t>
  </si>
  <si>
    <t>Open (29.10.1984)/31</t>
  </si>
  <si>
    <t>Teen 13-15 (30.11.2000)/14</t>
  </si>
  <si>
    <t>55,40</t>
  </si>
  <si>
    <t>Тузиков Кирил</t>
  </si>
  <si>
    <t>Teen 16-17 (16.10.1999)/16</t>
  </si>
  <si>
    <t>53,80</t>
  </si>
  <si>
    <t>Пасынков Евгений</t>
  </si>
  <si>
    <t>Teen 16-17 (02.03.1998)/17</t>
  </si>
  <si>
    <t>66,60</t>
  </si>
  <si>
    <t>Teen 16-17 (26.04.1998)/17</t>
  </si>
  <si>
    <t>63,80</t>
  </si>
  <si>
    <t>Teen 16-17 (07.08.1998)/17</t>
  </si>
  <si>
    <t>64,10</t>
  </si>
  <si>
    <t>Teen 16-17 (03.06.1998)/17</t>
  </si>
  <si>
    <t>66,70</t>
  </si>
  <si>
    <t>Голосов Кирил</t>
  </si>
  <si>
    <t>Teen 13-15 (14.01.2000)/15</t>
  </si>
  <si>
    <t>73,30</t>
  </si>
  <si>
    <t>Teen 16-17 (30.01.1999)/16</t>
  </si>
  <si>
    <t>74,00</t>
  </si>
  <si>
    <t>Пешев Дмитрий</t>
  </si>
  <si>
    <t>Teen 18-19 (02.09.1997)/18</t>
  </si>
  <si>
    <t>70,00</t>
  </si>
  <si>
    <t>Хабибуллин Сергей</t>
  </si>
  <si>
    <t>Open (22.11.1984)/30</t>
  </si>
  <si>
    <t>74,50</t>
  </si>
  <si>
    <t>Воронин Антон</t>
  </si>
  <si>
    <t>Open (28.08.1984)/31</t>
  </si>
  <si>
    <t>72,60</t>
  </si>
  <si>
    <t>Open (06.10.1987)/28</t>
  </si>
  <si>
    <t>Смирнов Никита</t>
  </si>
  <si>
    <t>Teen 18-19 (03.06.1996)/19</t>
  </si>
  <si>
    <t>79,10</t>
  </si>
  <si>
    <t>Головачук Семён</t>
  </si>
  <si>
    <t>Juniors 20-23 (07.11.1991)/23</t>
  </si>
  <si>
    <t>Juniors 20-23 (16.09.1995)/20</t>
  </si>
  <si>
    <t>Open (07.11.1991)/23</t>
  </si>
  <si>
    <t>Open (30.09.1990)/25</t>
  </si>
  <si>
    <t>Open (08.12.1986)/28</t>
  </si>
  <si>
    <t>81,20</t>
  </si>
  <si>
    <t>Open (04.09.1990)/25</t>
  </si>
  <si>
    <t xml:space="preserve">Барнаул/Алтайский край </t>
  </si>
  <si>
    <t>Masters 40-44 (15.07.1971)/44</t>
  </si>
  <si>
    <t>Сиргиенко Алексей</t>
  </si>
  <si>
    <t>Juniors 20-23 (25.05.1993)/22</t>
  </si>
  <si>
    <t>Open (19.08.1983)/32</t>
  </si>
  <si>
    <t>Open (11.05.1988)/27</t>
  </si>
  <si>
    <t>86,50</t>
  </si>
  <si>
    <t>Open (30.10.1991)/24</t>
  </si>
  <si>
    <t>84,00</t>
  </si>
  <si>
    <t>Open (04.09.1983)/32</t>
  </si>
  <si>
    <t>87,70</t>
  </si>
  <si>
    <t>Open (11.10.1985)/30</t>
  </si>
  <si>
    <t>89,10</t>
  </si>
  <si>
    <t>Open (07.09.1991)/24</t>
  </si>
  <si>
    <t>88,30</t>
  </si>
  <si>
    <t xml:space="preserve">Александр Щелков </t>
  </si>
  <si>
    <t>Masters 45-49 (19.08.1967)/48</t>
  </si>
  <si>
    <t>82,80</t>
  </si>
  <si>
    <t>Ковальчук Виталий</t>
  </si>
  <si>
    <t>Juniors 20-23 (15.11.1994)/20</t>
  </si>
  <si>
    <t>98,90</t>
  </si>
  <si>
    <t>Open (25.04.1984)/31</t>
  </si>
  <si>
    <t>100,00</t>
  </si>
  <si>
    <t>Masters 40-44 (08.06.1974)/41</t>
  </si>
  <si>
    <t>103,00</t>
  </si>
  <si>
    <t>90,8460</t>
  </si>
  <si>
    <t>92,8060</t>
  </si>
  <si>
    <t>76,2562</t>
  </si>
  <si>
    <t>103,9600</t>
  </si>
  <si>
    <t>90,5277</t>
  </si>
  <si>
    <t>82,8562</t>
  </si>
  <si>
    <t>103,7925</t>
  </si>
  <si>
    <t>96,7821</t>
  </si>
  <si>
    <t>Шматков Виктор</t>
  </si>
  <si>
    <t>Open (05.11.1982)/32</t>
  </si>
  <si>
    <t>79,70</t>
  </si>
  <si>
    <t>Кокорин Иван</t>
  </si>
  <si>
    <t>Open (15.10.1979)/36</t>
  </si>
  <si>
    <t>Диваков Денис</t>
  </si>
  <si>
    <t>Juniors 20-23 (01.11.1992)/22</t>
  </si>
  <si>
    <t>123,50</t>
  </si>
  <si>
    <t>Open (01.11.1992)/22</t>
  </si>
  <si>
    <t>175,1040</t>
  </si>
  <si>
    <t>116,2600</t>
  </si>
  <si>
    <t>102,2225</t>
  </si>
  <si>
    <t>Быховец Артем</t>
  </si>
  <si>
    <t>Open (19.07.1983)/32</t>
  </si>
  <si>
    <t>Лукьянов Артем</t>
  </si>
  <si>
    <t>Open (02.04.1983)/32</t>
  </si>
  <si>
    <t>90,00</t>
  </si>
  <si>
    <t>Open (16.04.1980)/35</t>
  </si>
  <si>
    <t>86,30</t>
  </si>
  <si>
    <t xml:space="preserve">Мухин Руслан </t>
  </si>
  <si>
    <t>Open (08.07.1979)/36</t>
  </si>
  <si>
    <t>Teen 16-17 (21.03.1998)/17</t>
  </si>
  <si>
    <t>65,60</t>
  </si>
  <si>
    <t>Juniors 20-23 (24.07.1994)/21</t>
  </si>
  <si>
    <t>121,00</t>
  </si>
  <si>
    <t>47,40</t>
  </si>
  <si>
    <t>Ельчина Галина</t>
  </si>
  <si>
    <t>Masters 45-49 (08.06.1968)/47</t>
  </si>
  <si>
    <t>51,40</t>
  </si>
  <si>
    <t>Приходько Мария</t>
  </si>
  <si>
    <t>Juniors 20-23 (14.09.1992)/23</t>
  </si>
  <si>
    <t>57,20</t>
  </si>
  <si>
    <t>Меркулова Ксения</t>
  </si>
  <si>
    <t>Open (18.09.1985)/30</t>
  </si>
  <si>
    <t>62,70</t>
  </si>
  <si>
    <t>Чир Алексей</t>
  </si>
  <si>
    <t>Open (30.06.1987)/28</t>
  </si>
  <si>
    <t>59,80</t>
  </si>
  <si>
    <t>Ковалёв Максим</t>
  </si>
  <si>
    <t>Open (28.01.1987)/28</t>
  </si>
  <si>
    <t>60,00</t>
  </si>
  <si>
    <t>Тимченко Григорий</t>
  </si>
  <si>
    <t>Open (29.10.1989)/26</t>
  </si>
  <si>
    <t>Величенко Максим</t>
  </si>
  <si>
    <t>Open (14.08.1985)/30</t>
  </si>
  <si>
    <t>Ефанов Николай</t>
  </si>
  <si>
    <t>Masters 55-59 (29.10.1958)/57</t>
  </si>
  <si>
    <t>82,30</t>
  </si>
  <si>
    <t>Литвиненко Сергей</t>
  </si>
  <si>
    <t>Open (21.12.1979)/35</t>
  </si>
  <si>
    <t>95,30</t>
  </si>
  <si>
    <t>145,0980</t>
  </si>
  <si>
    <t>133,9200</t>
  </si>
  <si>
    <t>129,2525</t>
  </si>
  <si>
    <t>150,3990</t>
  </si>
  <si>
    <t>135,3381</t>
  </si>
  <si>
    <t>133,0855</t>
  </si>
  <si>
    <t>Open (29.08.1991)/24</t>
  </si>
  <si>
    <t>87,00</t>
  </si>
  <si>
    <t>Результат</t>
  </si>
  <si>
    <t>Место</t>
  </si>
  <si>
    <t>1</t>
  </si>
  <si>
    <t>2</t>
  </si>
  <si>
    <t>3</t>
  </si>
  <si>
    <t>Юноши 13 - 19</t>
  </si>
  <si>
    <t>Юноши</t>
  </si>
  <si>
    <t>Юниоры</t>
  </si>
  <si>
    <t>Всероссийский мастерский турнир "Сильная Сибирь" GPA/IPO                                                                                                      Пауэрлифтинг в однослойной экипировке
31 октября 2015 г.</t>
  </si>
  <si>
    <t xml:space="preserve">Бокарев Алексей </t>
  </si>
  <si>
    <t xml:space="preserve">Шелепов Алексанр </t>
  </si>
  <si>
    <t xml:space="preserve">Малашкин Василий </t>
  </si>
  <si>
    <t>Собств. вес</t>
  </si>
  <si>
    <t>Город/область</t>
  </si>
  <si>
    <t>Всероссийский мастерский турнир "Сильная Сибирь" GPA/IPO                                                                                                      Пауэрлифтинг без экипировки
31 октября 2015 г.</t>
  </si>
  <si>
    <t xml:space="preserve">Лапин Артём </t>
  </si>
  <si>
    <t xml:space="preserve">Фоменко Игорь </t>
  </si>
  <si>
    <t xml:space="preserve">Бирюков Антон </t>
  </si>
  <si>
    <t xml:space="preserve">Князев Денис </t>
  </si>
  <si>
    <t xml:space="preserve">Клемешов Александр </t>
  </si>
  <si>
    <t xml:space="preserve">Семакин Сергей </t>
  </si>
  <si>
    <t xml:space="preserve">Танакова Екатерина </t>
  </si>
  <si>
    <t>Всероссийский мастерский турнир "Сильная Сибирь" GPA/IPO                                                                                                                  Пауэрлифтинг без экипировки ДК
31 октября 2015 г.</t>
  </si>
  <si>
    <t>Город/ область</t>
  </si>
  <si>
    <t xml:space="preserve">Сукачёв Алексей </t>
  </si>
  <si>
    <t xml:space="preserve">Суслав Михаил </t>
  </si>
  <si>
    <t xml:space="preserve">Жуков Юрий </t>
  </si>
  <si>
    <t xml:space="preserve">Колбин Андрей </t>
  </si>
  <si>
    <t xml:space="preserve">Казарин Дмитрий </t>
  </si>
  <si>
    <t xml:space="preserve">Близнюк Владислав </t>
  </si>
  <si>
    <t xml:space="preserve">Колпаков Леонид </t>
  </si>
  <si>
    <t xml:space="preserve">Дрожанов Александр </t>
  </si>
  <si>
    <t xml:space="preserve">Платошин Алексей </t>
  </si>
  <si>
    <t xml:space="preserve">Чумаков Александр </t>
  </si>
  <si>
    <t xml:space="preserve">Вебер Алексей </t>
  </si>
  <si>
    <t xml:space="preserve">Менщиков Алексей </t>
  </si>
  <si>
    <t xml:space="preserve">Прокопов Роман  </t>
  </si>
  <si>
    <t xml:space="preserve">Кюббар Александр </t>
  </si>
  <si>
    <t xml:space="preserve">Жуков Максим </t>
  </si>
  <si>
    <t xml:space="preserve">Толоконников Николай </t>
  </si>
  <si>
    <t>Мужчины</t>
  </si>
  <si>
    <t>Венгерово/ Новосибирская область</t>
  </si>
  <si>
    <t>4</t>
  </si>
  <si>
    <t xml:space="preserve">Венгерово/Новосибирская область </t>
  </si>
  <si>
    <t>Баган/Новосибирская область</t>
  </si>
  <si>
    <t xml:space="preserve">Кем Дмитрий </t>
  </si>
  <si>
    <t xml:space="preserve">Овчаров Дмитрий  </t>
  </si>
  <si>
    <t>Якубов Павел</t>
  </si>
  <si>
    <t>Самостоятельно</t>
  </si>
  <si>
    <t xml:space="preserve">Сайденцаль Олег </t>
  </si>
  <si>
    <t>Всероссийский мастерский турнир "Сильная Сибирь" GPA/IPO                                                                                                      Пауэрлифтинг в бинтах
31 октября 2015 г.</t>
  </si>
  <si>
    <t xml:space="preserve">Насонова Ольга </t>
  </si>
  <si>
    <t xml:space="preserve">Ануфриев Александр </t>
  </si>
  <si>
    <t>Всероссийский мастерский турнир "Сильная Сибирь" GPA/IPO                                                                                                      Пауэрлифтинг в бинтах ДК
31 октября 2015 г.</t>
  </si>
  <si>
    <t xml:space="preserve">Козлова  Марина </t>
  </si>
  <si>
    <t xml:space="preserve">Глебов Евгений </t>
  </si>
  <si>
    <t>Всероссийский мастерский турнир "Сильная Сибирь" GPA/IPO                                                                                                      Пауэрлифтинг в однослойной экипировке ДК
31 октября 2015 г.</t>
  </si>
  <si>
    <t xml:space="preserve">Чистик Евгения </t>
  </si>
  <si>
    <t xml:space="preserve">Томасик Андрей </t>
  </si>
  <si>
    <t>Новосибирск/Новосибирская область</t>
  </si>
  <si>
    <t>Всероссийский мастерский турнир "Сильная Сибирь" GPA/IPO                                                                                Жим без экипировки
31 октября 2015 г.</t>
  </si>
  <si>
    <t xml:space="preserve">Комаров Дмитрий </t>
  </si>
  <si>
    <t xml:space="preserve">Клоповский Андрей </t>
  </si>
  <si>
    <t xml:space="preserve">Беловал Евгений  </t>
  </si>
  <si>
    <t xml:space="preserve">Сагайдак Максим </t>
  </si>
  <si>
    <t xml:space="preserve">Поспелов Валентин </t>
  </si>
  <si>
    <t xml:space="preserve">Панин Денис </t>
  </si>
  <si>
    <t xml:space="preserve">Косолапов Антон  </t>
  </si>
  <si>
    <t xml:space="preserve">Феофанов Александр </t>
  </si>
  <si>
    <t xml:space="preserve">Шадров Евгений </t>
  </si>
  <si>
    <t xml:space="preserve">Бибиков Виталий </t>
  </si>
  <si>
    <t xml:space="preserve">Каплун Иван </t>
  </si>
  <si>
    <t xml:space="preserve">Сынков Василий </t>
  </si>
  <si>
    <t xml:space="preserve">Кочубей Роман </t>
  </si>
  <si>
    <t>Сынков Сергей</t>
  </si>
  <si>
    <t>Всероссийский мастерский турнир "Сильная Сибирь" GPA/IPO                                                                                            Жим без экипировки ДК
31 октября 2015 г.</t>
  </si>
  <si>
    <t xml:space="preserve">Галл-Савальская Ксения  </t>
  </si>
  <si>
    <t xml:space="preserve">Вишняк Анна  </t>
  </si>
  <si>
    <t xml:space="preserve">Коптякова Татьяна </t>
  </si>
  <si>
    <t xml:space="preserve">Мурзов Алексей </t>
  </si>
  <si>
    <t xml:space="preserve">Пасынков Евгений </t>
  </si>
  <si>
    <t xml:space="preserve">Аникеев Андрей </t>
  </si>
  <si>
    <t xml:space="preserve">Фирсов Михаил </t>
  </si>
  <si>
    <t xml:space="preserve">Боровицкий Илья </t>
  </si>
  <si>
    <t>Аристархов Никита</t>
  </si>
  <si>
    <t xml:space="preserve">Пешев Дмитрий </t>
  </si>
  <si>
    <t xml:space="preserve">Хабибуллин Сергей </t>
  </si>
  <si>
    <t xml:space="preserve">Воронин Антон  </t>
  </si>
  <si>
    <t xml:space="preserve">Елпашев Павел </t>
  </si>
  <si>
    <t xml:space="preserve">Смирнов Никита  </t>
  </si>
  <si>
    <t xml:space="preserve">Головачук Семён </t>
  </si>
  <si>
    <t xml:space="preserve">Мацура Федор  </t>
  </si>
  <si>
    <t xml:space="preserve">Лобанов Вячеслав </t>
  </si>
  <si>
    <t xml:space="preserve">Вебер Алексей  </t>
  </si>
  <si>
    <t xml:space="preserve">Дивищенко Евгений </t>
  </si>
  <si>
    <t xml:space="preserve">Шохтин Илья </t>
  </si>
  <si>
    <t xml:space="preserve">Верхоглядов Ян  </t>
  </si>
  <si>
    <t xml:space="preserve">Александров Леонид </t>
  </si>
  <si>
    <t xml:space="preserve">Сиргиенко Алексей </t>
  </si>
  <si>
    <t xml:space="preserve">Бекмансуров Станислав  </t>
  </si>
  <si>
    <t xml:space="preserve">Жесткий Павел </t>
  </si>
  <si>
    <t xml:space="preserve">Шерин Дмитрий </t>
  </si>
  <si>
    <t xml:space="preserve">Мартыненко Пётр </t>
  </si>
  <si>
    <t xml:space="preserve">Щербинин Кирилл </t>
  </si>
  <si>
    <t xml:space="preserve">Бобров Юрий </t>
  </si>
  <si>
    <t xml:space="preserve">Концевой Олег </t>
  </si>
  <si>
    <t xml:space="preserve">Ковальчук Виталий </t>
  </si>
  <si>
    <t xml:space="preserve">Таранов Юрий </t>
  </si>
  <si>
    <t xml:space="preserve">Грязнов Александр </t>
  </si>
  <si>
    <t xml:space="preserve">   </t>
  </si>
  <si>
    <t xml:space="preserve">Шатырин Евгений </t>
  </si>
  <si>
    <t>Всероссийский мастерский турнир "Сильная Сибирь" GPA/IPO                                                                                Жим однослойная экипировка
31 октября 2015 г.</t>
  </si>
  <si>
    <t xml:space="preserve">Кокорин Иван </t>
  </si>
  <si>
    <t>Всероссийский мастерский турнир "Сильная Сибирь" GPA/IPO                                                                                Жим однослойная экипировка ДК
31 октября 2015 г.</t>
  </si>
  <si>
    <t xml:space="preserve">Чистик Евгения  </t>
  </si>
  <si>
    <t xml:space="preserve">Черепанов Андрей </t>
  </si>
  <si>
    <t>Всероссийский мастерский турнир "Сильная Сибирь" GPA/IPO                                                                                Жим многослойная экипировка ДК
31 октября 2015 г.</t>
  </si>
  <si>
    <t>Всероссийский мастерский турнир "Сильная Сибирь" GPA/IPO                                                                                Становая тяга без экипировки
31 октября 2015 г.</t>
  </si>
  <si>
    <t xml:space="preserve">Дмитрий Репин </t>
  </si>
  <si>
    <t xml:space="preserve">Чулков Виталий </t>
  </si>
  <si>
    <t>Всероссийский мастерский турнир "Сильная Сибирь" GPA/IPO                                                                                Становая тяга без экипировки ДК
31 октября 2015 г.</t>
  </si>
  <si>
    <t xml:space="preserve">Родикова Ульяна </t>
  </si>
  <si>
    <t>Всероссийский мастерский турнир "Сильная Сибирь" GPA/IPO                                                                                Присед без экипировки
31 октября 2015 г.</t>
  </si>
  <si>
    <t>Всероссийский мастерский турнир "Сильная Сибирь" GPA/IPO                                                                                Присед в бинтах
31 октября 2015 г.</t>
  </si>
  <si>
    <t>Весовая категория                     Дата рождения/возраст</t>
  </si>
  <si>
    <t>Всероссийский мастерский турнир "Сильная Сибирь" GPA/IPO                                                                                Присед в бинтах ДК
31 октября 2015 г.</t>
  </si>
  <si>
    <t>Всероссийский мастерский турнир "Сильная Сибирь" Народный жим (1/2 вес)</t>
  </si>
  <si>
    <t>31 октября 2015 г.</t>
  </si>
  <si>
    <t>Тоннаж</t>
  </si>
  <si>
    <t>Вес</t>
  </si>
  <si>
    <t>Повторы</t>
  </si>
  <si>
    <t>Медведева Юлия</t>
  </si>
  <si>
    <t>Teen 13-19 (27.02.2002)/13</t>
  </si>
  <si>
    <t>49,40</t>
  </si>
  <si>
    <t>1,1531</t>
  </si>
  <si>
    <t xml:space="preserve"> -    </t>
  </si>
  <si>
    <t>0,0000</t>
  </si>
  <si>
    <t>Всероссийский мастерский турнир "Сильная Сибирь" Народный жим</t>
  </si>
  <si>
    <t>Teen 13-19 (26.11.2001)/13</t>
  </si>
  <si>
    <t>0,8942</t>
  </si>
  <si>
    <t xml:space="preserve">19 </t>
  </si>
  <si>
    <t>976,9135</t>
  </si>
  <si>
    <t>Комаров Дмитрий</t>
  </si>
  <si>
    <t>Teen 13-19 (08.11.1996)/18</t>
  </si>
  <si>
    <t>0,6885</t>
  </si>
  <si>
    <t xml:space="preserve">33 </t>
  </si>
  <si>
    <t>1704,1612</t>
  </si>
  <si>
    <t>Сорокин Юрий</t>
  </si>
  <si>
    <t>Teen 13-19 (30.07.1998)/17</t>
  </si>
  <si>
    <t>0,6629</t>
  </si>
  <si>
    <t xml:space="preserve">Город Междуреченск </t>
  </si>
  <si>
    <t xml:space="preserve">11 </t>
  </si>
  <si>
    <t>583,3520</t>
  </si>
  <si>
    <t xml:space="preserve">Галкин Николай </t>
  </si>
  <si>
    <t>Мечев Андрей</t>
  </si>
  <si>
    <t>Open (16.10.1984)/31</t>
  </si>
  <si>
    <t>0,6513</t>
  </si>
  <si>
    <t xml:space="preserve">38 </t>
  </si>
  <si>
    <t>2041,8255</t>
  </si>
  <si>
    <t>Калгин Александр</t>
  </si>
  <si>
    <t>Open (03.08.1986)/29</t>
  </si>
  <si>
    <t>76,00</t>
  </si>
  <si>
    <t>0,6819</t>
  </si>
  <si>
    <t xml:space="preserve">Улан - Удэ/Бурятия </t>
  </si>
  <si>
    <t xml:space="preserve">37 </t>
  </si>
  <si>
    <t>1955,3483</t>
  </si>
  <si>
    <t>Князев Алексей</t>
  </si>
  <si>
    <t>Open (12.04.1987)/28</t>
  </si>
  <si>
    <t>79,20</t>
  </si>
  <si>
    <t>0,6623</t>
  </si>
  <si>
    <t xml:space="preserve">27 </t>
  </si>
  <si>
    <t>1430,6760</t>
  </si>
  <si>
    <t xml:space="preserve">Белокопытов Владимир </t>
  </si>
  <si>
    <t>0,6326</t>
  </si>
  <si>
    <t>32</t>
  </si>
  <si>
    <t>1720,6720</t>
  </si>
  <si>
    <t>Овчаров Дмитрий</t>
  </si>
  <si>
    <t>Open (04.06.1989)/26</t>
  </si>
  <si>
    <t>89,80</t>
  </si>
  <si>
    <t>0,6126</t>
  </si>
  <si>
    <t xml:space="preserve">32 </t>
  </si>
  <si>
    <t>1764,2881</t>
  </si>
  <si>
    <t>Masters 40-49 (13.10.1972)/43</t>
  </si>
  <si>
    <t>Караганда/Карагандинская область</t>
  </si>
  <si>
    <t>1774,0129</t>
  </si>
  <si>
    <t>Котухов Евгений</t>
  </si>
  <si>
    <t>Open (24.09.1989)/26</t>
  </si>
  <si>
    <t>91,40</t>
  </si>
  <si>
    <t>0,6068</t>
  </si>
  <si>
    <t xml:space="preserve">31 </t>
  </si>
  <si>
    <t>1739,9991</t>
  </si>
  <si>
    <t>90,60</t>
  </si>
  <si>
    <t>0,6097</t>
  </si>
  <si>
    <t>Болдин Сергей</t>
  </si>
  <si>
    <t>Masters 40-49 (31.05.1971)/44</t>
  </si>
  <si>
    <t>90,80</t>
  </si>
  <si>
    <t>0,6090</t>
  </si>
  <si>
    <t>24</t>
  </si>
  <si>
    <t>1409,9994</t>
  </si>
  <si>
    <t>0,5674</t>
  </si>
  <si>
    <t>34</t>
  </si>
  <si>
    <t>2074,0297</t>
  </si>
  <si>
    <t>Пивоваров Артем</t>
  </si>
  <si>
    <t>Open (06.11.1983)/31</t>
  </si>
  <si>
    <t>110,00</t>
  </si>
  <si>
    <t>0,5625</t>
  </si>
  <si>
    <t>19</t>
  </si>
  <si>
    <t>1175,6250</t>
  </si>
  <si>
    <t>Епихин Антон</t>
  </si>
  <si>
    <t>Open (11.10.1988)/27</t>
  </si>
  <si>
    <t>111,00</t>
  </si>
  <si>
    <t>0,5611</t>
  </si>
  <si>
    <t>25</t>
  </si>
  <si>
    <t>1578,0938</t>
  </si>
  <si>
    <t xml:space="preserve">Юноши 13 - 19 </t>
  </si>
  <si>
    <t>2475,0</t>
  </si>
  <si>
    <t>1092,5</t>
  </si>
  <si>
    <t xml:space="preserve">82,5 </t>
  </si>
  <si>
    <t>880,0</t>
  </si>
  <si>
    <t>3655,0</t>
  </si>
  <si>
    <t>3135,0</t>
  </si>
  <si>
    <t>2867,5</t>
  </si>
  <si>
    <t>2880,0</t>
  </si>
  <si>
    <t>2720,0</t>
  </si>
  <si>
    <t>2812,5</t>
  </si>
  <si>
    <t>2160,0</t>
  </si>
  <si>
    <t>2090,0</t>
  </si>
  <si>
    <t xml:space="preserve">Барабинск/Новосибирская область </t>
  </si>
  <si>
    <t>Всероссийский мастерский турнир "Сильная Сибирь" Народный жим (1/2 вес) ДК</t>
  </si>
  <si>
    <t>Повторения</t>
  </si>
  <si>
    <t>Литвиненко Валентина</t>
  </si>
  <si>
    <t>Open (02.08.1981)/34</t>
  </si>
  <si>
    <t>1,1790</t>
  </si>
  <si>
    <t>25,0</t>
  </si>
  <si>
    <t xml:space="preserve">15 </t>
  </si>
  <si>
    <t>442,1250</t>
  </si>
  <si>
    <t>Masters 40-49 (08.06.1968)/47</t>
  </si>
  <si>
    <t>1,1178</t>
  </si>
  <si>
    <t>27,5</t>
  </si>
  <si>
    <t xml:space="preserve">25 </t>
  </si>
  <si>
    <t>831,5035</t>
  </si>
  <si>
    <t>54,20</t>
  </si>
  <si>
    <t>1,0716</t>
  </si>
  <si>
    <t xml:space="preserve">65 </t>
  </si>
  <si>
    <t>1915,4849</t>
  </si>
  <si>
    <t>Филипович Филипп</t>
  </si>
  <si>
    <t>Teen 13-19 (02.06.2007)/8</t>
  </si>
  <si>
    <t>30,00</t>
  </si>
  <si>
    <t>1,3243</t>
  </si>
  <si>
    <t>15,0</t>
  </si>
  <si>
    <t xml:space="preserve">77 </t>
  </si>
  <si>
    <t>1529,6242</t>
  </si>
  <si>
    <t>Всероссийский мастерский турнир "Сильная Сибирь" Народный жим ДК</t>
  </si>
  <si>
    <t>Ковалев Максим</t>
  </si>
  <si>
    <t>Open (29.10.1987)/28</t>
  </si>
  <si>
    <t>0,8328</t>
  </si>
  <si>
    <t>549,6810</t>
  </si>
  <si>
    <t>0,7005</t>
  </si>
  <si>
    <t xml:space="preserve">28 </t>
  </si>
  <si>
    <t>1470,9450</t>
  </si>
  <si>
    <t>Баев Константин</t>
  </si>
  <si>
    <t>Open (25.12.1985)/29</t>
  </si>
  <si>
    <t>0,6983</t>
  </si>
  <si>
    <t xml:space="preserve">10 </t>
  </si>
  <si>
    <t>523,7250</t>
  </si>
  <si>
    <t>0,6471</t>
  </si>
  <si>
    <t xml:space="preserve">41 </t>
  </si>
  <si>
    <t>2188,9848</t>
  </si>
  <si>
    <t>Александров Леонид</t>
  </si>
  <si>
    <t>Masters 40-49 (15.07.1971)/44</t>
  </si>
  <si>
    <t>0,6583</t>
  </si>
  <si>
    <t>2087,4435</t>
  </si>
  <si>
    <t>Masters 50-59 (29.10.1958)/57</t>
  </si>
  <si>
    <t>0,6456</t>
  </si>
  <si>
    <t>Шерин Дмитрий</t>
  </si>
  <si>
    <t>0,6373</t>
  </si>
  <si>
    <t>1354,1563</t>
  </si>
  <si>
    <t>Феофанов Александр</t>
  </si>
  <si>
    <t>Masters 40-49 (01.07.1972)/43</t>
  </si>
  <si>
    <t>0,5859</t>
  </si>
  <si>
    <t xml:space="preserve">24 </t>
  </si>
  <si>
    <t>1449,6272</t>
  </si>
  <si>
    <t>3382,5</t>
  </si>
  <si>
    <t>2100,0</t>
  </si>
  <si>
    <t>2125,0</t>
  </si>
  <si>
    <t>750,0</t>
  </si>
  <si>
    <t>Овчаренко Олег</t>
  </si>
  <si>
    <t>0,6497</t>
  </si>
  <si>
    <t>75</t>
  </si>
  <si>
    <t>0,6133</t>
  </si>
  <si>
    <t>202,405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</si>
</sst>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_-* #,##0.0_р_._-;\-* #,##0.0_р_._-;_-* &quot;-&quot;??_р_._-;_-@_-"/>
  </numFmts>
  <fonts count="5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21"/>
      <name val="Arial Cyr"/>
      <family val="0"/>
    </font>
    <font>
      <b/>
      <strike/>
      <sz val="10"/>
      <color indexed="21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00B050"/>
      <name val="Arial Cyr"/>
      <family val="0"/>
    </font>
    <font>
      <b/>
      <strike/>
      <sz val="10"/>
      <color rgb="FF00B05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2" fillId="0" borderId="13" xfId="0" applyNumberFormat="1" applyFont="1" applyBorder="1" applyAlignment="1">
      <alignment horizontal="center"/>
    </xf>
    <xf numFmtId="49" fontId="53" fillId="0" borderId="13" xfId="0" applyNumberFormat="1" applyFont="1" applyBorder="1" applyAlignment="1">
      <alignment horizontal="center"/>
    </xf>
    <xf numFmtId="49" fontId="5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4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/>
    </xf>
    <xf numFmtId="49" fontId="52" fillId="0" borderId="13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6" fontId="2" fillId="0" borderId="13" xfId="58" applyNumberFormat="1" applyFont="1" applyFill="1" applyBorder="1" applyAlignment="1">
      <alignment horizontal="center"/>
    </xf>
    <xf numFmtId="49" fontId="54" fillId="0" borderId="13" xfId="0" applyNumberFormat="1" applyFont="1" applyBorder="1" applyAlignment="1">
      <alignment horizontal="center"/>
    </xf>
    <xf numFmtId="176" fontId="2" fillId="0" borderId="13" xfId="58" applyNumberFormat="1" applyFont="1" applyBorder="1" applyAlignment="1">
      <alignment horizontal="center"/>
    </xf>
    <xf numFmtId="171" fontId="2" fillId="0" borderId="13" xfId="58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49" fontId="0" fillId="0" borderId="16" xfId="0" applyNumberFormat="1" applyBorder="1" applyAlignment="1">
      <alignment/>
    </xf>
    <xf numFmtId="49" fontId="11" fillId="0" borderId="16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11" fillId="0" borderId="19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center"/>
    </xf>
    <xf numFmtId="176" fontId="2" fillId="0" borderId="16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176" fontId="2" fillId="0" borderId="19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8">
      <selection activeCell="B24" sqref="B24:M24"/>
    </sheetView>
  </sheetViews>
  <sheetFormatPr defaultColWidth="8.75390625" defaultRowHeight="12.75"/>
  <cols>
    <col min="1" max="1" width="8.625" style="27" bestFit="1" customWidth="1"/>
    <col min="2" max="2" width="21.25390625" style="15" customWidth="1"/>
    <col min="3" max="3" width="25.375" style="15" customWidth="1"/>
    <col min="4" max="4" width="10.625" style="15" bestFit="1" customWidth="1"/>
    <col min="5" max="5" width="11.625" style="15" customWidth="1"/>
    <col min="6" max="6" width="20.00390625" style="15" customWidth="1"/>
    <col min="7" max="7" width="31.125" style="15" customWidth="1"/>
    <col min="8" max="10" width="5.625" style="27" bestFit="1" customWidth="1"/>
    <col min="11" max="11" width="5.125" style="27" bestFit="1" customWidth="1"/>
    <col min="12" max="12" width="11.625" style="27" customWidth="1"/>
    <col min="13" max="13" width="8.625" style="27" bestFit="1" customWidth="1"/>
    <col min="14" max="14" width="18.125" style="15" customWidth="1"/>
  </cols>
  <sheetData>
    <row r="1" spans="2:14" s="1" customFormat="1" ht="15" customHeight="1">
      <c r="B1" s="89" t="s">
        <v>649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2:14" s="1" customFormat="1" ht="78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4" customFormat="1" ht="12.75" customHeight="1">
      <c r="A3" s="99" t="s">
        <v>530</v>
      </c>
      <c r="B3" s="95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5</v>
      </c>
      <c r="I3" s="99"/>
      <c r="J3" s="99"/>
      <c r="K3" s="103"/>
      <c r="L3" s="100" t="s">
        <v>529</v>
      </c>
      <c r="M3" s="99" t="s">
        <v>8</v>
      </c>
      <c r="N3" s="103" t="s">
        <v>9</v>
      </c>
    </row>
    <row r="4" spans="1:14" s="4" customFormat="1" ht="23.25" customHeight="1" thickBot="1">
      <c r="A4" s="98"/>
      <c r="B4" s="96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101"/>
      <c r="M4" s="98"/>
      <c r="N4" s="104"/>
    </row>
    <row r="5" spans="1:13" ht="15.75">
      <c r="A5"/>
      <c r="B5" s="107" t="s">
        <v>121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25" t="s">
        <v>531</v>
      </c>
      <c r="B6" s="16" t="s">
        <v>650</v>
      </c>
      <c r="C6" s="16" t="s">
        <v>141</v>
      </c>
      <c r="D6" s="16" t="s">
        <v>495</v>
      </c>
      <c r="E6" s="16" t="str">
        <f>"1,1904"</f>
        <v>1,1904</v>
      </c>
      <c r="F6" s="16" t="s">
        <v>14</v>
      </c>
      <c r="G6" s="16" t="s">
        <v>143</v>
      </c>
      <c r="H6" s="29" t="s">
        <v>32</v>
      </c>
      <c r="I6" s="26"/>
      <c r="J6" s="26"/>
      <c r="K6" s="26"/>
      <c r="L6" s="52">
        <v>112.5</v>
      </c>
      <c r="M6" s="25" t="str">
        <f>"133,9200"</f>
        <v>133,9200</v>
      </c>
      <c r="N6" s="16" t="s">
        <v>574</v>
      </c>
    </row>
    <row r="8" spans="1:13" ht="15.75">
      <c r="A8"/>
      <c r="B8" s="88" t="s">
        <v>148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4" ht="12.75">
      <c r="A9" s="25" t="s">
        <v>531</v>
      </c>
      <c r="B9" s="16" t="s">
        <v>161</v>
      </c>
      <c r="C9" s="16" t="s">
        <v>162</v>
      </c>
      <c r="D9" s="16" t="s">
        <v>163</v>
      </c>
      <c r="E9" s="16" t="str">
        <f>"1,1076"</f>
        <v>1,1076</v>
      </c>
      <c r="F9" s="16" t="s">
        <v>164</v>
      </c>
      <c r="G9" s="16" t="s">
        <v>28</v>
      </c>
      <c r="H9" s="29" t="s">
        <v>16</v>
      </c>
      <c r="I9" s="29" t="s">
        <v>17</v>
      </c>
      <c r="J9" s="29" t="s">
        <v>131</v>
      </c>
      <c r="K9" s="26"/>
      <c r="L9" s="52">
        <v>100</v>
      </c>
      <c r="M9" s="25" t="str">
        <f>"110,7600"</f>
        <v>110,7600</v>
      </c>
      <c r="N9" s="16" t="s">
        <v>168</v>
      </c>
    </row>
    <row r="10" spans="1:14" ht="12.75">
      <c r="A10" s="25" t="s">
        <v>531</v>
      </c>
      <c r="B10" s="16" t="s">
        <v>496</v>
      </c>
      <c r="C10" s="16" t="s">
        <v>497</v>
      </c>
      <c r="D10" s="16" t="s">
        <v>498</v>
      </c>
      <c r="E10" s="16" t="str">
        <f>"1,1178"</f>
        <v>1,1178</v>
      </c>
      <c r="F10" s="16" t="s">
        <v>164</v>
      </c>
      <c r="G10" s="16" t="s">
        <v>28</v>
      </c>
      <c r="H10" s="29" t="s">
        <v>16</v>
      </c>
      <c r="I10" s="29" t="s">
        <v>17</v>
      </c>
      <c r="J10" s="28" t="s">
        <v>138</v>
      </c>
      <c r="K10" s="26"/>
      <c r="L10" s="52">
        <v>90</v>
      </c>
      <c r="M10" s="25" t="str">
        <f>"108,8514"</f>
        <v>108,8514</v>
      </c>
      <c r="N10" s="16" t="s">
        <v>168</v>
      </c>
    </row>
    <row r="12" spans="1:13" ht="15.75">
      <c r="A12"/>
      <c r="B12" s="88" t="s">
        <v>169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4" ht="12.75">
      <c r="A13" s="25" t="s">
        <v>531</v>
      </c>
      <c r="B13" s="16" t="s">
        <v>170</v>
      </c>
      <c r="C13" s="16" t="s">
        <v>171</v>
      </c>
      <c r="D13" s="16" t="s">
        <v>172</v>
      </c>
      <c r="E13" s="16" t="str">
        <f>"1,0454"</f>
        <v>1,0454</v>
      </c>
      <c r="F13" s="16" t="s">
        <v>164</v>
      </c>
      <c r="G13" s="16" t="s">
        <v>28</v>
      </c>
      <c r="H13" s="29" t="s">
        <v>173</v>
      </c>
      <c r="I13" s="51"/>
      <c r="J13" s="26"/>
      <c r="K13" s="26"/>
      <c r="L13" s="52">
        <v>110</v>
      </c>
      <c r="M13" s="25" t="str">
        <f>"114,9940"</f>
        <v>114,9940</v>
      </c>
      <c r="N13" s="16" t="s">
        <v>223</v>
      </c>
    </row>
    <row r="14" spans="1:14" ht="12.75">
      <c r="A14" s="25" t="s">
        <v>531</v>
      </c>
      <c r="B14" s="16" t="s">
        <v>180</v>
      </c>
      <c r="C14" s="16" t="s">
        <v>181</v>
      </c>
      <c r="D14" s="16" t="s">
        <v>182</v>
      </c>
      <c r="E14" s="16" t="str">
        <f>"1,0748"</f>
        <v>1,0748</v>
      </c>
      <c r="F14" s="16" t="s">
        <v>164</v>
      </c>
      <c r="G14" s="16" t="s">
        <v>28</v>
      </c>
      <c r="H14" s="29" t="s">
        <v>63</v>
      </c>
      <c r="I14" s="29" t="s">
        <v>29</v>
      </c>
      <c r="J14" s="26"/>
      <c r="K14" s="26"/>
      <c r="L14" s="52">
        <v>135</v>
      </c>
      <c r="M14" s="25" t="str">
        <f>"145,0980"</f>
        <v>145,0980</v>
      </c>
      <c r="N14" s="16" t="s">
        <v>168</v>
      </c>
    </row>
    <row r="15" spans="1:14" ht="12.75">
      <c r="A15" s="25" t="s">
        <v>532</v>
      </c>
      <c r="B15" s="16" t="s">
        <v>183</v>
      </c>
      <c r="C15" s="16" t="s">
        <v>184</v>
      </c>
      <c r="D15" s="16" t="s">
        <v>185</v>
      </c>
      <c r="E15" s="16" t="str">
        <f>"1,0439"</f>
        <v>1,0439</v>
      </c>
      <c r="F15" s="16" t="s">
        <v>14</v>
      </c>
      <c r="G15" s="16" t="s">
        <v>28</v>
      </c>
      <c r="H15" s="29" t="s">
        <v>147</v>
      </c>
      <c r="I15" s="29" t="s">
        <v>154</v>
      </c>
      <c r="J15" s="28" t="s">
        <v>212</v>
      </c>
      <c r="K15" s="26"/>
      <c r="L15" s="52">
        <v>115</v>
      </c>
      <c r="M15" s="25" t="str">
        <f>"120,0485"</f>
        <v>120,0485</v>
      </c>
      <c r="N15" s="16" t="s">
        <v>576</v>
      </c>
    </row>
    <row r="17" spans="1:13" ht="15.75">
      <c r="A17"/>
      <c r="B17" s="88" t="s">
        <v>11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4" ht="12.75">
      <c r="A18" s="25" t="s">
        <v>531</v>
      </c>
      <c r="B18" s="16" t="s">
        <v>499</v>
      </c>
      <c r="C18" s="16" t="s">
        <v>500</v>
      </c>
      <c r="D18" s="16" t="s">
        <v>501</v>
      </c>
      <c r="E18" s="16" t="str">
        <f>"1,0263"</f>
        <v>1,0263</v>
      </c>
      <c r="F18" s="16" t="s">
        <v>164</v>
      </c>
      <c r="G18" s="16" t="s">
        <v>28</v>
      </c>
      <c r="H18" s="29" t="s">
        <v>125</v>
      </c>
      <c r="I18" s="29" t="s">
        <v>126</v>
      </c>
      <c r="J18" s="28" t="s">
        <v>16</v>
      </c>
      <c r="K18" s="26"/>
      <c r="L18" s="52">
        <v>72.5</v>
      </c>
      <c r="M18" s="25" t="str">
        <f>"74,4067"</f>
        <v>74,4067</v>
      </c>
      <c r="N18" s="16" t="s">
        <v>179</v>
      </c>
    </row>
    <row r="19" spans="1:14" ht="12.75">
      <c r="A19" s="25" t="s">
        <v>531</v>
      </c>
      <c r="B19" s="16" t="s">
        <v>186</v>
      </c>
      <c r="C19" s="16" t="s">
        <v>187</v>
      </c>
      <c r="D19" s="16" t="s">
        <v>188</v>
      </c>
      <c r="E19" s="16" t="str">
        <f>"0,9942"</f>
        <v>0,9942</v>
      </c>
      <c r="F19" s="16" t="s">
        <v>164</v>
      </c>
      <c r="G19" s="16" t="s">
        <v>28</v>
      </c>
      <c r="H19" s="29" t="s">
        <v>63</v>
      </c>
      <c r="I19" s="51"/>
      <c r="J19" s="26"/>
      <c r="K19" s="26"/>
      <c r="L19" s="52">
        <v>130</v>
      </c>
      <c r="M19" s="25" t="str">
        <f>"129,2525"</f>
        <v>129,2525</v>
      </c>
      <c r="N19" s="16" t="s">
        <v>168</v>
      </c>
    </row>
    <row r="21" spans="1:13" ht="15.75">
      <c r="A21"/>
      <c r="B21" s="88" t="s">
        <v>25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4" ht="12.75">
      <c r="A22" s="25" t="s">
        <v>531</v>
      </c>
      <c r="B22" s="16" t="s">
        <v>502</v>
      </c>
      <c r="C22" s="16" t="s">
        <v>503</v>
      </c>
      <c r="D22" s="16" t="s">
        <v>504</v>
      </c>
      <c r="E22" s="16" t="str">
        <f>"0,9535"</f>
        <v>0,9535</v>
      </c>
      <c r="F22" s="16" t="s">
        <v>164</v>
      </c>
      <c r="G22" s="16" t="s">
        <v>28</v>
      </c>
      <c r="H22" s="29" t="s">
        <v>192</v>
      </c>
      <c r="I22" s="29" t="s">
        <v>32</v>
      </c>
      <c r="J22" s="29" t="s">
        <v>34</v>
      </c>
      <c r="K22" s="26"/>
      <c r="L22" s="52">
        <v>120</v>
      </c>
      <c r="M22" s="25" t="str">
        <f>"114,4200"</f>
        <v>114,4200</v>
      </c>
      <c r="N22" s="16" t="s">
        <v>168</v>
      </c>
    </row>
    <row r="24" spans="1:13" ht="15.75">
      <c r="A24"/>
      <c r="B24" s="88" t="s">
        <v>11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4" ht="12.75">
      <c r="A25" s="25" t="s">
        <v>531</v>
      </c>
      <c r="B25" s="16" t="s">
        <v>505</v>
      </c>
      <c r="C25" s="16" t="s">
        <v>506</v>
      </c>
      <c r="D25" s="16" t="s">
        <v>507</v>
      </c>
      <c r="E25" s="16" t="str">
        <f>"0,8356"</f>
        <v>0,8356</v>
      </c>
      <c r="F25" s="16" t="s">
        <v>244</v>
      </c>
      <c r="G25" s="16" t="s">
        <v>28</v>
      </c>
      <c r="H25" s="29" t="s">
        <v>47</v>
      </c>
      <c r="I25" s="28" t="s">
        <v>98</v>
      </c>
      <c r="J25" s="28" t="s">
        <v>98</v>
      </c>
      <c r="K25" s="26"/>
      <c r="L25" s="52">
        <v>180</v>
      </c>
      <c r="M25" s="25" t="str">
        <f>"150,3990"</f>
        <v>150,3990</v>
      </c>
      <c r="N25" s="16" t="s">
        <v>139</v>
      </c>
    </row>
    <row r="26" spans="1:14" ht="12.75">
      <c r="A26" s="25" t="s">
        <v>531</v>
      </c>
      <c r="B26" s="16" t="s">
        <v>508</v>
      </c>
      <c r="C26" s="16" t="s">
        <v>509</v>
      </c>
      <c r="D26" s="16" t="s">
        <v>510</v>
      </c>
      <c r="E26" s="16" t="str">
        <f>"0,8328"</f>
        <v>0,8328</v>
      </c>
      <c r="F26" s="16" t="s">
        <v>164</v>
      </c>
      <c r="G26" s="16" t="s">
        <v>28</v>
      </c>
      <c r="H26" s="29" t="s">
        <v>30</v>
      </c>
      <c r="I26" s="29" t="s">
        <v>31</v>
      </c>
      <c r="J26" s="28" t="s">
        <v>72</v>
      </c>
      <c r="K26" s="26"/>
      <c r="L26" s="52">
        <v>162.5</v>
      </c>
      <c r="M26" s="25" t="str">
        <f>"135,3381"</f>
        <v>135,3381</v>
      </c>
      <c r="N26" s="16" t="s">
        <v>168</v>
      </c>
    </row>
    <row r="28" spans="1:13" ht="15.75">
      <c r="A28"/>
      <c r="B28" s="88" t="s">
        <v>216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4" ht="12.75">
      <c r="A29" s="25" t="s">
        <v>531</v>
      </c>
      <c r="B29" s="16" t="s">
        <v>511</v>
      </c>
      <c r="C29" s="16" t="s">
        <v>512</v>
      </c>
      <c r="D29" s="16" t="s">
        <v>413</v>
      </c>
      <c r="E29" s="16" t="str">
        <f>"0,7005"</f>
        <v>0,7005</v>
      </c>
      <c r="F29" s="16" t="s">
        <v>164</v>
      </c>
      <c r="G29" s="16" t="s">
        <v>28</v>
      </c>
      <c r="H29" s="29" t="s">
        <v>35</v>
      </c>
      <c r="I29" s="29" t="s">
        <v>98</v>
      </c>
      <c r="J29" s="28" t="s">
        <v>54</v>
      </c>
      <c r="K29" s="26"/>
      <c r="L29" s="52">
        <v>190</v>
      </c>
      <c r="M29" s="25" t="str">
        <f>"133,0855"</f>
        <v>133,0855</v>
      </c>
      <c r="N29" s="16" t="s">
        <v>179</v>
      </c>
    </row>
    <row r="30" spans="1:14" ht="12.75">
      <c r="A30" s="25" t="s">
        <v>532</v>
      </c>
      <c r="B30" s="16" t="s">
        <v>422</v>
      </c>
      <c r="C30" s="16" t="s">
        <v>423</v>
      </c>
      <c r="D30" s="16" t="s">
        <v>424</v>
      </c>
      <c r="E30" s="16" t="str">
        <f>"0,7056"</f>
        <v>0,7056</v>
      </c>
      <c r="F30" s="16" t="s">
        <v>196</v>
      </c>
      <c r="G30" s="16" t="s">
        <v>28</v>
      </c>
      <c r="H30" s="28" t="s">
        <v>35</v>
      </c>
      <c r="I30" s="29" t="s">
        <v>35</v>
      </c>
      <c r="J30" s="28" t="s">
        <v>47</v>
      </c>
      <c r="K30" s="26"/>
      <c r="L30" s="52">
        <v>170</v>
      </c>
      <c r="M30" s="25" t="str">
        <f>"119,9605"</f>
        <v>119,9605</v>
      </c>
      <c r="N30" s="16" t="s">
        <v>197</v>
      </c>
    </row>
    <row r="31" spans="1:14" ht="12.75">
      <c r="A31" s="25" t="s">
        <v>533</v>
      </c>
      <c r="B31" s="16" t="s">
        <v>513</v>
      </c>
      <c r="C31" s="16" t="s">
        <v>514</v>
      </c>
      <c r="D31" s="16" t="s">
        <v>353</v>
      </c>
      <c r="E31" s="16" t="str">
        <f>"0,6885"</f>
        <v>0,6885</v>
      </c>
      <c r="F31" s="16" t="s">
        <v>164</v>
      </c>
      <c r="G31" s="16" t="s">
        <v>28</v>
      </c>
      <c r="H31" s="29" t="s">
        <v>62</v>
      </c>
      <c r="I31" s="29" t="s">
        <v>35</v>
      </c>
      <c r="J31" s="28" t="s">
        <v>97</v>
      </c>
      <c r="K31" s="26"/>
      <c r="L31" s="52">
        <v>170</v>
      </c>
      <c r="M31" s="25" t="str">
        <f>"117,0535"</f>
        <v>117,0535</v>
      </c>
      <c r="N31" s="16" t="s">
        <v>482</v>
      </c>
    </row>
    <row r="33" spans="1:13" ht="15.75">
      <c r="A33"/>
      <c r="B33" s="88" t="s">
        <v>224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4" ht="12.75">
      <c r="A34" s="25" t="s">
        <v>531</v>
      </c>
      <c r="B34" s="16" t="s">
        <v>231</v>
      </c>
      <c r="C34" s="16" t="s">
        <v>232</v>
      </c>
      <c r="D34" s="16" t="s">
        <v>233</v>
      </c>
      <c r="E34" s="16" t="str">
        <f>"0,6497"</f>
        <v>0,6497</v>
      </c>
      <c r="F34" s="16" t="s">
        <v>164</v>
      </c>
      <c r="G34" s="16" t="s">
        <v>28</v>
      </c>
      <c r="H34" s="29" t="s">
        <v>234</v>
      </c>
      <c r="I34" s="51"/>
      <c r="J34" s="51"/>
      <c r="K34" s="26"/>
      <c r="L34" s="52">
        <v>227.5</v>
      </c>
      <c r="M34" s="25" t="str">
        <f>"147,8181"</f>
        <v>147,8181</v>
      </c>
      <c r="N34" s="16" t="s">
        <v>179</v>
      </c>
    </row>
    <row r="35" spans="1:14" ht="12.75">
      <c r="A35" s="25" t="s">
        <v>531</v>
      </c>
      <c r="B35" s="16" t="s">
        <v>255</v>
      </c>
      <c r="C35" s="16" t="s">
        <v>256</v>
      </c>
      <c r="D35" s="16" t="s">
        <v>257</v>
      </c>
      <c r="E35" s="16" t="str">
        <f>"0,6712"</f>
        <v>0,6712</v>
      </c>
      <c r="F35" s="16" t="s">
        <v>196</v>
      </c>
      <c r="G35" s="16" t="s">
        <v>28</v>
      </c>
      <c r="H35" s="29" t="s">
        <v>30</v>
      </c>
      <c r="I35" s="29" t="s">
        <v>207</v>
      </c>
      <c r="J35" s="29" t="s">
        <v>62</v>
      </c>
      <c r="K35" s="26"/>
      <c r="L35" s="52">
        <v>160</v>
      </c>
      <c r="M35" s="25" t="str">
        <f>"107,3920"</f>
        <v>107,3920</v>
      </c>
      <c r="N35" s="16" t="s">
        <v>197</v>
      </c>
    </row>
    <row r="36" spans="1:14" ht="12.75">
      <c r="A36" s="25" t="s">
        <v>531</v>
      </c>
      <c r="B36" s="16" t="s">
        <v>515</v>
      </c>
      <c r="C36" s="16" t="s">
        <v>516</v>
      </c>
      <c r="D36" s="16" t="s">
        <v>517</v>
      </c>
      <c r="E36" s="16" t="str">
        <f>"0,6456"</f>
        <v>0,6456</v>
      </c>
      <c r="F36" s="16" t="s">
        <v>164</v>
      </c>
      <c r="G36" s="16" t="s">
        <v>28</v>
      </c>
      <c r="H36" s="29" t="s">
        <v>97</v>
      </c>
      <c r="I36" s="28" t="s">
        <v>392</v>
      </c>
      <c r="J36" s="28" t="s">
        <v>392</v>
      </c>
      <c r="K36" s="26"/>
      <c r="L36" s="52">
        <v>182.5</v>
      </c>
      <c r="M36" s="25" t="str">
        <f>"149,3983"</f>
        <v>149,3983</v>
      </c>
      <c r="N36" s="16" t="s">
        <v>179</v>
      </c>
    </row>
    <row r="38" spans="1:13" ht="15.75">
      <c r="A38"/>
      <c r="B38" s="88" t="s">
        <v>39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4" ht="12.75">
      <c r="A39" s="25" t="s">
        <v>531</v>
      </c>
      <c r="B39" s="16" t="s">
        <v>261</v>
      </c>
      <c r="C39" s="16" t="s">
        <v>262</v>
      </c>
      <c r="D39" s="16" t="s">
        <v>263</v>
      </c>
      <c r="E39" s="16" t="str">
        <f>"0,6165"</f>
        <v>0,6165</v>
      </c>
      <c r="F39" s="16" t="s">
        <v>196</v>
      </c>
      <c r="G39" s="16" t="s">
        <v>28</v>
      </c>
      <c r="H39" s="29" t="s">
        <v>98</v>
      </c>
      <c r="I39" s="28" t="s">
        <v>54</v>
      </c>
      <c r="J39" s="26"/>
      <c r="K39" s="26"/>
      <c r="L39" s="52">
        <v>190</v>
      </c>
      <c r="M39" s="25" t="str">
        <f>"143,4787"</f>
        <v>143,4787</v>
      </c>
      <c r="N39" s="16" t="s">
        <v>197</v>
      </c>
    </row>
    <row r="41" spans="1:13" ht="15.75">
      <c r="A41"/>
      <c r="B41" s="88" t="s">
        <v>264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4" ht="12.75">
      <c r="A42" s="25" t="s">
        <v>531</v>
      </c>
      <c r="B42" s="16" t="s">
        <v>518</v>
      </c>
      <c r="C42" s="16" t="s">
        <v>519</v>
      </c>
      <c r="D42" s="16" t="s">
        <v>520</v>
      </c>
      <c r="E42" s="16" t="str">
        <f>"0,5940"</f>
        <v>0,5940</v>
      </c>
      <c r="F42" s="16" t="s">
        <v>164</v>
      </c>
      <c r="G42" s="16" t="s">
        <v>28</v>
      </c>
      <c r="H42" s="29" t="s">
        <v>30</v>
      </c>
      <c r="I42" s="29" t="s">
        <v>47</v>
      </c>
      <c r="J42" s="26"/>
      <c r="K42" s="26"/>
      <c r="L42" s="52">
        <v>180</v>
      </c>
      <c r="M42" s="25" t="str">
        <f>"106,9200"</f>
        <v>106,9200</v>
      </c>
      <c r="N42" s="16" t="s">
        <v>179</v>
      </c>
    </row>
    <row r="44" spans="2:3" ht="18">
      <c r="B44" s="18" t="s">
        <v>100</v>
      </c>
      <c r="C44" s="18"/>
    </row>
    <row r="45" spans="2:3" ht="18">
      <c r="B45" s="18"/>
      <c r="C45" s="18"/>
    </row>
    <row r="46" spans="2:3" ht="15.75">
      <c r="B46" s="19" t="s">
        <v>274</v>
      </c>
      <c r="C46" s="19"/>
    </row>
    <row r="47" spans="2:3" ht="13.5">
      <c r="B47" s="21"/>
      <c r="C47" s="22" t="s">
        <v>155</v>
      </c>
    </row>
    <row r="48" spans="2:6" ht="13.5">
      <c r="B48" s="23" t="s">
        <v>102</v>
      </c>
      <c r="C48" s="23" t="s">
        <v>103</v>
      </c>
      <c r="D48" s="23" t="s">
        <v>104</v>
      </c>
      <c r="E48" s="23" t="s">
        <v>529</v>
      </c>
      <c r="F48" s="23" t="s">
        <v>106</v>
      </c>
    </row>
    <row r="49" spans="1:6" ht="12.75">
      <c r="A49" s="27" t="s">
        <v>531</v>
      </c>
      <c r="B49" s="20" t="s">
        <v>180</v>
      </c>
      <c r="C49" s="15" t="s">
        <v>115</v>
      </c>
      <c r="D49" s="15" t="s">
        <v>277</v>
      </c>
      <c r="E49" s="15" t="s">
        <v>29</v>
      </c>
      <c r="F49" s="24" t="s">
        <v>521</v>
      </c>
    </row>
    <row r="50" spans="1:6" ht="12.75">
      <c r="A50" s="27" t="s">
        <v>532</v>
      </c>
      <c r="B50" s="20" t="s">
        <v>140</v>
      </c>
      <c r="C50" s="15" t="s">
        <v>115</v>
      </c>
      <c r="D50" s="15" t="s">
        <v>275</v>
      </c>
      <c r="E50" s="15" t="s">
        <v>32</v>
      </c>
      <c r="F50" s="24" t="s">
        <v>522</v>
      </c>
    </row>
    <row r="51" spans="1:6" ht="12.75">
      <c r="A51" s="27" t="s">
        <v>533</v>
      </c>
      <c r="B51" s="20" t="s">
        <v>186</v>
      </c>
      <c r="C51" s="15" t="s">
        <v>115</v>
      </c>
      <c r="D51" s="15" t="s">
        <v>108</v>
      </c>
      <c r="E51" s="15" t="s">
        <v>63</v>
      </c>
      <c r="F51" s="24" t="s">
        <v>523</v>
      </c>
    </row>
    <row r="52" ht="12" customHeight="1"/>
    <row r="53" spans="2:3" ht="15.75">
      <c r="B53" s="19" t="s">
        <v>101</v>
      </c>
      <c r="C53" s="19"/>
    </row>
    <row r="54" spans="2:3" ht="13.5">
      <c r="B54" s="21"/>
      <c r="C54" s="22" t="s">
        <v>155</v>
      </c>
    </row>
    <row r="55" spans="2:6" ht="13.5">
      <c r="B55" s="23" t="s">
        <v>102</v>
      </c>
      <c r="C55" s="23" t="s">
        <v>103</v>
      </c>
      <c r="D55" s="23" t="s">
        <v>104</v>
      </c>
      <c r="E55" s="23" t="s">
        <v>529</v>
      </c>
      <c r="F55" s="23" t="s">
        <v>106</v>
      </c>
    </row>
    <row r="56" spans="1:6" ht="12.75">
      <c r="A56" s="27" t="s">
        <v>531</v>
      </c>
      <c r="B56" s="20" t="s">
        <v>505</v>
      </c>
      <c r="C56" s="15" t="s">
        <v>115</v>
      </c>
      <c r="D56" s="15" t="s">
        <v>108</v>
      </c>
      <c r="E56" s="15" t="s">
        <v>47</v>
      </c>
      <c r="F56" s="24" t="s">
        <v>524</v>
      </c>
    </row>
    <row r="57" spans="1:6" ht="12.75">
      <c r="A57" s="27" t="s">
        <v>532</v>
      </c>
      <c r="B57" s="20" t="s">
        <v>508</v>
      </c>
      <c r="C57" s="15" t="s">
        <v>115</v>
      </c>
      <c r="D57" s="15" t="s">
        <v>108</v>
      </c>
      <c r="E57" s="15" t="s">
        <v>31</v>
      </c>
      <c r="F57" s="24" t="s">
        <v>525</v>
      </c>
    </row>
    <row r="58" spans="1:6" ht="12.75">
      <c r="A58" s="27" t="s">
        <v>533</v>
      </c>
      <c r="B58" s="20" t="s">
        <v>511</v>
      </c>
      <c r="C58" s="15" t="s">
        <v>115</v>
      </c>
      <c r="D58" s="15" t="s">
        <v>298</v>
      </c>
      <c r="E58" s="15" t="s">
        <v>98</v>
      </c>
      <c r="F58" s="24" t="s">
        <v>526</v>
      </c>
    </row>
  </sheetData>
  <sheetProtection/>
  <mergeCells count="22">
    <mergeCell ref="B38:M38"/>
    <mergeCell ref="B5:M5"/>
    <mergeCell ref="N3:N4"/>
    <mergeCell ref="F3:F4"/>
    <mergeCell ref="B41:M41"/>
    <mergeCell ref="A3:A4"/>
    <mergeCell ref="B17:M17"/>
    <mergeCell ref="B21:M21"/>
    <mergeCell ref="B24:M24"/>
    <mergeCell ref="B28:M28"/>
    <mergeCell ref="G3:G4"/>
    <mergeCell ref="B33:M33"/>
    <mergeCell ref="B8:M8"/>
    <mergeCell ref="B12:M12"/>
    <mergeCell ref="B1:N2"/>
    <mergeCell ref="B3:B4"/>
    <mergeCell ref="C3:C4"/>
    <mergeCell ref="D3:D4"/>
    <mergeCell ref="E3:E4"/>
    <mergeCell ref="L3:L4"/>
    <mergeCell ref="M3:M4"/>
    <mergeCell ref="H3:K3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29">
      <selection activeCell="G73" sqref="G73"/>
    </sheetView>
  </sheetViews>
  <sheetFormatPr defaultColWidth="8.75390625" defaultRowHeight="12.75"/>
  <cols>
    <col min="1" max="1" width="7.875" style="27" bestFit="1" customWidth="1"/>
    <col min="2" max="2" width="22.75390625" style="15" customWidth="1"/>
    <col min="3" max="3" width="25.625" style="15" customWidth="1"/>
    <col min="4" max="4" width="10.625" style="15" bestFit="1" customWidth="1"/>
    <col min="5" max="5" width="11.25390625" style="15" customWidth="1"/>
    <col min="6" max="6" width="17.375" style="15" customWidth="1"/>
    <col min="7" max="7" width="31.875" style="15" customWidth="1"/>
    <col min="8" max="11" width="6.125" style="27" customWidth="1"/>
    <col min="12" max="12" width="11.75390625" style="27" customWidth="1"/>
    <col min="13" max="13" width="8.625" style="27" bestFit="1" customWidth="1"/>
    <col min="14" max="14" width="19.75390625" style="15" customWidth="1"/>
  </cols>
  <sheetData>
    <row r="1" spans="1:14" s="1" customFormat="1" ht="15" customHeight="1">
      <c r="A1" s="32"/>
      <c r="B1" s="89" t="s">
        <v>604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" customFormat="1" ht="84.75" customHeight="1" thickBot="1">
      <c r="A2" s="32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4" customFormat="1" ht="12.75" customHeight="1">
      <c r="A3" s="100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4</v>
      </c>
      <c r="I3" s="99"/>
      <c r="J3" s="99"/>
      <c r="K3" s="103"/>
      <c r="L3" s="100" t="s">
        <v>529</v>
      </c>
      <c r="M3" s="99" t="s">
        <v>8</v>
      </c>
      <c r="N3" s="103" t="s">
        <v>9</v>
      </c>
    </row>
    <row r="4" spans="1:14" s="4" customFormat="1" ht="23.25" customHeight="1" thickBot="1">
      <c r="A4" s="101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101"/>
      <c r="M4" s="98"/>
      <c r="N4" s="104"/>
    </row>
    <row r="5" spans="1:13" ht="15.75">
      <c r="A5" s="33"/>
      <c r="B5" s="107" t="s">
        <v>169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25" t="s">
        <v>531</v>
      </c>
      <c r="B6" s="16" t="s">
        <v>605</v>
      </c>
      <c r="C6" s="16" t="s">
        <v>171</v>
      </c>
      <c r="D6" s="16" t="s">
        <v>172</v>
      </c>
      <c r="E6" s="16" t="str">
        <f>"1,0454"</f>
        <v>1,0454</v>
      </c>
      <c r="F6" s="16" t="s">
        <v>61</v>
      </c>
      <c r="G6" s="16" t="s">
        <v>28</v>
      </c>
      <c r="H6" s="28" t="s">
        <v>19</v>
      </c>
      <c r="I6" s="29" t="s">
        <v>19</v>
      </c>
      <c r="J6" s="28" t="s">
        <v>20</v>
      </c>
      <c r="K6" s="26"/>
      <c r="L6" s="52">
        <v>57.5</v>
      </c>
      <c r="M6" s="25" t="str">
        <f>"60,1105"</f>
        <v>60,1105</v>
      </c>
      <c r="N6" s="16" t="s">
        <v>223</v>
      </c>
    </row>
    <row r="7" spans="1:14" ht="12.75">
      <c r="A7" s="25" t="s">
        <v>531</v>
      </c>
      <c r="B7" s="16" t="s">
        <v>606</v>
      </c>
      <c r="C7" s="16" t="s">
        <v>396</v>
      </c>
      <c r="D7" s="16" t="s">
        <v>176</v>
      </c>
      <c r="E7" s="16" t="str">
        <f>"1,0622"</f>
        <v>1,0622</v>
      </c>
      <c r="F7" s="16" t="s">
        <v>164</v>
      </c>
      <c r="G7" s="16" t="s">
        <v>28</v>
      </c>
      <c r="H7" s="29" t="s">
        <v>135</v>
      </c>
      <c r="I7" s="28" t="s">
        <v>16</v>
      </c>
      <c r="J7" s="28" t="s">
        <v>16</v>
      </c>
      <c r="K7" s="26"/>
      <c r="L7" s="52">
        <v>77.5</v>
      </c>
      <c r="M7" s="25" t="str">
        <f>"82,3205"</f>
        <v>82,3205</v>
      </c>
      <c r="N7" s="16" t="s">
        <v>179</v>
      </c>
    </row>
    <row r="8" spans="1:14" ht="12.75">
      <c r="A8" s="25" t="s">
        <v>532</v>
      </c>
      <c r="B8" s="16" t="s">
        <v>607</v>
      </c>
      <c r="C8" s="16" t="s">
        <v>184</v>
      </c>
      <c r="D8" s="16" t="s">
        <v>185</v>
      </c>
      <c r="E8" s="16" t="str">
        <f>"1,0439"</f>
        <v>1,0439</v>
      </c>
      <c r="F8" s="16" t="s">
        <v>61</v>
      </c>
      <c r="G8" s="16" t="s">
        <v>28</v>
      </c>
      <c r="H8" s="29" t="s">
        <v>19</v>
      </c>
      <c r="I8" s="29" t="s">
        <v>145</v>
      </c>
      <c r="J8" s="29" t="s">
        <v>20</v>
      </c>
      <c r="K8" s="26"/>
      <c r="L8" s="52">
        <v>62.5</v>
      </c>
      <c r="M8" s="25" t="str">
        <f>"65,2438"</f>
        <v>65,2438</v>
      </c>
      <c r="N8" s="16" t="s">
        <v>576</v>
      </c>
    </row>
    <row r="10" spans="1:13" ht="15.75">
      <c r="A10" s="33"/>
      <c r="B10" s="88" t="s">
        <v>169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4" ht="12.75">
      <c r="A11" s="25" t="s">
        <v>531</v>
      </c>
      <c r="B11" s="16" t="s">
        <v>608</v>
      </c>
      <c r="C11" s="16" t="s">
        <v>397</v>
      </c>
      <c r="D11" s="16" t="s">
        <v>398</v>
      </c>
      <c r="E11" s="16" t="str">
        <f>"0,9026"</f>
        <v>0,9026</v>
      </c>
      <c r="F11" s="16" t="s">
        <v>196</v>
      </c>
      <c r="G11" s="16" t="s">
        <v>28</v>
      </c>
      <c r="H11" s="29" t="s">
        <v>159</v>
      </c>
      <c r="I11" s="29" t="s">
        <v>135</v>
      </c>
      <c r="J11" s="28" t="s">
        <v>16</v>
      </c>
      <c r="K11" s="26"/>
      <c r="L11" s="52">
        <v>75</v>
      </c>
      <c r="M11" s="25" t="str">
        <f>"67,6987"</f>
        <v>67,6987</v>
      </c>
      <c r="N11" s="16" t="s">
        <v>197</v>
      </c>
    </row>
    <row r="12" spans="1:14" ht="12.75">
      <c r="A12" s="25" t="s">
        <v>531</v>
      </c>
      <c r="B12" s="16" t="s">
        <v>399</v>
      </c>
      <c r="C12" s="16" t="s">
        <v>400</v>
      </c>
      <c r="D12" s="16" t="s">
        <v>401</v>
      </c>
      <c r="E12" s="16" t="str">
        <f>"0,9312"</f>
        <v>0,9312</v>
      </c>
      <c r="F12" s="16" t="s">
        <v>196</v>
      </c>
      <c r="G12" s="16" t="s">
        <v>28</v>
      </c>
      <c r="H12" s="29" t="s">
        <v>153</v>
      </c>
      <c r="I12" s="28" t="s">
        <v>144</v>
      </c>
      <c r="J12" s="29" t="s">
        <v>145</v>
      </c>
      <c r="K12" s="26"/>
      <c r="L12" s="52">
        <v>60</v>
      </c>
      <c r="M12" s="25" t="str">
        <f>"55,8690"</f>
        <v>55,8690</v>
      </c>
      <c r="N12" s="16" t="s">
        <v>197</v>
      </c>
    </row>
    <row r="14" spans="1:13" ht="15.75">
      <c r="A14" s="33"/>
      <c r="B14" s="88" t="s">
        <v>25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4" ht="12.75">
      <c r="A15" s="25" t="s">
        <v>531</v>
      </c>
      <c r="B15" s="16" t="s">
        <v>609</v>
      </c>
      <c r="C15" s="16" t="s">
        <v>403</v>
      </c>
      <c r="D15" s="16" t="s">
        <v>404</v>
      </c>
      <c r="E15" s="16" t="str">
        <f>"0,7570"</f>
        <v>0,7570</v>
      </c>
      <c r="F15" s="16" t="s">
        <v>196</v>
      </c>
      <c r="G15" s="16" t="s">
        <v>28</v>
      </c>
      <c r="H15" s="28" t="s">
        <v>34</v>
      </c>
      <c r="I15" s="28" t="s">
        <v>34</v>
      </c>
      <c r="J15" s="29" t="s">
        <v>34</v>
      </c>
      <c r="K15" s="26"/>
      <c r="L15" s="52">
        <v>120</v>
      </c>
      <c r="M15" s="25" t="str">
        <f>"90,8460"</f>
        <v>90,8460</v>
      </c>
      <c r="N15" s="16" t="s">
        <v>197</v>
      </c>
    </row>
    <row r="16" spans="1:14" ht="12.75">
      <c r="A16" s="25" t="s">
        <v>532</v>
      </c>
      <c r="B16" s="16" t="s">
        <v>610</v>
      </c>
      <c r="C16" s="16" t="s">
        <v>405</v>
      </c>
      <c r="D16" s="16" t="s">
        <v>406</v>
      </c>
      <c r="E16" s="16" t="str">
        <f>"0,7862"</f>
        <v>0,7862</v>
      </c>
      <c r="F16" s="16" t="s">
        <v>196</v>
      </c>
      <c r="G16" s="16" t="s">
        <v>28</v>
      </c>
      <c r="H16" s="29" t="s">
        <v>135</v>
      </c>
      <c r="I16" s="29" t="s">
        <v>16</v>
      </c>
      <c r="J16" s="29" t="s">
        <v>152</v>
      </c>
      <c r="K16" s="26"/>
      <c r="L16" s="52">
        <v>85</v>
      </c>
      <c r="M16" s="25" t="str">
        <f>"66,8312"</f>
        <v>66,8312</v>
      </c>
      <c r="N16" s="16" t="s">
        <v>197</v>
      </c>
    </row>
    <row r="17" spans="1:14" ht="12.75">
      <c r="A17" s="25" t="s">
        <v>533</v>
      </c>
      <c r="B17" s="16" t="s">
        <v>611</v>
      </c>
      <c r="C17" s="16" t="s">
        <v>407</v>
      </c>
      <c r="D17" s="16" t="s">
        <v>408</v>
      </c>
      <c r="E17" s="16" t="str">
        <f>"0,7829"</f>
        <v>0,7829</v>
      </c>
      <c r="F17" s="16" t="s">
        <v>196</v>
      </c>
      <c r="G17" s="16" t="s">
        <v>28</v>
      </c>
      <c r="H17" s="28" t="s">
        <v>16</v>
      </c>
      <c r="I17" s="29" t="s">
        <v>16</v>
      </c>
      <c r="J17" s="29" t="s">
        <v>152</v>
      </c>
      <c r="K17" s="26"/>
      <c r="L17" s="52">
        <v>85</v>
      </c>
      <c r="M17" s="25" t="str">
        <f>"66,5507"</f>
        <v>66,5507</v>
      </c>
      <c r="N17" s="16" t="s">
        <v>197</v>
      </c>
    </row>
    <row r="18" spans="1:14" ht="12.75">
      <c r="A18" s="25"/>
      <c r="B18" s="16" t="s">
        <v>612</v>
      </c>
      <c r="C18" s="16" t="s">
        <v>409</v>
      </c>
      <c r="D18" s="16" t="s">
        <v>410</v>
      </c>
      <c r="E18" s="16" t="str">
        <f>"0,7561"</f>
        <v>0,7561</v>
      </c>
      <c r="F18" s="16" t="s">
        <v>196</v>
      </c>
      <c r="G18" s="16" t="s">
        <v>28</v>
      </c>
      <c r="H18" s="29" t="s">
        <v>135</v>
      </c>
      <c r="I18" s="28" t="s">
        <v>16</v>
      </c>
      <c r="J18" s="28" t="s">
        <v>152</v>
      </c>
      <c r="K18" s="26"/>
      <c r="L18" s="52">
        <v>75</v>
      </c>
      <c r="M18" s="25" t="str">
        <f>"56,7075"</f>
        <v>56,7075</v>
      </c>
      <c r="N18" s="16" t="s">
        <v>197</v>
      </c>
    </row>
    <row r="20" spans="1:13" ht="15.75">
      <c r="A20" s="33"/>
      <c r="B20" s="88" t="s">
        <v>216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4" ht="12.75">
      <c r="A21" s="25" t="s">
        <v>531</v>
      </c>
      <c r="B21" s="16" t="s">
        <v>411</v>
      </c>
      <c r="C21" s="16" t="s">
        <v>412</v>
      </c>
      <c r="D21" s="16" t="s">
        <v>413</v>
      </c>
      <c r="E21" s="16" t="str">
        <f>"0,7005"</f>
        <v>0,7005</v>
      </c>
      <c r="F21" s="16" t="s">
        <v>196</v>
      </c>
      <c r="G21" s="16" t="s">
        <v>28</v>
      </c>
      <c r="H21" s="29" t="s">
        <v>136</v>
      </c>
      <c r="I21" s="29" t="s">
        <v>153</v>
      </c>
      <c r="J21" s="28" t="s">
        <v>144</v>
      </c>
      <c r="K21" s="26"/>
      <c r="L21" s="52">
        <v>50</v>
      </c>
      <c r="M21" s="25" t="str">
        <f>"35,0225"</f>
        <v>35,0225</v>
      </c>
      <c r="N21" s="16" t="s">
        <v>197</v>
      </c>
    </row>
    <row r="22" spans="1:14" ht="12.75">
      <c r="A22" s="25" t="s">
        <v>531</v>
      </c>
      <c r="B22" s="16" t="s">
        <v>613</v>
      </c>
      <c r="C22" s="16" t="s">
        <v>414</v>
      </c>
      <c r="D22" s="16" t="s">
        <v>415</v>
      </c>
      <c r="E22" s="16" t="str">
        <f>"0,6955"</f>
        <v>0,6955</v>
      </c>
      <c r="F22" s="16" t="s">
        <v>196</v>
      </c>
      <c r="G22" s="16" t="s">
        <v>28</v>
      </c>
      <c r="H22" s="29" t="s">
        <v>17</v>
      </c>
      <c r="I22" s="29" t="s">
        <v>138</v>
      </c>
      <c r="J22" s="29" t="s">
        <v>131</v>
      </c>
      <c r="K22" s="26"/>
      <c r="L22" s="52">
        <v>100</v>
      </c>
      <c r="M22" s="25" t="str">
        <f>"69,5450"</f>
        <v>69,5450</v>
      </c>
      <c r="N22" s="16" t="s">
        <v>197</v>
      </c>
    </row>
    <row r="23" spans="1:14" ht="12.75">
      <c r="A23" s="25" t="s">
        <v>531</v>
      </c>
      <c r="B23" s="16" t="s">
        <v>614</v>
      </c>
      <c r="C23" s="16" t="s">
        <v>417</v>
      </c>
      <c r="D23" s="16" t="s">
        <v>418</v>
      </c>
      <c r="E23" s="16" t="str">
        <f>"0,7262"</f>
        <v>0,7262</v>
      </c>
      <c r="F23" s="16" t="s">
        <v>196</v>
      </c>
      <c r="G23" s="16" t="s">
        <v>28</v>
      </c>
      <c r="H23" s="29" t="s">
        <v>131</v>
      </c>
      <c r="I23" s="29" t="s">
        <v>192</v>
      </c>
      <c r="J23" s="28" t="s">
        <v>147</v>
      </c>
      <c r="K23" s="26"/>
      <c r="L23" s="52">
        <v>105</v>
      </c>
      <c r="M23" s="25" t="str">
        <f>"76,2562"</f>
        <v>76,2562</v>
      </c>
      <c r="N23" s="16" t="s">
        <v>197</v>
      </c>
    </row>
    <row r="24" spans="1:14" ht="12.75">
      <c r="A24" s="25" t="s">
        <v>531</v>
      </c>
      <c r="B24" s="16" t="s">
        <v>615</v>
      </c>
      <c r="C24" s="16" t="s">
        <v>420</v>
      </c>
      <c r="D24" s="16" t="s">
        <v>421</v>
      </c>
      <c r="E24" s="16" t="str">
        <f>"0,6920"</f>
        <v>0,6920</v>
      </c>
      <c r="F24" s="16" t="s">
        <v>61</v>
      </c>
      <c r="G24" s="16" t="s">
        <v>28</v>
      </c>
      <c r="H24" s="29" t="s">
        <v>252</v>
      </c>
      <c r="I24" s="29" t="s">
        <v>30</v>
      </c>
      <c r="J24" s="28" t="s">
        <v>178</v>
      </c>
      <c r="K24" s="26"/>
      <c r="L24" s="52">
        <v>150</v>
      </c>
      <c r="M24" s="25" t="str">
        <f>"103,7925"</f>
        <v>103,7925</v>
      </c>
      <c r="N24" s="16" t="s">
        <v>87</v>
      </c>
    </row>
    <row r="25" spans="1:14" ht="12.75">
      <c r="A25" s="25" t="s">
        <v>532</v>
      </c>
      <c r="B25" s="16" t="s">
        <v>616</v>
      </c>
      <c r="C25" s="16" t="s">
        <v>423</v>
      </c>
      <c r="D25" s="16" t="s">
        <v>424</v>
      </c>
      <c r="E25" s="16" t="str">
        <f>"0,7056"</f>
        <v>0,7056</v>
      </c>
      <c r="F25" s="16" t="s">
        <v>196</v>
      </c>
      <c r="G25" s="16" t="s">
        <v>28</v>
      </c>
      <c r="H25" s="29" t="s">
        <v>173</v>
      </c>
      <c r="I25" s="28" t="s">
        <v>154</v>
      </c>
      <c r="J25" s="28" t="s">
        <v>154</v>
      </c>
      <c r="K25" s="26"/>
      <c r="L25" s="52">
        <v>110</v>
      </c>
      <c r="M25" s="25" t="str">
        <f>"77,6215"</f>
        <v>77,6215</v>
      </c>
      <c r="N25" s="16" t="s">
        <v>197</v>
      </c>
    </row>
    <row r="26" spans="1:14" ht="12.75">
      <c r="A26" s="25" t="s">
        <v>533</v>
      </c>
      <c r="B26" s="16" t="s">
        <v>617</v>
      </c>
      <c r="C26" s="16" t="s">
        <v>425</v>
      </c>
      <c r="D26" s="16" t="s">
        <v>424</v>
      </c>
      <c r="E26" s="16" t="str">
        <f>"0,7056"</f>
        <v>0,7056</v>
      </c>
      <c r="F26" s="16" t="s">
        <v>196</v>
      </c>
      <c r="G26" s="16" t="s">
        <v>28</v>
      </c>
      <c r="H26" s="29" t="s">
        <v>138</v>
      </c>
      <c r="I26" s="29" t="s">
        <v>131</v>
      </c>
      <c r="J26" s="29" t="s">
        <v>192</v>
      </c>
      <c r="K26" s="26"/>
      <c r="L26" s="52">
        <v>105</v>
      </c>
      <c r="M26" s="25" t="str">
        <f>"74,0932"</f>
        <v>74,0932</v>
      </c>
      <c r="N26" s="16" t="s">
        <v>197</v>
      </c>
    </row>
    <row r="28" spans="1:13" ht="15.75">
      <c r="A28" s="33"/>
      <c r="B28" s="88" t="s">
        <v>224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4" ht="12.75">
      <c r="A29" s="25" t="s">
        <v>531</v>
      </c>
      <c r="B29" s="16" t="s">
        <v>618</v>
      </c>
      <c r="C29" s="16" t="s">
        <v>427</v>
      </c>
      <c r="D29" s="16" t="s">
        <v>428</v>
      </c>
      <c r="E29" s="16" t="str">
        <f>"0,6629"</f>
        <v>0,6629</v>
      </c>
      <c r="F29" s="16" t="s">
        <v>196</v>
      </c>
      <c r="G29" s="16" t="s">
        <v>28</v>
      </c>
      <c r="H29" s="29" t="s">
        <v>63</v>
      </c>
      <c r="I29" s="29" t="s">
        <v>206</v>
      </c>
      <c r="J29" s="28" t="s">
        <v>64</v>
      </c>
      <c r="K29" s="26"/>
      <c r="L29" s="52">
        <v>140</v>
      </c>
      <c r="M29" s="25" t="str">
        <f>"92,8060"</f>
        <v>92,8060</v>
      </c>
      <c r="N29" s="16" t="s">
        <v>197</v>
      </c>
    </row>
    <row r="30" spans="1:14" ht="12.75">
      <c r="A30" s="25" t="s">
        <v>531</v>
      </c>
      <c r="B30" s="16" t="s">
        <v>619</v>
      </c>
      <c r="C30" s="16" t="s">
        <v>430</v>
      </c>
      <c r="D30" s="16" t="s">
        <v>233</v>
      </c>
      <c r="E30" s="16" t="str">
        <f>"0,6497"</f>
        <v>0,6497</v>
      </c>
      <c r="F30" s="16" t="s">
        <v>61</v>
      </c>
      <c r="G30" s="16" t="s">
        <v>28</v>
      </c>
      <c r="H30" s="29" t="s">
        <v>178</v>
      </c>
      <c r="I30" s="29" t="s">
        <v>62</v>
      </c>
      <c r="J30" s="28" t="s">
        <v>72</v>
      </c>
      <c r="K30" s="26"/>
      <c r="L30" s="52">
        <v>160</v>
      </c>
      <c r="M30" s="25" t="str">
        <f>"103,9600"</f>
        <v>103,9600</v>
      </c>
      <c r="N30" s="16" t="s">
        <v>87</v>
      </c>
    </row>
    <row r="31" spans="1:14" ht="12.75">
      <c r="A31" s="25" t="s">
        <v>532</v>
      </c>
      <c r="B31" s="16" t="s">
        <v>620</v>
      </c>
      <c r="C31" s="16" t="s">
        <v>431</v>
      </c>
      <c r="D31" s="16" t="s">
        <v>246</v>
      </c>
      <c r="E31" s="16" t="str">
        <f>"0,6508"</f>
        <v>0,6508</v>
      </c>
      <c r="F31" s="16" t="s">
        <v>164</v>
      </c>
      <c r="G31" s="16" t="s">
        <v>28</v>
      </c>
      <c r="H31" s="29" t="s">
        <v>34</v>
      </c>
      <c r="I31" s="28" t="s">
        <v>21</v>
      </c>
      <c r="J31" s="28" t="s">
        <v>21</v>
      </c>
      <c r="K31" s="26"/>
      <c r="L31" s="52">
        <v>120</v>
      </c>
      <c r="M31" s="25" t="str">
        <f>"78,0960"</f>
        <v>78,0960</v>
      </c>
      <c r="N31" s="16" t="s">
        <v>223</v>
      </c>
    </row>
    <row r="32" spans="1:14" ht="12.75">
      <c r="A32" s="25" t="s">
        <v>533</v>
      </c>
      <c r="B32" s="16" t="s">
        <v>621</v>
      </c>
      <c r="C32" s="16" t="s">
        <v>239</v>
      </c>
      <c r="D32" s="16" t="s">
        <v>240</v>
      </c>
      <c r="E32" s="16" t="str">
        <f>"0,6461"</f>
        <v>0,6461</v>
      </c>
      <c r="F32" s="16" t="s">
        <v>61</v>
      </c>
      <c r="G32" s="16" t="s">
        <v>572</v>
      </c>
      <c r="H32" s="29" t="s">
        <v>173</v>
      </c>
      <c r="I32" s="29" t="s">
        <v>34</v>
      </c>
      <c r="J32" s="28" t="s">
        <v>63</v>
      </c>
      <c r="K32" s="26"/>
      <c r="L32" s="52">
        <v>120</v>
      </c>
      <c r="M32" s="25" t="str">
        <f>"77,5380"</f>
        <v>77,5380</v>
      </c>
      <c r="N32" s="16" t="s">
        <v>87</v>
      </c>
    </row>
    <row r="33" spans="1:14" ht="12.75">
      <c r="A33" s="25" t="s">
        <v>531</v>
      </c>
      <c r="B33" s="16" t="s">
        <v>429</v>
      </c>
      <c r="C33" s="16" t="s">
        <v>432</v>
      </c>
      <c r="D33" s="16" t="s">
        <v>233</v>
      </c>
      <c r="E33" s="16" t="s">
        <v>816</v>
      </c>
      <c r="F33" s="16" t="s">
        <v>61</v>
      </c>
      <c r="G33" s="16" t="s">
        <v>28</v>
      </c>
      <c r="H33" s="29" t="s">
        <v>178</v>
      </c>
      <c r="I33" s="29" t="s">
        <v>62</v>
      </c>
      <c r="J33" s="28" t="s">
        <v>72</v>
      </c>
      <c r="K33" s="26"/>
      <c r="L33" s="52">
        <v>160</v>
      </c>
      <c r="M33" s="25" t="s">
        <v>465</v>
      </c>
      <c r="N33" s="16" t="s">
        <v>87</v>
      </c>
    </row>
    <row r="34" spans="1:14" ht="12.75">
      <c r="A34" s="25" t="s">
        <v>532</v>
      </c>
      <c r="B34" s="16" t="s">
        <v>622</v>
      </c>
      <c r="C34" s="16" t="s">
        <v>250</v>
      </c>
      <c r="D34" s="16" t="s">
        <v>251</v>
      </c>
      <c r="E34" s="16" t="str">
        <f>"0,6561"</f>
        <v>0,6561</v>
      </c>
      <c r="F34" s="16" t="s">
        <v>164</v>
      </c>
      <c r="G34" s="16" t="s">
        <v>28</v>
      </c>
      <c r="H34" s="29" t="s">
        <v>206</v>
      </c>
      <c r="I34" s="29" t="s">
        <v>252</v>
      </c>
      <c r="J34" s="28" t="s">
        <v>178</v>
      </c>
      <c r="K34" s="26"/>
      <c r="L34" s="52">
        <v>147.5</v>
      </c>
      <c r="M34" s="25" t="str">
        <f>"96,7821"</f>
        <v>96,7821</v>
      </c>
      <c r="N34" s="16" t="s">
        <v>223</v>
      </c>
    </row>
    <row r="35" spans="1:14" ht="12.75">
      <c r="A35" s="25" t="s">
        <v>533</v>
      </c>
      <c r="B35" s="16" t="s">
        <v>623</v>
      </c>
      <c r="C35" s="16" t="s">
        <v>433</v>
      </c>
      <c r="D35" s="16" t="s">
        <v>243</v>
      </c>
      <c r="E35" s="16" t="str">
        <f>"0,6471"</f>
        <v>0,6471</v>
      </c>
      <c r="F35" s="16" t="s">
        <v>14</v>
      </c>
      <c r="G35" s="16" t="s">
        <v>28</v>
      </c>
      <c r="H35" s="29" t="s">
        <v>206</v>
      </c>
      <c r="I35" s="29" t="s">
        <v>64</v>
      </c>
      <c r="J35" s="28" t="s">
        <v>30</v>
      </c>
      <c r="K35" s="26"/>
      <c r="L35" s="52">
        <v>145</v>
      </c>
      <c r="M35" s="25" t="str">
        <f>"93,8367"</f>
        <v>93,8367</v>
      </c>
      <c r="N35" s="16" t="s">
        <v>38</v>
      </c>
    </row>
    <row r="36" spans="1:14" ht="12.75">
      <c r="A36" s="25"/>
      <c r="B36" s="16" t="s">
        <v>624</v>
      </c>
      <c r="C36" s="16" t="s">
        <v>434</v>
      </c>
      <c r="D36" s="16" t="s">
        <v>435</v>
      </c>
      <c r="E36" s="16" t="str">
        <f>"0,6513"</f>
        <v>0,6513</v>
      </c>
      <c r="F36" s="16" t="s">
        <v>196</v>
      </c>
      <c r="G36" s="16" t="s">
        <v>28</v>
      </c>
      <c r="H36" s="29" t="s">
        <v>29</v>
      </c>
      <c r="I36" s="29" t="s">
        <v>206</v>
      </c>
      <c r="J36" s="28" t="s">
        <v>64</v>
      </c>
      <c r="K36" s="26"/>
      <c r="L36" s="52">
        <v>140</v>
      </c>
      <c r="M36" s="25" t="str">
        <f>"91,1820"</f>
        <v>91,1820</v>
      </c>
      <c r="N36" s="16" t="s">
        <v>197</v>
      </c>
    </row>
    <row r="37" spans="1:14" ht="12.75">
      <c r="A37" s="25"/>
      <c r="B37" s="16" t="s">
        <v>625</v>
      </c>
      <c r="C37" s="16" t="s">
        <v>436</v>
      </c>
      <c r="D37" s="16" t="s">
        <v>236</v>
      </c>
      <c r="E37" s="16" t="str">
        <f>"0,6578"</f>
        <v>0,6578</v>
      </c>
      <c r="F37" s="16" t="s">
        <v>61</v>
      </c>
      <c r="G37" s="16" t="s">
        <v>437</v>
      </c>
      <c r="H37" s="29" t="s">
        <v>177</v>
      </c>
      <c r="I37" s="29" t="s">
        <v>21</v>
      </c>
      <c r="J37" s="28" t="s">
        <v>22</v>
      </c>
      <c r="K37" s="26"/>
      <c r="L37" s="52">
        <v>127.5</v>
      </c>
      <c r="M37" s="25" t="str">
        <f>"83,8695"</f>
        <v>83,8695</v>
      </c>
      <c r="N37" s="16" t="s">
        <v>87</v>
      </c>
    </row>
    <row r="38" spans="1:14" ht="12.75">
      <c r="A38" s="25" t="s">
        <v>531</v>
      </c>
      <c r="B38" s="16" t="s">
        <v>626</v>
      </c>
      <c r="C38" s="16" t="s">
        <v>438</v>
      </c>
      <c r="D38" s="16" t="s">
        <v>227</v>
      </c>
      <c r="E38" s="16" t="str">
        <f>"0,6583"</f>
        <v>0,6583</v>
      </c>
      <c r="F38" s="16" t="s">
        <v>61</v>
      </c>
      <c r="G38" s="16" t="s">
        <v>28</v>
      </c>
      <c r="H38" s="28" t="s">
        <v>64</v>
      </c>
      <c r="I38" s="51" t="s">
        <v>64</v>
      </c>
      <c r="J38" s="29" t="s">
        <v>64</v>
      </c>
      <c r="K38" s="26"/>
      <c r="L38" s="52">
        <v>145</v>
      </c>
      <c r="M38" s="25" t="str">
        <f>"99,5656"</f>
        <v>99,5656</v>
      </c>
      <c r="N38" s="16" t="s">
        <v>87</v>
      </c>
    </row>
    <row r="40" spans="1:13" ht="15.75">
      <c r="A40" s="33"/>
      <c r="B40" s="88" t="s">
        <v>39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4" ht="12.75">
      <c r="A41" s="25" t="s">
        <v>531</v>
      </c>
      <c r="B41" s="16" t="s">
        <v>627</v>
      </c>
      <c r="C41" s="16" t="s">
        <v>440</v>
      </c>
      <c r="D41" s="16" t="s">
        <v>60</v>
      </c>
      <c r="E41" s="16" t="str">
        <f>"0,6137"</f>
        <v>0,6137</v>
      </c>
      <c r="F41" s="16" t="s">
        <v>354</v>
      </c>
      <c r="G41" s="16" t="s">
        <v>28</v>
      </c>
      <c r="H41" s="29" t="s">
        <v>63</v>
      </c>
      <c r="I41" s="29" t="s">
        <v>29</v>
      </c>
      <c r="J41" s="28" t="s">
        <v>206</v>
      </c>
      <c r="K41" s="26"/>
      <c r="L41" s="52">
        <v>135</v>
      </c>
      <c r="M41" s="25" t="str">
        <f>"82,8562"</f>
        <v>82,8562</v>
      </c>
      <c r="N41" s="16" t="s">
        <v>87</v>
      </c>
    </row>
    <row r="42" spans="1:14" ht="12.75">
      <c r="A42" s="25" t="s">
        <v>531</v>
      </c>
      <c r="B42" s="16" t="s">
        <v>628</v>
      </c>
      <c r="C42" s="16" t="s">
        <v>441</v>
      </c>
      <c r="D42" s="16" t="s">
        <v>362</v>
      </c>
      <c r="E42" s="16" t="str">
        <f>"0,6213"</f>
        <v>0,6213</v>
      </c>
      <c r="F42" s="16" t="s">
        <v>78</v>
      </c>
      <c r="G42" s="16" t="s">
        <v>79</v>
      </c>
      <c r="H42" s="29" t="s">
        <v>178</v>
      </c>
      <c r="I42" s="28" t="s">
        <v>220</v>
      </c>
      <c r="J42" s="28" t="s">
        <v>220</v>
      </c>
      <c r="K42" s="26"/>
      <c r="L42" s="52">
        <v>152.5</v>
      </c>
      <c r="M42" s="25" t="str">
        <f>"94,7559"</f>
        <v>94,7559</v>
      </c>
      <c r="N42" s="16" t="s">
        <v>348</v>
      </c>
    </row>
    <row r="43" spans="1:14" ht="12.75">
      <c r="A43" s="25" t="s">
        <v>532</v>
      </c>
      <c r="B43" s="16" t="s">
        <v>629</v>
      </c>
      <c r="C43" s="16" t="s">
        <v>442</v>
      </c>
      <c r="D43" s="16" t="s">
        <v>443</v>
      </c>
      <c r="E43" s="16" t="str">
        <f>"0,6259"</f>
        <v>0,6259</v>
      </c>
      <c r="F43" s="16" t="s">
        <v>14</v>
      </c>
      <c r="G43" s="16" t="s">
        <v>28</v>
      </c>
      <c r="H43" s="29" t="s">
        <v>64</v>
      </c>
      <c r="I43" s="28" t="s">
        <v>30</v>
      </c>
      <c r="J43" s="28" t="s">
        <v>178</v>
      </c>
      <c r="K43" s="26"/>
      <c r="L43" s="52">
        <v>145</v>
      </c>
      <c r="M43" s="25" t="str">
        <f>"90,7627"</f>
        <v>90,7627</v>
      </c>
      <c r="N43" s="16" t="s">
        <v>24</v>
      </c>
    </row>
    <row r="44" spans="1:14" ht="12.75">
      <c r="A44" s="25" t="s">
        <v>533</v>
      </c>
      <c r="B44" s="16" t="s">
        <v>630</v>
      </c>
      <c r="C44" s="16" t="s">
        <v>444</v>
      </c>
      <c r="D44" s="16" t="s">
        <v>445</v>
      </c>
      <c r="E44" s="16" t="str">
        <f>"0,6373"</f>
        <v>0,6373</v>
      </c>
      <c r="F44" s="16" t="s">
        <v>164</v>
      </c>
      <c r="G44" s="16" t="s">
        <v>28</v>
      </c>
      <c r="H44" s="28" t="s">
        <v>206</v>
      </c>
      <c r="I44" s="29" t="s">
        <v>206</v>
      </c>
      <c r="J44" s="28" t="s">
        <v>178</v>
      </c>
      <c r="K44" s="26"/>
      <c r="L44" s="52">
        <v>140</v>
      </c>
      <c r="M44" s="25" t="str">
        <f>"89,2150"</f>
        <v>89,2150</v>
      </c>
      <c r="N44" s="16" t="s">
        <v>179</v>
      </c>
    </row>
    <row r="45" spans="1:14" ht="12.75">
      <c r="A45" s="25"/>
      <c r="B45" s="16" t="s">
        <v>631</v>
      </c>
      <c r="C45" s="16" t="s">
        <v>446</v>
      </c>
      <c r="D45" s="16" t="s">
        <v>447</v>
      </c>
      <c r="E45" s="16" t="str">
        <f>"0,6209"</f>
        <v>0,6209</v>
      </c>
      <c r="F45" s="16" t="s">
        <v>61</v>
      </c>
      <c r="G45" s="16" t="s">
        <v>28</v>
      </c>
      <c r="H45" s="29" t="s">
        <v>212</v>
      </c>
      <c r="I45" s="28" t="s">
        <v>63</v>
      </c>
      <c r="J45" s="28" t="s">
        <v>63</v>
      </c>
      <c r="K45" s="26"/>
      <c r="L45" s="52">
        <v>125</v>
      </c>
      <c r="M45" s="25" t="str">
        <f>"77,6125"</f>
        <v>77,6125</v>
      </c>
      <c r="N45" s="16" t="s">
        <v>87</v>
      </c>
    </row>
    <row r="46" spans="1:14" ht="12.75">
      <c r="A46" s="25"/>
      <c r="B46" s="16" t="s">
        <v>632</v>
      </c>
      <c r="C46" s="16" t="s">
        <v>448</v>
      </c>
      <c r="D46" s="16" t="s">
        <v>449</v>
      </c>
      <c r="E46" s="16" t="str">
        <f>"0,6153"</f>
        <v>0,6153</v>
      </c>
      <c r="F46" s="16" t="s">
        <v>14</v>
      </c>
      <c r="G46" s="16" t="s">
        <v>28</v>
      </c>
      <c r="H46" s="29" t="s">
        <v>212</v>
      </c>
      <c r="I46" s="28" t="s">
        <v>22</v>
      </c>
      <c r="J46" s="28" t="s">
        <v>22</v>
      </c>
      <c r="K46" s="26"/>
      <c r="L46" s="52">
        <v>125</v>
      </c>
      <c r="M46" s="25" t="str">
        <f>"76,9125"</f>
        <v>76,9125</v>
      </c>
      <c r="N46" s="16" t="s">
        <v>38</v>
      </c>
    </row>
    <row r="47" spans="1:14" ht="12.75">
      <c r="A47" s="25"/>
      <c r="B47" s="16" t="s">
        <v>633</v>
      </c>
      <c r="C47" s="16" t="s">
        <v>450</v>
      </c>
      <c r="D47" s="16" t="s">
        <v>451</v>
      </c>
      <c r="E47" s="16" t="str">
        <f>"0,6184"</f>
        <v>0,6184</v>
      </c>
      <c r="F47" s="16" t="s">
        <v>14</v>
      </c>
      <c r="G47" s="16" t="s">
        <v>28</v>
      </c>
      <c r="H47" s="29" t="s">
        <v>33</v>
      </c>
      <c r="I47" s="29" t="s">
        <v>34</v>
      </c>
      <c r="J47" s="28" t="s">
        <v>177</v>
      </c>
      <c r="K47" s="26"/>
      <c r="L47" s="52">
        <v>120</v>
      </c>
      <c r="M47" s="25" t="str">
        <f>"74,2140"</f>
        <v>74,2140</v>
      </c>
      <c r="N47" s="16" t="s">
        <v>452</v>
      </c>
    </row>
    <row r="48" spans="1:14" ht="12.75">
      <c r="A48" s="25" t="s">
        <v>531</v>
      </c>
      <c r="B48" s="16" t="s">
        <v>634</v>
      </c>
      <c r="C48" s="16" t="s">
        <v>453</v>
      </c>
      <c r="D48" s="16" t="s">
        <v>454</v>
      </c>
      <c r="E48" s="16" t="str">
        <f>"0,6431"</f>
        <v>0,6431</v>
      </c>
      <c r="F48" s="16" t="s">
        <v>196</v>
      </c>
      <c r="G48" s="16" t="s">
        <v>28</v>
      </c>
      <c r="H48" s="29" t="s">
        <v>173</v>
      </c>
      <c r="I48" s="29" t="s">
        <v>154</v>
      </c>
      <c r="J48" s="28" t="s">
        <v>34</v>
      </c>
      <c r="K48" s="26"/>
      <c r="L48" s="52">
        <v>115</v>
      </c>
      <c r="M48" s="25" t="str">
        <f>"81,1303"</f>
        <v>81,1303</v>
      </c>
      <c r="N48" s="16" t="s">
        <v>197</v>
      </c>
    </row>
    <row r="50" spans="1:13" ht="15.75">
      <c r="A50" s="33"/>
      <c r="B50" s="88" t="s">
        <v>264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4" ht="12.75">
      <c r="A51" s="25" t="s">
        <v>531</v>
      </c>
      <c r="B51" s="16" t="s">
        <v>635</v>
      </c>
      <c r="C51" s="16" t="s">
        <v>456</v>
      </c>
      <c r="D51" s="16" t="s">
        <v>457</v>
      </c>
      <c r="E51" s="16" t="str">
        <f>"0,5840"</f>
        <v>0,5840</v>
      </c>
      <c r="F51" s="16" t="s">
        <v>196</v>
      </c>
      <c r="G51" s="16" t="s">
        <v>588</v>
      </c>
      <c r="H51" s="29" t="s">
        <v>30</v>
      </c>
      <c r="I51" s="29" t="s">
        <v>207</v>
      </c>
      <c r="J51" s="28" t="s">
        <v>62</v>
      </c>
      <c r="K51" s="26"/>
      <c r="L51" s="52">
        <v>155</v>
      </c>
      <c r="M51" s="25" t="str">
        <f>"90,5277"</f>
        <v>90,5277</v>
      </c>
      <c r="N51" s="16" t="s">
        <v>197</v>
      </c>
    </row>
    <row r="52" spans="1:14" ht="12.75">
      <c r="A52" s="25" t="s">
        <v>531</v>
      </c>
      <c r="B52" s="16" t="s">
        <v>636</v>
      </c>
      <c r="C52" s="16" t="s">
        <v>458</v>
      </c>
      <c r="D52" s="16" t="s">
        <v>459</v>
      </c>
      <c r="E52" s="16" t="str">
        <f>"0,5813"</f>
        <v>0,5813</v>
      </c>
      <c r="F52" s="16" t="s">
        <v>61</v>
      </c>
      <c r="G52" s="16" t="s">
        <v>573</v>
      </c>
      <c r="H52" s="29" t="s">
        <v>252</v>
      </c>
      <c r="I52" s="29" t="s">
        <v>31</v>
      </c>
      <c r="J52" s="28" t="s">
        <v>35</v>
      </c>
      <c r="K52" s="26"/>
      <c r="L52" s="52">
        <v>162.5</v>
      </c>
      <c r="M52" s="25" t="str">
        <f>"94,4613"</f>
        <v>94,4613</v>
      </c>
      <c r="N52" s="16" t="s">
        <v>639</v>
      </c>
    </row>
    <row r="54" spans="1:13" ht="15.75">
      <c r="A54" s="33"/>
      <c r="B54" s="88" t="s">
        <v>66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4" ht="12.75">
      <c r="A55" s="25" t="s">
        <v>531</v>
      </c>
      <c r="B55" s="16" t="s">
        <v>637</v>
      </c>
      <c r="C55" s="16" t="s">
        <v>460</v>
      </c>
      <c r="D55" s="16" t="s">
        <v>461</v>
      </c>
      <c r="E55" s="16" t="str">
        <f>"0,5746"</f>
        <v>0,5746</v>
      </c>
      <c r="F55" s="16" t="s">
        <v>196</v>
      </c>
      <c r="G55" s="16" t="s">
        <v>28</v>
      </c>
      <c r="H55" s="29" t="s">
        <v>64</v>
      </c>
      <c r="I55" s="29" t="s">
        <v>178</v>
      </c>
      <c r="J55" s="29" t="s">
        <v>62</v>
      </c>
      <c r="K55" s="26"/>
      <c r="L55" s="52">
        <v>160</v>
      </c>
      <c r="M55" s="25" t="str">
        <f>"92,8554"</f>
        <v>92,8554</v>
      </c>
      <c r="N55" s="16" t="s">
        <v>197</v>
      </c>
    </row>
    <row r="57" spans="2:3" ht="18">
      <c r="B57" s="18" t="s">
        <v>100</v>
      </c>
      <c r="C57" s="18"/>
    </row>
    <row r="58" spans="2:3" ht="12.75" customHeight="1">
      <c r="B58" s="18"/>
      <c r="C58" s="18"/>
    </row>
    <row r="59" spans="2:3" ht="15.75">
      <c r="B59" s="19" t="s">
        <v>535</v>
      </c>
      <c r="C59" s="19"/>
    </row>
    <row r="60" spans="2:3" ht="13.5">
      <c r="B60" s="21"/>
      <c r="C60" s="22" t="s">
        <v>155</v>
      </c>
    </row>
    <row r="61" spans="2:6" ht="13.5">
      <c r="B61" s="23" t="s">
        <v>102</v>
      </c>
      <c r="C61" s="23" t="s">
        <v>103</v>
      </c>
      <c r="D61" s="23" t="s">
        <v>104</v>
      </c>
      <c r="E61" s="23" t="s">
        <v>529</v>
      </c>
      <c r="F61" s="23" t="s">
        <v>106</v>
      </c>
    </row>
    <row r="62" spans="1:6" ht="12.75">
      <c r="A62" s="27" t="s">
        <v>531</v>
      </c>
      <c r="B62" s="20" t="s">
        <v>426</v>
      </c>
      <c r="C62" s="15" t="s">
        <v>534</v>
      </c>
      <c r="D62" s="15" t="s">
        <v>283</v>
      </c>
      <c r="E62" s="15" t="s">
        <v>206</v>
      </c>
      <c r="F62" s="24" t="s">
        <v>463</v>
      </c>
    </row>
    <row r="63" spans="1:6" ht="12.75">
      <c r="A63" s="27" t="s">
        <v>532</v>
      </c>
      <c r="B63" s="20" t="s">
        <v>402</v>
      </c>
      <c r="C63" s="15" t="s">
        <v>534</v>
      </c>
      <c r="D63" s="15" t="s">
        <v>114</v>
      </c>
      <c r="E63" s="15" t="s">
        <v>34</v>
      </c>
      <c r="F63" s="24" t="s">
        <v>462</v>
      </c>
    </row>
    <row r="64" spans="1:6" ht="12.75">
      <c r="A64" s="27" t="s">
        <v>533</v>
      </c>
      <c r="B64" s="20" t="s">
        <v>416</v>
      </c>
      <c r="C64" s="15" t="s">
        <v>534</v>
      </c>
      <c r="D64" s="15" t="s">
        <v>298</v>
      </c>
      <c r="E64" s="15" t="s">
        <v>192</v>
      </c>
      <c r="F64" s="24" t="s">
        <v>464</v>
      </c>
    </row>
    <row r="65" spans="2:6" ht="12.75">
      <c r="B65" s="20"/>
      <c r="F65" s="24"/>
    </row>
    <row r="66" ht="15.75">
      <c r="B66" s="19" t="s">
        <v>536</v>
      </c>
    </row>
    <row r="67" spans="2:3" ht="13.5">
      <c r="B67" s="21"/>
      <c r="C67" s="22"/>
    </row>
    <row r="68" spans="2:6" ht="13.5">
      <c r="B68" s="23" t="s">
        <v>102</v>
      </c>
      <c r="C68" s="23" t="s">
        <v>103</v>
      </c>
      <c r="D68" s="23" t="s">
        <v>104</v>
      </c>
      <c r="E68" s="23" t="s">
        <v>529</v>
      </c>
      <c r="F68" s="23" t="s">
        <v>106</v>
      </c>
    </row>
    <row r="69" spans="1:6" ht="12.75">
      <c r="A69" s="27" t="s">
        <v>531</v>
      </c>
      <c r="B69" s="20" t="s">
        <v>429</v>
      </c>
      <c r="C69" s="15" t="s">
        <v>109</v>
      </c>
      <c r="D69" s="15" t="s">
        <v>283</v>
      </c>
      <c r="E69" s="15" t="s">
        <v>62</v>
      </c>
      <c r="F69" s="24" t="s">
        <v>465</v>
      </c>
    </row>
    <row r="70" spans="1:6" ht="12.75">
      <c r="A70" s="27" t="s">
        <v>532</v>
      </c>
      <c r="B70" s="20" t="s">
        <v>455</v>
      </c>
      <c r="C70" s="15" t="s">
        <v>109</v>
      </c>
      <c r="D70" s="15" t="s">
        <v>288</v>
      </c>
      <c r="E70" s="15" t="s">
        <v>207</v>
      </c>
      <c r="F70" s="24" t="s">
        <v>466</v>
      </c>
    </row>
    <row r="71" spans="1:6" ht="12.75">
      <c r="A71" s="27" t="s">
        <v>533</v>
      </c>
      <c r="B71" s="20" t="s">
        <v>439</v>
      </c>
      <c r="C71" s="15" t="s">
        <v>109</v>
      </c>
      <c r="D71" s="15" t="s">
        <v>110</v>
      </c>
      <c r="E71" s="15" t="s">
        <v>29</v>
      </c>
      <c r="F71" s="24" t="s">
        <v>467</v>
      </c>
    </row>
    <row r="72" spans="2:6" ht="12.75">
      <c r="B72" s="20"/>
      <c r="F72" s="24"/>
    </row>
    <row r="73" ht="15.75">
      <c r="B73" s="19" t="s">
        <v>569</v>
      </c>
    </row>
    <row r="74" spans="2:3" ht="13.5">
      <c r="B74" s="21"/>
      <c r="C74" s="22"/>
    </row>
    <row r="75" spans="2:6" ht="13.5">
      <c r="B75" s="23" t="s">
        <v>102</v>
      </c>
      <c r="C75" s="23" t="s">
        <v>103</v>
      </c>
      <c r="D75" s="23" t="s">
        <v>104</v>
      </c>
      <c r="E75" s="23" t="s">
        <v>529</v>
      </c>
      <c r="F75" s="23" t="s">
        <v>106</v>
      </c>
    </row>
    <row r="76" spans="1:6" ht="12.75">
      <c r="A76" s="27" t="s">
        <v>531</v>
      </c>
      <c r="B76" s="20" t="s">
        <v>429</v>
      </c>
      <c r="C76" s="15" t="s">
        <v>115</v>
      </c>
      <c r="D76" s="15" t="s">
        <v>130</v>
      </c>
      <c r="E76" s="15" t="s">
        <v>62</v>
      </c>
      <c r="F76" s="24" t="s">
        <v>465</v>
      </c>
    </row>
    <row r="77" spans="1:6" ht="12.75">
      <c r="A77" s="27" t="s">
        <v>532</v>
      </c>
      <c r="B77" s="20" t="s">
        <v>419</v>
      </c>
      <c r="C77" s="15" t="s">
        <v>115</v>
      </c>
      <c r="D77" s="15" t="s">
        <v>817</v>
      </c>
      <c r="E77" s="15" t="s">
        <v>30</v>
      </c>
      <c r="F77" s="24" t="s">
        <v>468</v>
      </c>
    </row>
    <row r="78" spans="1:6" ht="12.75">
      <c r="A78" s="27" t="s">
        <v>533</v>
      </c>
      <c r="B78" s="20" t="s">
        <v>249</v>
      </c>
      <c r="C78" s="15" t="s">
        <v>115</v>
      </c>
      <c r="D78" s="15" t="s">
        <v>283</v>
      </c>
      <c r="E78" s="15" t="s">
        <v>252</v>
      </c>
      <c r="F78" s="24" t="s">
        <v>469</v>
      </c>
    </row>
  </sheetData>
  <sheetProtection/>
  <mergeCells count="20">
    <mergeCell ref="B20:M20"/>
    <mergeCell ref="B28:M28"/>
    <mergeCell ref="B40:M40"/>
    <mergeCell ref="B50:M50"/>
    <mergeCell ref="B54:M54"/>
    <mergeCell ref="A3:A4"/>
    <mergeCell ref="L3:L4"/>
    <mergeCell ref="M3:M4"/>
    <mergeCell ref="G3:G4"/>
    <mergeCell ref="H3:K3"/>
    <mergeCell ref="N3:N4"/>
    <mergeCell ref="B5:M5"/>
    <mergeCell ref="B10:M10"/>
    <mergeCell ref="B14:M14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3">
      <selection activeCell="J23" sqref="J23"/>
    </sheetView>
  </sheetViews>
  <sheetFormatPr defaultColWidth="8.75390625" defaultRowHeight="12.75"/>
  <cols>
    <col min="1" max="1" width="8.625" style="27" bestFit="1" customWidth="1"/>
    <col min="2" max="2" width="21.00390625" style="15" customWidth="1"/>
    <col min="3" max="3" width="25.75390625" style="15" customWidth="1"/>
    <col min="4" max="4" width="10.625" style="15" bestFit="1" customWidth="1"/>
    <col min="5" max="5" width="13.75390625" style="15" customWidth="1"/>
    <col min="6" max="6" width="17.625" style="15" customWidth="1"/>
    <col min="7" max="7" width="31.00390625" style="15" customWidth="1"/>
    <col min="8" max="10" width="5.625" style="27" bestFit="1" customWidth="1"/>
    <col min="11" max="11" width="5.125" style="27" bestFit="1" customWidth="1"/>
    <col min="12" max="12" width="11.625" style="27" customWidth="1"/>
    <col min="13" max="13" width="8.625" style="27" bestFit="1" customWidth="1"/>
    <col min="14" max="14" width="20.125" style="15" customWidth="1"/>
  </cols>
  <sheetData>
    <row r="1" spans="2:14" s="1" customFormat="1" ht="15" customHeight="1">
      <c r="B1" s="89" t="s">
        <v>589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2:14" s="1" customFormat="1" ht="80.25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4" customFormat="1" ht="12.75" customHeight="1">
      <c r="A3" s="99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542</v>
      </c>
      <c r="H3" s="102" t="s">
        <v>4</v>
      </c>
      <c r="I3" s="99"/>
      <c r="J3" s="99"/>
      <c r="K3" s="103"/>
      <c r="L3" s="100" t="s">
        <v>529</v>
      </c>
      <c r="M3" s="99" t="s">
        <v>8</v>
      </c>
      <c r="N3" s="103" t="s">
        <v>9</v>
      </c>
    </row>
    <row r="4" spans="1:14" s="4" customFormat="1" ht="23.25" customHeight="1" thickBot="1">
      <c r="A4" s="98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101"/>
      <c r="M4" s="98"/>
      <c r="N4" s="104"/>
    </row>
    <row r="5" spans="1:13" ht="15.75">
      <c r="A5"/>
      <c r="B5" s="107" t="s">
        <v>169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25" t="s">
        <v>531</v>
      </c>
      <c r="B6" s="16" t="s">
        <v>603</v>
      </c>
      <c r="C6" s="16" t="s">
        <v>347</v>
      </c>
      <c r="D6" s="16" t="s">
        <v>172</v>
      </c>
      <c r="E6" s="16" t="str">
        <f>"0,8942"</f>
        <v>0,8942</v>
      </c>
      <c r="F6" s="16" t="s">
        <v>78</v>
      </c>
      <c r="G6" s="16" t="s">
        <v>79</v>
      </c>
      <c r="H6" s="29" t="s">
        <v>126</v>
      </c>
      <c r="I6" s="28" t="s">
        <v>127</v>
      </c>
      <c r="J6" s="29" t="s">
        <v>16</v>
      </c>
      <c r="K6" s="26"/>
      <c r="L6" s="52">
        <v>80</v>
      </c>
      <c r="M6" s="25" t="str">
        <f>"71,5360"</f>
        <v>71,5360</v>
      </c>
      <c r="N6" s="16" t="s">
        <v>316</v>
      </c>
    </row>
    <row r="8" spans="1:13" ht="15.75">
      <c r="A8"/>
      <c r="B8" s="88" t="s">
        <v>11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4" ht="12.75">
      <c r="A9" s="25" t="s">
        <v>531</v>
      </c>
      <c r="B9" s="16" t="s">
        <v>349</v>
      </c>
      <c r="C9" s="16" t="s">
        <v>350</v>
      </c>
      <c r="D9" s="16" t="s">
        <v>351</v>
      </c>
      <c r="E9" s="16" t="str">
        <f>"0,8781"</f>
        <v>0,8781</v>
      </c>
      <c r="F9" s="16" t="s">
        <v>78</v>
      </c>
      <c r="G9" s="16" t="s">
        <v>79</v>
      </c>
      <c r="H9" s="29" t="s">
        <v>125</v>
      </c>
      <c r="I9" s="29" t="s">
        <v>159</v>
      </c>
      <c r="J9" s="29" t="s">
        <v>126</v>
      </c>
      <c r="K9" s="26"/>
      <c r="L9" s="52">
        <v>72.5</v>
      </c>
      <c r="M9" s="25" t="str">
        <f>"63,6586"</f>
        <v>63,6586</v>
      </c>
      <c r="N9" s="16" t="s">
        <v>316</v>
      </c>
    </row>
    <row r="11" spans="1:13" ht="15.75">
      <c r="A11"/>
      <c r="B11" s="88" t="s">
        <v>216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4" ht="12.75">
      <c r="A12" s="25" t="s">
        <v>531</v>
      </c>
      <c r="B12" s="16" t="s">
        <v>590</v>
      </c>
      <c r="C12" s="16" t="s">
        <v>352</v>
      </c>
      <c r="D12" s="16" t="s">
        <v>353</v>
      </c>
      <c r="E12" s="16" t="str">
        <f>"0,6885"</f>
        <v>0,6885</v>
      </c>
      <c r="F12" s="16" t="s">
        <v>354</v>
      </c>
      <c r="G12" s="16" t="s">
        <v>15</v>
      </c>
      <c r="H12" s="29" t="s">
        <v>64</v>
      </c>
      <c r="I12" s="28" t="s">
        <v>207</v>
      </c>
      <c r="J12" s="28" t="s">
        <v>207</v>
      </c>
      <c r="K12" s="26"/>
      <c r="L12" s="52">
        <v>145</v>
      </c>
      <c r="M12" s="25" t="str">
        <f>"99,8397"</f>
        <v>99,8397</v>
      </c>
      <c r="N12" s="16" t="s">
        <v>87</v>
      </c>
    </row>
    <row r="13" spans="1:14" ht="12.75">
      <c r="A13" s="25" t="s">
        <v>531</v>
      </c>
      <c r="B13" s="16" t="s">
        <v>591</v>
      </c>
      <c r="C13" s="16" t="s">
        <v>355</v>
      </c>
      <c r="D13" s="16" t="s">
        <v>356</v>
      </c>
      <c r="E13" s="16" t="str">
        <f>"0,7117"</f>
        <v>0,7117</v>
      </c>
      <c r="F13" s="16" t="s">
        <v>196</v>
      </c>
      <c r="G13" s="16" t="s">
        <v>15</v>
      </c>
      <c r="H13" s="29" t="s">
        <v>173</v>
      </c>
      <c r="I13" s="28" t="s">
        <v>154</v>
      </c>
      <c r="J13" s="28" t="s">
        <v>154</v>
      </c>
      <c r="K13" s="26"/>
      <c r="L13" s="52">
        <v>110</v>
      </c>
      <c r="M13" s="25" t="str">
        <f>"78,2870"</f>
        <v>78,2870</v>
      </c>
      <c r="N13" s="16" t="s">
        <v>197</v>
      </c>
    </row>
    <row r="15" spans="1:13" ht="15.75">
      <c r="A15"/>
      <c r="B15" s="88" t="s">
        <v>39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4" ht="12.75">
      <c r="A16" s="25" t="s">
        <v>531</v>
      </c>
      <c r="B16" s="16" t="s">
        <v>592</v>
      </c>
      <c r="C16" s="16" t="s">
        <v>360</v>
      </c>
      <c r="D16" s="16" t="s">
        <v>358</v>
      </c>
      <c r="E16" s="16" t="str">
        <f>"0,6201"</f>
        <v>0,6201</v>
      </c>
      <c r="F16" s="16" t="s">
        <v>78</v>
      </c>
      <c r="G16" s="16" t="s">
        <v>79</v>
      </c>
      <c r="H16" s="29" t="s">
        <v>213</v>
      </c>
      <c r="I16" s="29" t="s">
        <v>260</v>
      </c>
      <c r="J16" s="28" t="s">
        <v>234</v>
      </c>
      <c r="K16" s="26"/>
      <c r="L16" s="52">
        <v>220</v>
      </c>
      <c r="M16" s="25" t="str">
        <f>"136,4220"</f>
        <v>136,4220</v>
      </c>
      <c r="N16" s="16" t="s">
        <v>359</v>
      </c>
    </row>
    <row r="17" spans="1:14" ht="12.75">
      <c r="A17" s="25" t="s">
        <v>532</v>
      </c>
      <c r="B17" s="16" t="s">
        <v>546</v>
      </c>
      <c r="C17" s="16" t="s">
        <v>51</v>
      </c>
      <c r="D17" s="16" t="s">
        <v>42</v>
      </c>
      <c r="E17" s="16" t="str">
        <f>"0,6133"</f>
        <v>0,6133</v>
      </c>
      <c r="F17" s="16" t="s">
        <v>14</v>
      </c>
      <c r="G17" s="16" t="s">
        <v>28</v>
      </c>
      <c r="H17" s="44" t="s">
        <v>46</v>
      </c>
      <c r="I17" s="44" t="s">
        <v>47</v>
      </c>
      <c r="J17" s="44" t="s">
        <v>36</v>
      </c>
      <c r="K17" s="26"/>
      <c r="L17" s="52">
        <v>185</v>
      </c>
      <c r="M17" s="25" t="str">
        <f>"113,4697"</f>
        <v>113,4697</v>
      </c>
      <c r="N17" s="16" t="s">
        <v>38</v>
      </c>
    </row>
    <row r="18" spans="1:14" ht="12.75">
      <c r="A18" s="25" t="s">
        <v>533</v>
      </c>
      <c r="B18" s="16" t="s">
        <v>593</v>
      </c>
      <c r="C18" s="16" t="s">
        <v>361</v>
      </c>
      <c r="D18" s="16" t="s">
        <v>362</v>
      </c>
      <c r="E18" s="16" t="str">
        <f>"0,6213"</f>
        <v>0,6213</v>
      </c>
      <c r="F18" s="16" t="s">
        <v>61</v>
      </c>
      <c r="G18" s="16" t="s">
        <v>28</v>
      </c>
      <c r="H18" s="28" t="s">
        <v>219</v>
      </c>
      <c r="I18" s="28" t="s">
        <v>178</v>
      </c>
      <c r="J18" s="29" t="s">
        <v>178</v>
      </c>
      <c r="K18" s="26"/>
      <c r="L18" s="52">
        <v>152.5</v>
      </c>
      <c r="M18" s="25" t="str">
        <f>"94,7559"</f>
        <v>94,7559</v>
      </c>
      <c r="N18" s="16" t="s">
        <v>577</v>
      </c>
    </row>
    <row r="19" spans="1:14" ht="12.75">
      <c r="A19" s="25"/>
      <c r="B19" s="16" t="s">
        <v>594</v>
      </c>
      <c r="C19" s="16" t="s">
        <v>364</v>
      </c>
      <c r="D19" s="16" t="s">
        <v>365</v>
      </c>
      <c r="E19" s="16" t="str">
        <f>"0,6326"</f>
        <v>0,6326</v>
      </c>
      <c r="F19" s="16" t="s">
        <v>61</v>
      </c>
      <c r="G19" s="16" t="s">
        <v>712</v>
      </c>
      <c r="H19" s="29" t="s">
        <v>206</v>
      </c>
      <c r="I19" s="28" t="s">
        <v>30</v>
      </c>
      <c r="J19" s="28" t="s">
        <v>58</v>
      </c>
      <c r="K19" s="26"/>
      <c r="L19" s="52">
        <v>140</v>
      </c>
      <c r="M19" s="25" t="str">
        <f>"88,5640"</f>
        <v>88,5640</v>
      </c>
      <c r="N19" s="16" t="s">
        <v>87</v>
      </c>
    </row>
    <row r="20" spans="1:14" ht="12.75">
      <c r="A20" s="25" t="s">
        <v>531</v>
      </c>
      <c r="B20" s="16" t="s">
        <v>363</v>
      </c>
      <c r="C20" s="16" t="s">
        <v>367</v>
      </c>
      <c r="D20" s="16" t="s">
        <v>365</v>
      </c>
      <c r="E20" s="16" t="str">
        <f>"0,6326"</f>
        <v>0,6326</v>
      </c>
      <c r="F20" s="16" t="s">
        <v>61</v>
      </c>
      <c r="G20" s="16" t="s">
        <v>712</v>
      </c>
      <c r="H20" s="29" t="s">
        <v>206</v>
      </c>
      <c r="I20" s="28" t="s">
        <v>30</v>
      </c>
      <c r="J20" s="28" t="s">
        <v>58</v>
      </c>
      <c r="K20" s="26"/>
      <c r="L20" s="52">
        <v>140</v>
      </c>
      <c r="M20" s="25" t="str">
        <f>"91,3095"</f>
        <v>91,3095</v>
      </c>
      <c r="N20" s="16" t="s">
        <v>87</v>
      </c>
    </row>
    <row r="22" spans="1:13" ht="15.75">
      <c r="A22"/>
      <c r="B22" s="88" t="s">
        <v>264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4" ht="12.75">
      <c r="A23" s="25"/>
      <c r="B23" s="16" t="s">
        <v>368</v>
      </c>
      <c r="C23" s="16" t="s">
        <v>369</v>
      </c>
      <c r="D23" s="16" t="s">
        <v>370</v>
      </c>
      <c r="E23" s="16" t="str">
        <f>"0,5838"</f>
        <v>0,5838</v>
      </c>
      <c r="F23" s="16" t="s">
        <v>205</v>
      </c>
      <c r="G23" s="16" t="s">
        <v>28</v>
      </c>
      <c r="H23" s="28" t="s">
        <v>213</v>
      </c>
      <c r="I23" s="28" t="s">
        <v>213</v>
      </c>
      <c r="J23" s="28" t="s">
        <v>213</v>
      </c>
      <c r="K23" s="26"/>
      <c r="L23" s="52">
        <v>0</v>
      </c>
      <c r="M23" s="25" t="str">
        <f>"0,0000"</f>
        <v>0,0000</v>
      </c>
      <c r="N23" s="16" t="s">
        <v>371</v>
      </c>
    </row>
    <row r="24" spans="1:14" ht="12.75">
      <c r="A24" s="25" t="s">
        <v>531</v>
      </c>
      <c r="B24" s="16" t="s">
        <v>595</v>
      </c>
      <c r="C24" s="16" t="s">
        <v>373</v>
      </c>
      <c r="D24" s="16" t="s">
        <v>374</v>
      </c>
      <c r="E24" s="16" t="str">
        <f>"0,5870"</f>
        <v>0,5870</v>
      </c>
      <c r="F24" s="16" t="s">
        <v>78</v>
      </c>
      <c r="G24" s="16" t="s">
        <v>79</v>
      </c>
      <c r="H24" s="29" t="s">
        <v>47</v>
      </c>
      <c r="I24" s="29" t="s">
        <v>98</v>
      </c>
      <c r="J24" s="29" t="s">
        <v>83</v>
      </c>
      <c r="K24" s="26"/>
      <c r="L24" s="52">
        <v>195</v>
      </c>
      <c r="M24" s="25" t="str">
        <f>"114,4553"</f>
        <v>114,4553</v>
      </c>
      <c r="N24" s="16" t="s">
        <v>316</v>
      </c>
    </row>
    <row r="25" spans="1:14" ht="12.75">
      <c r="A25" s="25" t="s">
        <v>532</v>
      </c>
      <c r="B25" s="16" t="s">
        <v>596</v>
      </c>
      <c r="C25" s="16" t="s">
        <v>375</v>
      </c>
      <c r="D25" s="16" t="s">
        <v>376</v>
      </c>
      <c r="E25" s="16" t="str">
        <f>"0,5894"</f>
        <v>0,5894</v>
      </c>
      <c r="F25" s="16" t="s">
        <v>61</v>
      </c>
      <c r="G25" s="16" t="s">
        <v>28</v>
      </c>
      <c r="H25" s="28" t="s">
        <v>96</v>
      </c>
      <c r="I25" s="29" t="s">
        <v>47</v>
      </c>
      <c r="J25" s="29" t="s">
        <v>98</v>
      </c>
      <c r="K25" s="26"/>
      <c r="L25" s="52">
        <v>190</v>
      </c>
      <c r="M25" s="25" t="str">
        <f>"111,9860"</f>
        <v>111,9860</v>
      </c>
      <c r="N25" s="16" t="s">
        <v>377</v>
      </c>
    </row>
    <row r="26" spans="1:14" ht="12.75">
      <c r="A26" s="25" t="s">
        <v>531</v>
      </c>
      <c r="B26" s="16" t="s">
        <v>597</v>
      </c>
      <c r="C26" s="16" t="s">
        <v>378</v>
      </c>
      <c r="D26" s="16" t="s">
        <v>379</v>
      </c>
      <c r="E26" s="16" t="str">
        <f>"0,5859"</f>
        <v>0,5859</v>
      </c>
      <c r="F26" s="16" t="s">
        <v>78</v>
      </c>
      <c r="G26" s="16" t="s">
        <v>79</v>
      </c>
      <c r="H26" s="29" t="s">
        <v>64</v>
      </c>
      <c r="I26" s="28" t="s">
        <v>30</v>
      </c>
      <c r="J26" s="28" t="s">
        <v>30</v>
      </c>
      <c r="K26" s="26"/>
      <c r="L26" s="52">
        <v>145</v>
      </c>
      <c r="M26" s="25" t="str">
        <f>"87,5816"</f>
        <v>87,5816</v>
      </c>
      <c r="N26" s="16" t="s">
        <v>316</v>
      </c>
    </row>
    <row r="28" spans="1:13" ht="15.75">
      <c r="A28"/>
      <c r="B28" s="88" t="s">
        <v>66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4" ht="12.75">
      <c r="A29" s="25" t="s">
        <v>531</v>
      </c>
      <c r="B29" s="16" t="s">
        <v>598</v>
      </c>
      <c r="C29" s="16" t="s">
        <v>380</v>
      </c>
      <c r="D29" s="16" t="s">
        <v>381</v>
      </c>
      <c r="E29" s="16" t="str">
        <f>"0,5640"</f>
        <v>0,5640</v>
      </c>
      <c r="F29" s="16" t="s">
        <v>321</v>
      </c>
      <c r="G29" s="16" t="s">
        <v>322</v>
      </c>
      <c r="H29" s="29" t="s">
        <v>83</v>
      </c>
      <c r="I29" s="29" t="s">
        <v>211</v>
      </c>
      <c r="J29" s="28" t="s">
        <v>55</v>
      </c>
      <c r="K29" s="26"/>
      <c r="L29" s="52">
        <v>205</v>
      </c>
      <c r="M29" s="25" t="str">
        <f>"115,6098"</f>
        <v>115,6098</v>
      </c>
      <c r="N29" s="16" t="s">
        <v>87</v>
      </c>
    </row>
    <row r="30" spans="1:14" ht="12.75">
      <c r="A30" s="25" t="s">
        <v>531</v>
      </c>
      <c r="B30" s="16" t="s">
        <v>599</v>
      </c>
      <c r="C30" s="16" t="s">
        <v>383</v>
      </c>
      <c r="D30" s="16" t="s">
        <v>384</v>
      </c>
      <c r="E30" s="16" t="str">
        <f>"0,5674"</f>
        <v>0,5674</v>
      </c>
      <c r="F30" s="16" t="s">
        <v>61</v>
      </c>
      <c r="G30" s="16" t="s">
        <v>366</v>
      </c>
      <c r="H30" s="29" t="s">
        <v>213</v>
      </c>
      <c r="I30" s="29" t="s">
        <v>248</v>
      </c>
      <c r="J30" s="29" t="s">
        <v>237</v>
      </c>
      <c r="K30" s="26"/>
      <c r="L30" s="52">
        <v>222.5</v>
      </c>
      <c r="M30" s="25" t="str">
        <f>"126,2576"</f>
        <v>126,2576</v>
      </c>
      <c r="N30" s="16" t="s">
        <v>87</v>
      </c>
    </row>
    <row r="31" spans="1:14" ht="12.75">
      <c r="A31" s="25" t="s">
        <v>532</v>
      </c>
      <c r="B31" s="16" t="s">
        <v>600</v>
      </c>
      <c r="C31" s="16" t="s">
        <v>385</v>
      </c>
      <c r="D31" s="16" t="s">
        <v>386</v>
      </c>
      <c r="E31" s="16" t="str">
        <f>"0,5734"</f>
        <v>0,5734</v>
      </c>
      <c r="F31" s="16" t="s">
        <v>14</v>
      </c>
      <c r="G31" s="16" t="s">
        <v>28</v>
      </c>
      <c r="H31" s="29" t="s">
        <v>56</v>
      </c>
      <c r="I31" s="29" t="s">
        <v>96</v>
      </c>
      <c r="J31" s="28" t="s">
        <v>37</v>
      </c>
      <c r="K31" s="26"/>
      <c r="L31" s="52">
        <v>175</v>
      </c>
      <c r="M31" s="25" t="str">
        <f>"100,3363"</f>
        <v>100,3363</v>
      </c>
      <c r="N31" s="16" t="s">
        <v>387</v>
      </c>
    </row>
    <row r="32" spans="1:14" ht="12.75">
      <c r="A32" s="25" t="s">
        <v>531</v>
      </c>
      <c r="B32" s="16" t="s">
        <v>601</v>
      </c>
      <c r="C32" s="16" t="s">
        <v>388</v>
      </c>
      <c r="D32" s="16" t="s">
        <v>389</v>
      </c>
      <c r="E32" s="16" t="str">
        <f>"0,5759"</f>
        <v>0,5759</v>
      </c>
      <c r="F32" s="16" t="s">
        <v>61</v>
      </c>
      <c r="G32" s="16" t="s">
        <v>79</v>
      </c>
      <c r="H32" s="29" t="s">
        <v>54</v>
      </c>
      <c r="I32" s="29" t="s">
        <v>308</v>
      </c>
      <c r="J32" s="29" t="s">
        <v>248</v>
      </c>
      <c r="K32" s="26"/>
      <c r="L32" s="52">
        <v>217.5</v>
      </c>
      <c r="M32" s="25" t="str">
        <f>"129,1300"</f>
        <v>129,1300</v>
      </c>
      <c r="N32" s="16" t="s">
        <v>87</v>
      </c>
    </row>
    <row r="34" spans="1:13" ht="15.75">
      <c r="A34"/>
      <c r="B34" s="88" t="s">
        <v>89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4" ht="12.75">
      <c r="A35" s="25" t="s">
        <v>531</v>
      </c>
      <c r="B35" s="16" t="s">
        <v>602</v>
      </c>
      <c r="C35" s="16" t="s">
        <v>390</v>
      </c>
      <c r="D35" s="16" t="s">
        <v>391</v>
      </c>
      <c r="E35" s="16" t="str">
        <f>"0,5552"</f>
        <v>0,5552</v>
      </c>
      <c r="F35" s="16" t="s">
        <v>61</v>
      </c>
      <c r="G35" s="16" t="s">
        <v>322</v>
      </c>
      <c r="H35" s="29" t="s">
        <v>36</v>
      </c>
      <c r="I35" s="29" t="s">
        <v>83</v>
      </c>
      <c r="J35" s="28" t="s">
        <v>392</v>
      </c>
      <c r="K35" s="26"/>
      <c r="L35" s="52">
        <v>195</v>
      </c>
      <c r="M35" s="25" t="str">
        <f>"108,2737"</f>
        <v>108,2737</v>
      </c>
      <c r="N35" s="16" t="s">
        <v>475</v>
      </c>
    </row>
    <row r="37" spans="2:3" ht="18">
      <c r="B37" s="18" t="s">
        <v>100</v>
      </c>
      <c r="C37" s="18"/>
    </row>
    <row r="38" spans="2:3" ht="15" customHeight="1">
      <c r="B38" s="18"/>
      <c r="C38" s="18"/>
    </row>
    <row r="39" spans="2:3" ht="15.75">
      <c r="B39" s="19" t="s">
        <v>101</v>
      </c>
      <c r="C39" s="19"/>
    </row>
    <row r="40" spans="2:3" ht="13.5">
      <c r="B40" s="21"/>
      <c r="C40" s="22" t="s">
        <v>638</v>
      </c>
    </row>
    <row r="41" spans="2:6" ht="13.5">
      <c r="B41" s="23" t="s">
        <v>102</v>
      </c>
      <c r="C41" s="23" t="s">
        <v>103</v>
      </c>
      <c r="D41" s="23" t="s">
        <v>104</v>
      </c>
      <c r="E41" s="23" t="s">
        <v>529</v>
      </c>
      <c r="F41" s="23" t="s">
        <v>106</v>
      </c>
    </row>
    <row r="42" spans="1:6" ht="12.75">
      <c r="A42" s="27" t="s">
        <v>531</v>
      </c>
      <c r="B42" s="20" t="s">
        <v>357</v>
      </c>
      <c r="C42" s="15" t="s">
        <v>115</v>
      </c>
      <c r="D42" s="15" t="s">
        <v>110</v>
      </c>
      <c r="E42" s="15" t="s">
        <v>260</v>
      </c>
      <c r="F42" s="24" t="s">
        <v>393</v>
      </c>
    </row>
    <row r="43" spans="1:6" ht="12.75">
      <c r="A43" s="27" t="s">
        <v>532</v>
      </c>
      <c r="B43" s="20" t="s">
        <v>382</v>
      </c>
      <c r="C43" s="15" t="s">
        <v>115</v>
      </c>
      <c r="D43" s="15" t="s">
        <v>113</v>
      </c>
      <c r="E43" s="15" t="s">
        <v>237</v>
      </c>
      <c r="F43" s="24" t="s">
        <v>394</v>
      </c>
    </row>
    <row r="44" spans="1:6" ht="12.75">
      <c r="A44" s="27" t="s">
        <v>533</v>
      </c>
      <c r="B44" s="20" t="s">
        <v>372</v>
      </c>
      <c r="C44" s="15" t="s">
        <v>115</v>
      </c>
      <c r="D44" s="15" t="s">
        <v>288</v>
      </c>
      <c r="E44" s="15" t="s">
        <v>83</v>
      </c>
      <c r="F44" s="24" t="s">
        <v>395</v>
      </c>
    </row>
  </sheetData>
  <sheetProtection/>
  <mergeCells count="19">
    <mergeCell ref="B15:M15"/>
    <mergeCell ref="B22:M22"/>
    <mergeCell ref="B28:M28"/>
    <mergeCell ref="B34:M34"/>
    <mergeCell ref="A3:A4"/>
    <mergeCell ref="L3:L4"/>
    <mergeCell ref="M3:M4"/>
    <mergeCell ref="G3:G4"/>
    <mergeCell ref="H3:K3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5" sqref="A5:M5"/>
    </sheetView>
  </sheetViews>
  <sheetFormatPr defaultColWidth="8.75390625" defaultRowHeight="12.75"/>
  <cols>
    <col min="1" max="1" width="8.625" style="27" bestFit="1" customWidth="1"/>
    <col min="2" max="2" width="23.375" style="15" customWidth="1"/>
    <col min="3" max="4" width="27.375" style="15" customWidth="1"/>
    <col min="5" max="5" width="8.375" style="15" bestFit="1" customWidth="1"/>
    <col min="6" max="6" width="17.125" style="15" customWidth="1"/>
    <col min="7" max="7" width="32.375" style="15" customWidth="1"/>
    <col min="8" max="10" width="5.625" style="27" bestFit="1" customWidth="1"/>
    <col min="11" max="11" width="5.125" style="27" bestFit="1" customWidth="1"/>
    <col min="12" max="12" width="11.875" style="27" customWidth="1"/>
    <col min="13" max="13" width="8.625" style="27" bestFit="1" customWidth="1"/>
    <col min="14" max="14" width="15.375" style="15" bestFit="1" customWidth="1"/>
  </cols>
  <sheetData>
    <row r="1" spans="1:14" s="1" customFormat="1" ht="15" customHeight="1">
      <c r="A1" s="89" t="s">
        <v>654</v>
      </c>
      <c r="B1" s="133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s="1" customFormat="1" ht="105" customHeight="1" thickBot="1">
      <c r="A2" s="92"/>
      <c r="B2" s="13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4" customFormat="1" ht="27" customHeight="1">
      <c r="A3" s="99" t="s">
        <v>530</v>
      </c>
      <c r="B3" s="95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3</v>
      </c>
      <c r="I3" s="99"/>
      <c r="J3" s="99"/>
      <c r="K3" s="103"/>
      <c r="L3" s="100" t="s">
        <v>529</v>
      </c>
      <c r="M3" s="99" t="s">
        <v>8</v>
      </c>
      <c r="N3" s="103" t="s">
        <v>9</v>
      </c>
    </row>
    <row r="4" spans="1:14" s="4" customFormat="1" ht="12.75" customHeight="1" thickBot="1">
      <c r="A4" s="98"/>
      <c r="B4" s="96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101"/>
      <c r="M4" s="98"/>
      <c r="N4" s="104"/>
    </row>
    <row r="5" spans="1:13" ht="15.75">
      <c r="A5" s="107" t="s">
        <v>39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25" t="s">
        <v>531</v>
      </c>
      <c r="B6" s="16" t="s">
        <v>815</v>
      </c>
      <c r="C6" s="16" t="s">
        <v>527</v>
      </c>
      <c r="D6" s="16" t="s">
        <v>528</v>
      </c>
      <c r="E6" s="16" t="str">
        <f>"0,6238"</f>
        <v>0,6238</v>
      </c>
      <c r="F6" s="16" t="s">
        <v>61</v>
      </c>
      <c r="G6" s="16" t="s">
        <v>28</v>
      </c>
      <c r="H6" s="29" t="s">
        <v>37</v>
      </c>
      <c r="I6" s="28" t="s">
        <v>392</v>
      </c>
      <c r="J6" s="28" t="s">
        <v>392</v>
      </c>
      <c r="K6" s="26"/>
      <c r="L6" s="52">
        <v>192.5</v>
      </c>
      <c r="M6" s="25" t="str">
        <f>"120,0911"</f>
        <v>120,0911</v>
      </c>
      <c r="N6" s="16" t="s">
        <v>87</v>
      </c>
    </row>
  </sheetData>
  <sheetProtection/>
  <mergeCells count="13">
    <mergeCell ref="F3:F4"/>
    <mergeCell ref="G3:G4"/>
    <mergeCell ref="H3:K3"/>
    <mergeCell ref="L3:L4"/>
    <mergeCell ref="M3:M4"/>
    <mergeCell ref="B3:B4"/>
    <mergeCell ref="N3:N4"/>
    <mergeCell ref="A5:M5"/>
    <mergeCell ref="A1:N2"/>
    <mergeCell ref="A3:A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D26" sqref="D26"/>
    </sheetView>
  </sheetViews>
  <sheetFormatPr defaultColWidth="8.75390625" defaultRowHeight="12.75"/>
  <cols>
    <col min="1" max="1" width="6.875" style="27" customWidth="1"/>
    <col min="2" max="2" width="23.375" style="15" customWidth="1"/>
    <col min="3" max="3" width="28.00390625" style="15" customWidth="1"/>
    <col min="4" max="4" width="10.625" style="15" bestFit="1" customWidth="1"/>
    <col min="5" max="5" width="8.375" style="15" bestFit="1" customWidth="1"/>
    <col min="6" max="6" width="17.875" style="15" customWidth="1"/>
    <col min="7" max="7" width="34.625" style="15" bestFit="1" customWidth="1"/>
    <col min="8" max="10" width="5.625" style="27" bestFit="1" customWidth="1"/>
    <col min="11" max="11" width="5.125" style="27" bestFit="1" customWidth="1"/>
    <col min="12" max="12" width="12.25390625" style="27" customWidth="1"/>
    <col min="13" max="13" width="8.625" style="27" bestFit="1" customWidth="1"/>
    <col min="14" max="14" width="17.00390625" style="15" bestFit="1" customWidth="1"/>
  </cols>
  <sheetData>
    <row r="1" spans="2:14" s="1" customFormat="1" ht="15" customHeight="1">
      <c r="B1" s="89" t="s">
        <v>652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2:14" s="1" customFormat="1" ht="74.25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4" customFormat="1" ht="12.75" customHeight="1">
      <c r="A3" s="99" t="s">
        <v>530</v>
      </c>
      <c r="B3" s="95" t="s">
        <v>0</v>
      </c>
      <c r="C3" s="97" t="s">
        <v>653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3</v>
      </c>
      <c r="I3" s="99"/>
      <c r="J3" s="99"/>
      <c r="K3" s="103"/>
      <c r="L3" s="100" t="s">
        <v>529</v>
      </c>
      <c r="M3" s="99" t="s">
        <v>8</v>
      </c>
      <c r="N3" s="103" t="s">
        <v>9</v>
      </c>
    </row>
    <row r="4" spans="1:14" s="4" customFormat="1" ht="23.25" customHeight="1" thickBot="1">
      <c r="A4" s="98"/>
      <c r="B4" s="96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101"/>
      <c r="M4" s="98"/>
      <c r="N4" s="104"/>
    </row>
    <row r="5" spans="1:13" ht="15.75">
      <c r="A5"/>
      <c r="B5" s="107" t="s">
        <v>25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25" t="s">
        <v>531</v>
      </c>
      <c r="B6" s="16" t="s">
        <v>580</v>
      </c>
      <c r="C6" s="16" t="s">
        <v>299</v>
      </c>
      <c r="D6" s="16" t="s">
        <v>300</v>
      </c>
      <c r="E6" s="16" t="str">
        <f>"0,9113"</f>
        <v>0,9113</v>
      </c>
      <c r="F6" s="16" t="s">
        <v>244</v>
      </c>
      <c r="G6" s="16" t="s">
        <v>28</v>
      </c>
      <c r="H6" s="29" t="s">
        <v>47</v>
      </c>
      <c r="I6" s="29" t="s">
        <v>98</v>
      </c>
      <c r="J6" s="28" t="s">
        <v>54</v>
      </c>
      <c r="K6" s="26"/>
      <c r="L6" s="25">
        <v>190</v>
      </c>
      <c r="M6" s="25" t="str">
        <f>"173,1470"</f>
        <v>173,1470</v>
      </c>
      <c r="N6" s="16" t="s">
        <v>139</v>
      </c>
    </row>
  </sheetData>
  <sheetProtection/>
  <mergeCells count="13"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16" sqref="F16"/>
    </sheetView>
  </sheetViews>
  <sheetFormatPr defaultColWidth="8.75390625" defaultRowHeight="12.75"/>
  <cols>
    <col min="1" max="1" width="8.625" style="27" bestFit="1" customWidth="1"/>
    <col min="2" max="2" width="22.375" style="15" customWidth="1"/>
    <col min="3" max="3" width="26.00390625" style="15" bestFit="1" customWidth="1"/>
    <col min="4" max="4" width="10.625" style="15" bestFit="1" customWidth="1"/>
    <col min="5" max="5" width="8.375" style="15" bestFit="1" customWidth="1"/>
    <col min="6" max="6" width="21.00390625" style="15" customWidth="1"/>
    <col min="7" max="7" width="29.75390625" style="15" customWidth="1"/>
    <col min="8" max="11" width="6.125" style="27" customWidth="1"/>
    <col min="12" max="12" width="11.00390625" style="27" customWidth="1"/>
    <col min="13" max="13" width="8.625" style="27" bestFit="1" customWidth="1"/>
    <col min="14" max="14" width="21.625" style="15" bestFit="1" customWidth="1"/>
  </cols>
  <sheetData>
    <row r="1" spans="2:14" s="1" customFormat="1" ht="15" customHeight="1">
      <c r="B1" s="89" t="s">
        <v>651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2:14" s="1" customFormat="1" ht="88.5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4" customFormat="1" ht="12.75" customHeight="1">
      <c r="A3" s="99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3</v>
      </c>
      <c r="I3" s="99"/>
      <c r="J3" s="99"/>
      <c r="K3" s="103"/>
      <c r="L3" s="100" t="s">
        <v>529</v>
      </c>
      <c r="M3" s="99" t="s">
        <v>8</v>
      </c>
      <c r="N3" s="103" t="s">
        <v>9</v>
      </c>
    </row>
    <row r="4" spans="1:14" s="4" customFormat="1" ht="23.25" customHeight="1" thickBot="1">
      <c r="A4" s="98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101"/>
      <c r="M4" s="98"/>
      <c r="N4" s="104"/>
    </row>
    <row r="5" spans="1:13" ht="15.75">
      <c r="A5"/>
      <c r="B5" s="107" t="s">
        <v>66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25" t="s">
        <v>531</v>
      </c>
      <c r="B6" s="16" t="s">
        <v>548</v>
      </c>
      <c r="C6" s="16" t="s">
        <v>68</v>
      </c>
      <c r="D6" s="16" t="s">
        <v>69</v>
      </c>
      <c r="E6" s="16" t="str">
        <f>"0,5642"</f>
        <v>0,5642</v>
      </c>
      <c r="F6" s="16" t="s">
        <v>14</v>
      </c>
      <c r="G6" s="16" t="s">
        <v>28</v>
      </c>
      <c r="H6" s="29" t="s">
        <v>55</v>
      </c>
      <c r="I6" s="29" t="s">
        <v>70</v>
      </c>
      <c r="J6" s="26"/>
      <c r="K6" s="26"/>
      <c r="L6" s="52">
        <v>225</v>
      </c>
      <c r="M6" s="25" t="str">
        <f>"126,9562"</f>
        <v>126,9562</v>
      </c>
      <c r="N6" s="16" t="s">
        <v>38</v>
      </c>
    </row>
  </sheetData>
  <sheetProtection/>
  <mergeCells count="13"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D1">
      <selection activeCell="F19" sqref="F19"/>
    </sheetView>
  </sheetViews>
  <sheetFormatPr defaultColWidth="8.75390625" defaultRowHeight="12.75"/>
  <cols>
    <col min="1" max="1" width="7.875" style="27" bestFit="1" customWidth="1"/>
    <col min="2" max="2" width="22.125" style="15" customWidth="1"/>
    <col min="3" max="3" width="25.625" style="15" customWidth="1"/>
    <col min="4" max="4" width="11.25390625" style="15" customWidth="1"/>
    <col min="5" max="5" width="8.375" style="15" bestFit="1" customWidth="1"/>
    <col min="6" max="6" width="18.00390625" style="15" customWidth="1"/>
    <col min="7" max="7" width="31.75390625" style="15" bestFit="1" customWidth="1"/>
    <col min="8" max="10" width="5.625" style="27" bestFit="1" customWidth="1"/>
    <col min="11" max="11" width="5.125" style="27" bestFit="1" customWidth="1"/>
    <col min="12" max="14" width="5.625" style="27" bestFit="1" customWidth="1"/>
    <col min="15" max="15" width="5.125" style="27" bestFit="1" customWidth="1"/>
    <col min="16" max="18" width="5.625" style="27" bestFit="1" customWidth="1"/>
    <col min="19" max="19" width="5.125" style="27" bestFit="1" customWidth="1"/>
    <col min="20" max="20" width="7.875" style="27" bestFit="1" customWidth="1"/>
    <col min="21" max="21" width="8.625" style="27" bestFit="1" customWidth="1"/>
    <col min="22" max="22" width="17.00390625" style="15" bestFit="1" customWidth="1"/>
  </cols>
  <sheetData>
    <row r="1" spans="2:22" s="1" customFormat="1" ht="42" customHeight="1">
      <c r="B1" s="89" t="s">
        <v>585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/>
    </row>
    <row r="2" spans="2:22" s="1" customFormat="1" ht="82.5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s="4" customFormat="1" ht="12.75" customHeight="1">
      <c r="A3" s="100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3</v>
      </c>
      <c r="I3" s="99"/>
      <c r="J3" s="99"/>
      <c r="K3" s="103"/>
      <c r="L3" s="102" t="s">
        <v>4</v>
      </c>
      <c r="M3" s="99"/>
      <c r="N3" s="99"/>
      <c r="O3" s="103"/>
      <c r="P3" s="102" t="s">
        <v>5</v>
      </c>
      <c r="Q3" s="99"/>
      <c r="R3" s="99"/>
      <c r="S3" s="103"/>
      <c r="T3" s="100" t="s">
        <v>7</v>
      </c>
      <c r="U3" s="99" t="s">
        <v>8</v>
      </c>
      <c r="V3" s="103" t="s">
        <v>9</v>
      </c>
    </row>
    <row r="4" spans="1:22" s="4" customFormat="1" ht="23.25" customHeight="1" thickBot="1">
      <c r="A4" s="101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6">
        <v>1</v>
      </c>
      <c r="M4" s="7">
        <v>2</v>
      </c>
      <c r="N4" s="7">
        <v>3</v>
      </c>
      <c r="O4" s="8" t="s">
        <v>6</v>
      </c>
      <c r="P4" s="6">
        <v>1</v>
      </c>
      <c r="Q4" s="7">
        <v>2</v>
      </c>
      <c r="R4" s="7">
        <v>3</v>
      </c>
      <c r="S4" s="8" t="s">
        <v>6</v>
      </c>
      <c r="T4" s="101"/>
      <c r="U4" s="98"/>
      <c r="V4" s="104"/>
    </row>
    <row r="5" spans="1:21" ht="15.75">
      <c r="A5"/>
      <c r="B5" s="107" t="s">
        <v>337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2" ht="12.75">
      <c r="A6" s="25" t="s">
        <v>531</v>
      </c>
      <c r="B6" s="16" t="s">
        <v>586</v>
      </c>
      <c r="C6" s="16" t="s">
        <v>338</v>
      </c>
      <c r="D6" s="16" t="s">
        <v>339</v>
      </c>
      <c r="E6" s="16" t="str">
        <f>"1,2621"</f>
        <v>1,2621</v>
      </c>
      <c r="F6" s="16" t="s">
        <v>244</v>
      </c>
      <c r="G6" s="16" t="s">
        <v>588</v>
      </c>
      <c r="H6" s="29" t="s">
        <v>34</v>
      </c>
      <c r="I6" s="29" t="s">
        <v>29</v>
      </c>
      <c r="J6" s="28" t="s">
        <v>23</v>
      </c>
      <c r="K6" s="26"/>
      <c r="L6" s="29" t="s">
        <v>145</v>
      </c>
      <c r="M6" s="28" t="s">
        <v>340</v>
      </c>
      <c r="N6" s="29" t="s">
        <v>340</v>
      </c>
      <c r="O6" s="28" t="s">
        <v>159</v>
      </c>
      <c r="P6" s="29" t="s">
        <v>34</v>
      </c>
      <c r="Q6" s="28" t="s">
        <v>29</v>
      </c>
      <c r="R6" s="28" t="s">
        <v>29</v>
      </c>
      <c r="S6" s="26"/>
      <c r="T6" s="25">
        <v>322.5</v>
      </c>
      <c r="U6" s="25" t="str">
        <f>"407,0272"</f>
        <v>407,0272</v>
      </c>
      <c r="V6" s="16" t="s">
        <v>139</v>
      </c>
    </row>
    <row r="8" spans="1:21" ht="15.75">
      <c r="A8"/>
      <c r="B8" s="88" t="s">
        <v>224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2" ht="12.75">
      <c r="A9" s="25" t="s">
        <v>531</v>
      </c>
      <c r="B9" s="16" t="s">
        <v>587</v>
      </c>
      <c r="C9" s="16" t="s">
        <v>341</v>
      </c>
      <c r="D9" s="16" t="s">
        <v>342</v>
      </c>
      <c r="E9" s="16" t="str">
        <f>"0,6446"</f>
        <v>0,6446</v>
      </c>
      <c r="F9" s="16" t="s">
        <v>164</v>
      </c>
      <c r="G9" s="16" t="s">
        <v>28</v>
      </c>
      <c r="H9" s="29" t="s">
        <v>44</v>
      </c>
      <c r="I9" s="28" t="s">
        <v>343</v>
      </c>
      <c r="J9" s="28" t="s">
        <v>344</v>
      </c>
      <c r="K9" s="26"/>
      <c r="L9" s="29" t="s">
        <v>35</v>
      </c>
      <c r="M9" s="28" t="s">
        <v>247</v>
      </c>
      <c r="N9" s="28" t="s">
        <v>47</v>
      </c>
      <c r="O9" s="26"/>
      <c r="P9" s="29" t="s">
        <v>345</v>
      </c>
      <c r="Q9" s="29" t="s">
        <v>272</v>
      </c>
      <c r="R9" s="28" t="s">
        <v>80</v>
      </c>
      <c r="S9" s="26"/>
      <c r="T9" s="25">
        <v>672.5</v>
      </c>
      <c r="U9" s="25" t="str">
        <f>"433,4935"</f>
        <v>433,4935</v>
      </c>
      <c r="V9" s="16" t="s">
        <v>168</v>
      </c>
    </row>
    <row r="11" ht="15.75">
      <c r="F11" s="17"/>
    </row>
  </sheetData>
  <sheetProtection/>
  <mergeCells count="16"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C31" sqref="C31"/>
    </sheetView>
  </sheetViews>
  <sheetFormatPr defaultColWidth="8.75390625" defaultRowHeight="12.75"/>
  <cols>
    <col min="1" max="1" width="7.875" style="27" bestFit="1" customWidth="1"/>
    <col min="2" max="2" width="23.625" style="15" customWidth="1"/>
    <col min="3" max="3" width="26.00390625" style="15" bestFit="1" customWidth="1"/>
    <col min="4" max="4" width="11.125" style="15" customWidth="1"/>
    <col min="5" max="5" width="9.625" style="15" customWidth="1"/>
    <col min="6" max="6" width="14.00390625" style="15" customWidth="1"/>
    <col min="7" max="7" width="33.25390625" style="15" customWidth="1"/>
    <col min="8" max="10" width="5.625" style="27" bestFit="1" customWidth="1"/>
    <col min="11" max="11" width="5.125" style="27" bestFit="1" customWidth="1"/>
    <col min="12" max="14" width="5.625" style="27" bestFit="1" customWidth="1"/>
    <col min="15" max="15" width="5.125" style="27" bestFit="1" customWidth="1"/>
    <col min="16" max="18" width="5.625" style="27" bestFit="1" customWidth="1"/>
    <col min="19" max="19" width="5.125" style="27" bestFit="1" customWidth="1"/>
    <col min="20" max="20" width="10.75390625" style="27" bestFit="1" customWidth="1"/>
    <col min="21" max="21" width="8.625" style="27" bestFit="1" customWidth="1"/>
    <col min="22" max="22" width="21.625" style="15" bestFit="1" customWidth="1"/>
  </cols>
  <sheetData>
    <row r="1" spans="2:22" s="1" customFormat="1" ht="15" customHeight="1">
      <c r="B1" s="89" t="s">
        <v>537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/>
    </row>
    <row r="2" spans="2:22" s="1" customFormat="1" ht="81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s="4" customFormat="1" ht="12.75" customHeight="1">
      <c r="A3" s="100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542</v>
      </c>
      <c r="H3" s="102" t="s">
        <v>3</v>
      </c>
      <c r="I3" s="99"/>
      <c r="J3" s="99"/>
      <c r="K3" s="103"/>
      <c r="L3" s="102" t="s">
        <v>4</v>
      </c>
      <c r="M3" s="99"/>
      <c r="N3" s="99"/>
      <c r="O3" s="103"/>
      <c r="P3" s="102" t="s">
        <v>5</v>
      </c>
      <c r="Q3" s="99"/>
      <c r="R3" s="99"/>
      <c r="S3" s="103"/>
      <c r="T3" s="100" t="s">
        <v>7</v>
      </c>
      <c r="U3" s="99" t="s">
        <v>8</v>
      </c>
      <c r="V3" s="103" t="s">
        <v>9</v>
      </c>
    </row>
    <row r="4" spans="1:22" s="4" customFormat="1" ht="23.25" customHeight="1" thickBot="1">
      <c r="A4" s="101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6">
        <v>1</v>
      </c>
      <c r="M4" s="7">
        <v>2</v>
      </c>
      <c r="N4" s="7">
        <v>3</v>
      </c>
      <c r="O4" s="8" t="s">
        <v>6</v>
      </c>
      <c r="P4" s="6">
        <v>1</v>
      </c>
      <c r="Q4" s="7">
        <v>2</v>
      </c>
      <c r="R4" s="7">
        <v>3</v>
      </c>
      <c r="S4" s="8" t="s">
        <v>6</v>
      </c>
      <c r="T4" s="101"/>
      <c r="U4" s="98"/>
      <c r="V4" s="104"/>
    </row>
    <row r="5" spans="1:21" ht="15.75">
      <c r="A5"/>
      <c r="B5" s="107" t="s">
        <v>66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2" ht="12.75">
      <c r="A6" s="25" t="s">
        <v>531</v>
      </c>
      <c r="B6" s="16" t="s">
        <v>538</v>
      </c>
      <c r="C6" s="16" t="s">
        <v>311</v>
      </c>
      <c r="D6" s="16" t="s">
        <v>312</v>
      </c>
      <c r="E6" s="16" t="str">
        <f>"0,5647"</f>
        <v>0,5647</v>
      </c>
      <c r="F6" s="16" t="s">
        <v>14</v>
      </c>
      <c r="G6" s="16" t="s">
        <v>28</v>
      </c>
      <c r="H6" s="29" t="s">
        <v>44</v>
      </c>
      <c r="I6" s="29" t="s">
        <v>93</v>
      </c>
      <c r="J6" s="28" t="s">
        <v>94</v>
      </c>
      <c r="K6" s="26"/>
      <c r="L6" s="29" t="s">
        <v>64</v>
      </c>
      <c r="M6" s="29" t="s">
        <v>207</v>
      </c>
      <c r="N6" s="29" t="s">
        <v>56</v>
      </c>
      <c r="O6" s="26"/>
      <c r="P6" s="29" t="s">
        <v>80</v>
      </c>
      <c r="Q6" s="29" t="s">
        <v>45</v>
      </c>
      <c r="R6" s="28" t="s">
        <v>93</v>
      </c>
      <c r="S6" s="26"/>
      <c r="T6" s="52">
        <v>715</v>
      </c>
      <c r="U6" s="25" t="str">
        <f>"403,7605"</f>
        <v>403,7605</v>
      </c>
      <c r="V6" s="16" t="s">
        <v>38</v>
      </c>
    </row>
    <row r="8" spans="1:21" ht="15.75">
      <c r="A8"/>
      <c r="B8" s="88" t="s">
        <v>89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2" ht="12.75">
      <c r="A9" s="25" t="s">
        <v>531</v>
      </c>
      <c r="B9" s="16" t="s">
        <v>539</v>
      </c>
      <c r="C9" s="16" t="s">
        <v>314</v>
      </c>
      <c r="D9" s="16" t="s">
        <v>315</v>
      </c>
      <c r="E9" s="16" t="str">
        <f>"0,5514"</f>
        <v>0,5514</v>
      </c>
      <c r="F9" s="16" t="s">
        <v>78</v>
      </c>
      <c r="G9" s="16" t="s">
        <v>79</v>
      </c>
      <c r="H9" s="29" t="s">
        <v>73</v>
      </c>
      <c r="I9" s="28" t="s">
        <v>57</v>
      </c>
      <c r="J9" s="29" t="s">
        <v>74</v>
      </c>
      <c r="K9" s="26"/>
      <c r="L9" s="28" t="s">
        <v>36</v>
      </c>
      <c r="M9" s="29" t="s">
        <v>36</v>
      </c>
      <c r="N9" s="29" t="s">
        <v>83</v>
      </c>
      <c r="O9" s="26"/>
      <c r="P9" s="29" t="s">
        <v>98</v>
      </c>
      <c r="Q9" s="29" t="s">
        <v>211</v>
      </c>
      <c r="R9" s="29" t="s">
        <v>260</v>
      </c>
      <c r="S9" s="26"/>
      <c r="T9" s="52">
        <v>660</v>
      </c>
      <c r="U9" s="25" t="str">
        <f>"363,9240"</f>
        <v>363,9240</v>
      </c>
      <c r="V9" s="16" t="s">
        <v>316</v>
      </c>
    </row>
    <row r="11" spans="1:21" ht="15.75">
      <c r="A11"/>
      <c r="B11" s="88" t="s">
        <v>317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2" ht="12.75">
      <c r="A12" s="25" t="s">
        <v>531</v>
      </c>
      <c r="B12" s="16" t="s">
        <v>540</v>
      </c>
      <c r="C12" s="16" t="s">
        <v>319</v>
      </c>
      <c r="D12" s="16" t="s">
        <v>320</v>
      </c>
      <c r="E12" s="16" t="str">
        <f>"0,5320"</f>
        <v>0,5320</v>
      </c>
      <c r="F12" s="16" t="s">
        <v>321</v>
      </c>
      <c r="G12" s="16" t="s">
        <v>322</v>
      </c>
      <c r="H12" s="29" t="s">
        <v>86</v>
      </c>
      <c r="I12" s="29" t="s">
        <v>323</v>
      </c>
      <c r="J12" s="29" t="s">
        <v>289</v>
      </c>
      <c r="K12" s="26"/>
      <c r="L12" s="29" t="s">
        <v>324</v>
      </c>
      <c r="M12" s="29" t="s">
        <v>94</v>
      </c>
      <c r="N12" s="28" t="s">
        <v>325</v>
      </c>
      <c r="O12" s="26"/>
      <c r="P12" s="29" t="s">
        <v>326</v>
      </c>
      <c r="Q12" s="28" t="s">
        <v>327</v>
      </c>
      <c r="R12" s="29" t="s">
        <v>327</v>
      </c>
      <c r="S12" s="26"/>
      <c r="T12" s="52">
        <v>1065</v>
      </c>
      <c r="U12" s="25" t="str">
        <f>"566,6013"</f>
        <v>566,6013</v>
      </c>
      <c r="V12" s="16" t="s">
        <v>328</v>
      </c>
    </row>
    <row r="13" spans="1:22" ht="12.75">
      <c r="A13" s="25" t="s">
        <v>531</v>
      </c>
      <c r="B13" s="16" t="s">
        <v>318</v>
      </c>
      <c r="C13" s="16" t="s">
        <v>329</v>
      </c>
      <c r="D13" s="16" t="s">
        <v>320</v>
      </c>
      <c r="E13" s="16" t="str">
        <f>"0,5320"</f>
        <v>0,5320</v>
      </c>
      <c r="F13" s="16" t="s">
        <v>321</v>
      </c>
      <c r="G13" s="16" t="s">
        <v>322</v>
      </c>
      <c r="H13" s="29" t="s">
        <v>86</v>
      </c>
      <c r="I13" s="29" t="s">
        <v>323</v>
      </c>
      <c r="J13" s="29" t="s">
        <v>289</v>
      </c>
      <c r="K13" s="26"/>
      <c r="L13" s="29" t="s">
        <v>324</v>
      </c>
      <c r="M13" s="29" t="s">
        <v>94</v>
      </c>
      <c r="N13" s="28" t="s">
        <v>325</v>
      </c>
      <c r="O13" s="26"/>
      <c r="P13" s="29" t="s">
        <v>326</v>
      </c>
      <c r="Q13" s="28" t="s">
        <v>327</v>
      </c>
      <c r="R13" s="29" t="s">
        <v>327</v>
      </c>
      <c r="S13" s="26"/>
      <c r="T13" s="52">
        <v>1065</v>
      </c>
      <c r="U13" s="25" t="str">
        <f>"566,6013"</f>
        <v>566,6013</v>
      </c>
      <c r="V13" s="16" t="s">
        <v>328</v>
      </c>
    </row>
    <row r="15" spans="2:3" ht="18">
      <c r="B15" s="18" t="s">
        <v>100</v>
      </c>
      <c r="C15" s="18"/>
    </row>
    <row r="16" spans="2:3" ht="18">
      <c r="B16" s="18"/>
      <c r="C16" s="18"/>
    </row>
    <row r="17" spans="2:3" ht="15.75">
      <c r="B17" s="19" t="s">
        <v>101</v>
      </c>
      <c r="C17" s="19"/>
    </row>
    <row r="18" spans="2:3" ht="13.5">
      <c r="B18" s="21"/>
      <c r="C18" s="22" t="s">
        <v>155</v>
      </c>
    </row>
    <row r="19" spans="2:6" ht="13.5">
      <c r="B19" s="23" t="s">
        <v>102</v>
      </c>
      <c r="C19" s="23" t="s">
        <v>103</v>
      </c>
      <c r="D19" s="23" t="s">
        <v>104</v>
      </c>
      <c r="E19" s="23" t="s">
        <v>105</v>
      </c>
      <c r="F19" s="23" t="s">
        <v>106</v>
      </c>
    </row>
    <row r="20" spans="1:6" ht="12.75">
      <c r="A20" s="27" t="s">
        <v>531</v>
      </c>
      <c r="B20" s="20" t="s">
        <v>318</v>
      </c>
      <c r="C20" s="15" t="s">
        <v>115</v>
      </c>
      <c r="D20" s="15" t="s">
        <v>330</v>
      </c>
      <c r="E20" s="15" t="s">
        <v>331</v>
      </c>
      <c r="F20" s="24" t="s">
        <v>332</v>
      </c>
    </row>
    <row r="21" spans="1:6" ht="12.75">
      <c r="A21" s="27" t="s">
        <v>532</v>
      </c>
      <c r="B21" s="20" t="s">
        <v>310</v>
      </c>
      <c r="C21" s="15" t="s">
        <v>115</v>
      </c>
      <c r="D21" s="15" t="s">
        <v>113</v>
      </c>
      <c r="E21" s="15" t="s">
        <v>333</v>
      </c>
      <c r="F21" s="24" t="s">
        <v>334</v>
      </c>
    </row>
    <row r="22" spans="1:6" ht="12.75">
      <c r="A22" s="27" t="s">
        <v>533</v>
      </c>
      <c r="B22" s="20" t="s">
        <v>313</v>
      </c>
      <c r="C22" s="15" t="s">
        <v>115</v>
      </c>
      <c r="D22" s="15" t="s">
        <v>118</v>
      </c>
      <c r="E22" s="15" t="s">
        <v>335</v>
      </c>
      <c r="F22" s="24" t="s">
        <v>336</v>
      </c>
    </row>
  </sheetData>
  <sheetProtection/>
  <mergeCells count="17">
    <mergeCell ref="B11:U11"/>
    <mergeCell ref="P3:S3"/>
    <mergeCell ref="T3:T4"/>
    <mergeCell ref="U3:U4"/>
    <mergeCell ref="V3:V4"/>
    <mergeCell ref="B5:U5"/>
    <mergeCell ref="B8:U8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B1">
      <selection activeCell="F42" sqref="F42"/>
    </sheetView>
  </sheetViews>
  <sheetFormatPr defaultColWidth="8.75390625" defaultRowHeight="12.75"/>
  <cols>
    <col min="1" max="1" width="7.875" style="27" bestFit="1" customWidth="1"/>
    <col min="2" max="2" width="21.25390625" style="15" customWidth="1"/>
    <col min="3" max="3" width="24.875" style="15" customWidth="1"/>
    <col min="4" max="4" width="10.625" style="15" bestFit="1" customWidth="1"/>
    <col min="5" max="5" width="8.375" style="15" bestFit="1" customWidth="1"/>
    <col min="6" max="6" width="17.375" style="15" customWidth="1"/>
    <col min="7" max="7" width="31.125" style="15" customWidth="1"/>
    <col min="8" max="10" width="5.625" style="27" bestFit="1" customWidth="1"/>
    <col min="11" max="11" width="5.125" style="27" bestFit="1" customWidth="1"/>
    <col min="12" max="12" width="4.625" style="27" bestFit="1" customWidth="1"/>
    <col min="13" max="14" width="5.625" style="27" bestFit="1" customWidth="1"/>
    <col min="15" max="15" width="5.125" style="27" bestFit="1" customWidth="1"/>
    <col min="16" max="18" width="5.625" style="27" bestFit="1" customWidth="1"/>
    <col min="19" max="19" width="5.125" style="27" bestFit="1" customWidth="1"/>
    <col min="20" max="20" width="9.25390625" style="27" bestFit="1" customWidth="1"/>
    <col min="21" max="21" width="8.625" style="27" bestFit="1" customWidth="1"/>
    <col min="22" max="22" width="17.00390625" style="15" bestFit="1" customWidth="1"/>
  </cols>
  <sheetData>
    <row r="1" spans="2:22" s="1" customFormat="1" ht="15" customHeight="1">
      <c r="B1" s="89" t="s">
        <v>582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/>
    </row>
    <row r="2" spans="2:22" s="1" customFormat="1" ht="77.25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s="4" customFormat="1" ht="12.75" customHeight="1">
      <c r="A3" s="100" t="s">
        <v>530</v>
      </c>
      <c r="B3" s="95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3</v>
      </c>
      <c r="I3" s="99"/>
      <c r="J3" s="99"/>
      <c r="K3" s="103"/>
      <c r="L3" s="102" t="s">
        <v>4</v>
      </c>
      <c r="M3" s="99"/>
      <c r="N3" s="99"/>
      <c r="O3" s="103"/>
      <c r="P3" s="102" t="s">
        <v>5</v>
      </c>
      <c r="Q3" s="99"/>
      <c r="R3" s="99"/>
      <c r="S3" s="103"/>
      <c r="T3" s="100" t="s">
        <v>7</v>
      </c>
      <c r="U3" s="99" t="s">
        <v>8</v>
      </c>
      <c r="V3" s="103" t="s">
        <v>9</v>
      </c>
    </row>
    <row r="4" spans="1:22" s="4" customFormat="1" ht="23.25" customHeight="1" thickBot="1">
      <c r="A4" s="101"/>
      <c r="B4" s="96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6">
        <v>1</v>
      </c>
      <c r="M4" s="7">
        <v>2</v>
      </c>
      <c r="N4" s="7">
        <v>3</v>
      </c>
      <c r="O4" s="8" t="s">
        <v>6</v>
      </c>
      <c r="P4" s="6">
        <v>1</v>
      </c>
      <c r="Q4" s="7">
        <v>2</v>
      </c>
      <c r="R4" s="7">
        <v>3</v>
      </c>
      <c r="S4" s="8" t="s">
        <v>6</v>
      </c>
      <c r="T4" s="101"/>
      <c r="U4" s="98"/>
      <c r="V4" s="104"/>
    </row>
    <row r="5" spans="1:21" ht="15.75">
      <c r="A5"/>
      <c r="B5" s="107" t="s">
        <v>121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2" ht="12.75">
      <c r="A6" s="25" t="s">
        <v>531</v>
      </c>
      <c r="B6" s="16" t="s">
        <v>583</v>
      </c>
      <c r="C6" s="16" t="s">
        <v>303</v>
      </c>
      <c r="D6" s="16" t="s">
        <v>304</v>
      </c>
      <c r="E6" s="16" t="str">
        <f>"1,1922"</f>
        <v>1,1922</v>
      </c>
      <c r="F6" s="16" t="s">
        <v>61</v>
      </c>
      <c r="G6" s="16" t="s">
        <v>28</v>
      </c>
      <c r="H6" s="28" t="s">
        <v>16</v>
      </c>
      <c r="I6" s="29" t="s">
        <v>16</v>
      </c>
      <c r="J6" s="29" t="s">
        <v>17</v>
      </c>
      <c r="K6" s="26"/>
      <c r="L6" s="29" t="s">
        <v>136</v>
      </c>
      <c r="M6" s="29" t="s">
        <v>137</v>
      </c>
      <c r="N6" s="28" t="s">
        <v>305</v>
      </c>
      <c r="O6" s="26"/>
      <c r="P6" s="29" t="s">
        <v>17</v>
      </c>
      <c r="Q6" s="28" t="s">
        <v>131</v>
      </c>
      <c r="R6" s="26"/>
      <c r="S6" s="26"/>
      <c r="T6" s="52">
        <v>225</v>
      </c>
      <c r="U6" s="25" t="str">
        <f>"268,2450"</f>
        <v>268,2450</v>
      </c>
      <c r="V6" s="16" t="s">
        <v>65</v>
      </c>
    </row>
    <row r="8" spans="1:21" ht="15.75">
      <c r="A8"/>
      <c r="B8" s="88" t="s">
        <v>216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2" ht="12.75">
      <c r="A9" s="25" t="s">
        <v>531</v>
      </c>
      <c r="B9" s="16" t="s">
        <v>584</v>
      </c>
      <c r="C9" s="16" t="s">
        <v>306</v>
      </c>
      <c r="D9" s="16" t="s">
        <v>307</v>
      </c>
      <c r="E9" s="16" t="str">
        <f>"0,6990"</f>
        <v>0,6990</v>
      </c>
      <c r="F9" s="16" t="s">
        <v>164</v>
      </c>
      <c r="G9" s="16" t="s">
        <v>28</v>
      </c>
      <c r="H9" s="29" t="s">
        <v>98</v>
      </c>
      <c r="I9" s="29" t="s">
        <v>211</v>
      </c>
      <c r="J9" s="29" t="s">
        <v>308</v>
      </c>
      <c r="K9" s="26"/>
      <c r="L9" s="29" t="s">
        <v>138</v>
      </c>
      <c r="M9" s="29" t="s">
        <v>18</v>
      </c>
      <c r="N9" s="29" t="s">
        <v>147</v>
      </c>
      <c r="O9" s="26"/>
      <c r="P9" s="29" t="s">
        <v>96</v>
      </c>
      <c r="Q9" s="29" t="s">
        <v>98</v>
      </c>
      <c r="R9" s="29" t="s">
        <v>309</v>
      </c>
      <c r="S9" s="26"/>
      <c r="T9" s="25">
        <v>517.5</v>
      </c>
      <c r="U9" s="25" t="str">
        <f>"361,7325"</f>
        <v>361,7325</v>
      </c>
      <c r="V9" s="16" t="s">
        <v>223</v>
      </c>
    </row>
  </sheetData>
  <sheetProtection/>
  <mergeCells count="16"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B1">
      <selection activeCell="T9" sqref="T9"/>
    </sheetView>
  </sheetViews>
  <sheetFormatPr defaultColWidth="8.75390625" defaultRowHeight="12.75"/>
  <cols>
    <col min="1" max="1" width="7.875" style="27" bestFit="1" customWidth="1"/>
    <col min="2" max="2" width="23.25390625" style="15" customWidth="1"/>
    <col min="3" max="3" width="26.00390625" style="15" bestFit="1" customWidth="1"/>
    <col min="4" max="4" width="10.625" style="15" bestFit="1" customWidth="1"/>
    <col min="5" max="5" width="8.375" style="15" bestFit="1" customWidth="1"/>
    <col min="6" max="6" width="14.375" style="15" customWidth="1"/>
    <col min="7" max="7" width="34.625" style="15" bestFit="1" customWidth="1"/>
    <col min="8" max="10" width="5.625" style="27" bestFit="1" customWidth="1"/>
    <col min="11" max="11" width="5.125" style="27" bestFit="1" customWidth="1"/>
    <col min="12" max="14" width="5.625" style="27" bestFit="1" customWidth="1"/>
    <col min="15" max="15" width="5.125" style="27" bestFit="1" customWidth="1"/>
    <col min="16" max="18" width="5.625" style="27" bestFit="1" customWidth="1"/>
    <col min="19" max="19" width="5.125" style="27" bestFit="1" customWidth="1"/>
    <col min="20" max="20" width="9.25390625" style="27" bestFit="1" customWidth="1"/>
    <col min="21" max="21" width="8.625" style="27" bestFit="1" customWidth="1"/>
    <col min="22" max="22" width="17.00390625" style="15" bestFit="1" customWidth="1"/>
  </cols>
  <sheetData>
    <row r="1" spans="2:22" s="1" customFormat="1" ht="15" customHeight="1">
      <c r="B1" s="89" t="s">
        <v>579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/>
    </row>
    <row r="2" spans="2:22" s="1" customFormat="1" ht="76.5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s="4" customFormat="1" ht="12.75" customHeight="1">
      <c r="A3" s="100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3</v>
      </c>
      <c r="I3" s="99"/>
      <c r="J3" s="99"/>
      <c r="K3" s="103"/>
      <c r="L3" s="102" t="s">
        <v>4</v>
      </c>
      <c r="M3" s="99"/>
      <c r="N3" s="99"/>
      <c r="O3" s="103"/>
      <c r="P3" s="102" t="s">
        <v>5</v>
      </c>
      <c r="Q3" s="99"/>
      <c r="R3" s="99"/>
      <c r="S3" s="103"/>
      <c r="T3" s="100" t="s">
        <v>7</v>
      </c>
      <c r="U3" s="99" t="s">
        <v>8</v>
      </c>
      <c r="V3" s="103" t="s">
        <v>9</v>
      </c>
    </row>
    <row r="4" spans="1:22" s="4" customFormat="1" ht="23.25" customHeight="1" thickBot="1">
      <c r="A4" s="101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6">
        <v>1</v>
      </c>
      <c r="M4" s="7">
        <v>2</v>
      </c>
      <c r="N4" s="7">
        <v>3</v>
      </c>
      <c r="O4" s="8" t="s">
        <v>6</v>
      </c>
      <c r="P4" s="6">
        <v>1</v>
      </c>
      <c r="Q4" s="7">
        <v>2</v>
      </c>
      <c r="R4" s="7">
        <v>3</v>
      </c>
      <c r="S4" s="8" t="s">
        <v>6</v>
      </c>
      <c r="T4" s="101"/>
      <c r="U4" s="98"/>
      <c r="V4" s="104"/>
    </row>
    <row r="5" spans="1:21" ht="15.75">
      <c r="A5"/>
      <c r="B5" s="107" t="s">
        <v>25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2" ht="12.75">
      <c r="A6" s="25" t="s">
        <v>531</v>
      </c>
      <c r="B6" s="16" t="s">
        <v>580</v>
      </c>
      <c r="C6" s="16" t="s">
        <v>299</v>
      </c>
      <c r="D6" s="16" t="s">
        <v>300</v>
      </c>
      <c r="E6" s="16" t="str">
        <f>"0,9113"</f>
        <v>0,9113</v>
      </c>
      <c r="F6" s="16" t="s">
        <v>244</v>
      </c>
      <c r="G6" s="16" t="s">
        <v>28</v>
      </c>
      <c r="H6" s="29" t="s">
        <v>47</v>
      </c>
      <c r="I6" s="29" t="s">
        <v>98</v>
      </c>
      <c r="J6" s="28" t="s">
        <v>54</v>
      </c>
      <c r="K6" s="26"/>
      <c r="L6" s="29" t="s">
        <v>152</v>
      </c>
      <c r="M6" s="29" t="s">
        <v>17</v>
      </c>
      <c r="N6" s="28" t="s">
        <v>138</v>
      </c>
      <c r="O6" s="26"/>
      <c r="P6" s="29" t="s">
        <v>62</v>
      </c>
      <c r="Q6" s="29" t="s">
        <v>35</v>
      </c>
      <c r="R6" s="29" t="s">
        <v>47</v>
      </c>
      <c r="S6" s="26"/>
      <c r="T6" s="52">
        <v>460</v>
      </c>
      <c r="U6" s="25" t="str">
        <f>"419,1980"</f>
        <v>419,1980</v>
      </c>
      <c r="V6" s="16" t="s">
        <v>139</v>
      </c>
    </row>
    <row r="8" spans="1:21" ht="15.75">
      <c r="A8"/>
      <c r="B8" s="88" t="s">
        <v>216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2" ht="12.75">
      <c r="A9" s="25" t="s">
        <v>531</v>
      </c>
      <c r="B9" s="16" t="s">
        <v>581</v>
      </c>
      <c r="C9" s="16" t="s">
        <v>301</v>
      </c>
      <c r="D9" s="16" t="s">
        <v>302</v>
      </c>
      <c r="E9" s="16" t="str">
        <f>"0,6983"</f>
        <v>0,6983</v>
      </c>
      <c r="F9" s="16" t="s">
        <v>205</v>
      </c>
      <c r="G9" s="16" t="s">
        <v>28</v>
      </c>
      <c r="H9" s="29" t="s">
        <v>47</v>
      </c>
      <c r="I9" s="28" t="s">
        <v>98</v>
      </c>
      <c r="J9" s="28" t="s">
        <v>98</v>
      </c>
      <c r="K9" s="26"/>
      <c r="L9" s="29" t="s">
        <v>173</v>
      </c>
      <c r="M9" s="29" t="s">
        <v>154</v>
      </c>
      <c r="N9" s="28" t="s">
        <v>34</v>
      </c>
      <c r="O9" s="26"/>
      <c r="P9" s="29" t="s">
        <v>62</v>
      </c>
      <c r="Q9" s="29" t="s">
        <v>35</v>
      </c>
      <c r="R9" s="28" t="s">
        <v>47</v>
      </c>
      <c r="S9" s="26"/>
      <c r="T9" s="52">
        <v>465</v>
      </c>
      <c r="U9" s="25" t="str">
        <f>"324,7095"</f>
        <v>324,7095</v>
      </c>
      <c r="V9" s="16" t="s">
        <v>87</v>
      </c>
    </row>
  </sheetData>
  <sheetProtection/>
  <mergeCells count="16"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B36">
      <selection activeCell="G8" sqref="G8"/>
    </sheetView>
  </sheetViews>
  <sheetFormatPr defaultColWidth="8.75390625" defaultRowHeight="12.75"/>
  <cols>
    <col min="1" max="1" width="7.875" style="27" bestFit="1" customWidth="1"/>
    <col min="2" max="2" width="25.25390625" style="15" customWidth="1"/>
    <col min="3" max="3" width="26.875" style="15" bestFit="1" customWidth="1"/>
    <col min="4" max="4" width="10.625" style="15" bestFit="1" customWidth="1"/>
    <col min="5" max="5" width="8.375" style="15" bestFit="1" customWidth="1"/>
    <col min="6" max="6" width="18.00390625" style="15" customWidth="1"/>
    <col min="7" max="7" width="32.375" style="15" customWidth="1"/>
    <col min="8" max="10" width="5.625" style="27" bestFit="1" customWidth="1"/>
    <col min="11" max="11" width="5.125" style="27" bestFit="1" customWidth="1"/>
    <col min="12" max="14" width="5.625" style="27" bestFit="1" customWidth="1"/>
    <col min="15" max="15" width="5.125" style="27" bestFit="1" customWidth="1"/>
    <col min="16" max="18" width="5.625" style="27" bestFit="1" customWidth="1"/>
    <col min="19" max="19" width="5.125" style="27" bestFit="1" customWidth="1"/>
    <col min="20" max="20" width="9.25390625" style="27" bestFit="1" customWidth="1"/>
    <col min="21" max="21" width="8.625" style="27" bestFit="1" customWidth="1"/>
    <col min="22" max="22" width="21.375" style="15" customWidth="1"/>
  </cols>
  <sheetData>
    <row r="1" spans="2:22" s="1" customFormat="1" ht="15" customHeight="1">
      <c r="B1" s="89" t="s">
        <v>551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/>
    </row>
    <row r="2" spans="2:22" s="1" customFormat="1" ht="84.75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s="4" customFormat="1" ht="12.75" customHeight="1">
      <c r="A3" s="100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3</v>
      </c>
      <c r="I3" s="99"/>
      <c r="J3" s="99"/>
      <c r="K3" s="103"/>
      <c r="L3" s="102" t="s">
        <v>4</v>
      </c>
      <c r="M3" s="99"/>
      <c r="N3" s="99"/>
      <c r="O3" s="103"/>
      <c r="P3" s="102" t="s">
        <v>5</v>
      </c>
      <c r="Q3" s="99"/>
      <c r="R3" s="99"/>
      <c r="S3" s="103"/>
      <c r="T3" s="100" t="s">
        <v>7</v>
      </c>
      <c r="U3" s="99" t="s">
        <v>8</v>
      </c>
      <c r="V3" s="103" t="s">
        <v>9</v>
      </c>
    </row>
    <row r="4" spans="1:22" s="4" customFormat="1" ht="23.25" customHeight="1" thickBot="1">
      <c r="A4" s="101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6">
        <v>1</v>
      </c>
      <c r="M4" s="7">
        <v>2</v>
      </c>
      <c r="N4" s="7">
        <v>3</v>
      </c>
      <c r="O4" s="8" t="s">
        <v>6</v>
      </c>
      <c r="P4" s="6">
        <v>1</v>
      </c>
      <c r="Q4" s="7">
        <v>2</v>
      </c>
      <c r="R4" s="7">
        <v>3</v>
      </c>
      <c r="S4" s="8" t="s">
        <v>6</v>
      </c>
      <c r="T4" s="101"/>
      <c r="U4" s="98"/>
      <c r="V4" s="104"/>
    </row>
    <row r="5" spans="1:21" ht="15.75">
      <c r="A5"/>
      <c r="B5" s="107" t="s">
        <v>121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2" ht="12.75">
      <c r="A6" s="25" t="s">
        <v>531</v>
      </c>
      <c r="B6" s="16" t="s">
        <v>122</v>
      </c>
      <c r="C6" s="16" t="s">
        <v>123</v>
      </c>
      <c r="D6" s="16" t="s">
        <v>124</v>
      </c>
      <c r="E6" s="16" t="str">
        <f>"1,1790"</f>
        <v>1,1790</v>
      </c>
      <c r="F6" s="16" t="s">
        <v>14</v>
      </c>
      <c r="G6" s="16" t="s">
        <v>28</v>
      </c>
      <c r="H6" s="29" t="s">
        <v>125</v>
      </c>
      <c r="I6" s="29" t="s">
        <v>126</v>
      </c>
      <c r="J6" s="28" t="s">
        <v>127</v>
      </c>
      <c r="K6" s="26"/>
      <c r="L6" s="29" t="s">
        <v>128</v>
      </c>
      <c r="M6" s="28" t="s">
        <v>129</v>
      </c>
      <c r="N6" s="28" t="s">
        <v>129</v>
      </c>
      <c r="O6" s="26"/>
      <c r="P6" s="29" t="s">
        <v>130</v>
      </c>
      <c r="Q6" s="29" t="s">
        <v>17</v>
      </c>
      <c r="R6" s="28" t="s">
        <v>131</v>
      </c>
      <c r="S6" s="26"/>
      <c r="T6" s="52">
        <v>195</v>
      </c>
      <c r="U6" s="25" t="str">
        <f>"229,9050"</f>
        <v>229,9050</v>
      </c>
      <c r="V6" s="16" t="s">
        <v>38</v>
      </c>
    </row>
    <row r="7" spans="1:22" ht="12.75">
      <c r="A7" s="25" t="s">
        <v>531</v>
      </c>
      <c r="B7" s="16" t="s">
        <v>132</v>
      </c>
      <c r="C7" s="16" t="s">
        <v>133</v>
      </c>
      <c r="D7" s="16" t="s">
        <v>134</v>
      </c>
      <c r="E7" s="16" t="str">
        <f>"1,1827"</f>
        <v>1,1827</v>
      </c>
      <c r="F7" s="16" t="s">
        <v>61</v>
      </c>
      <c r="G7" s="16" t="s">
        <v>28</v>
      </c>
      <c r="H7" s="29" t="s">
        <v>135</v>
      </c>
      <c r="I7" s="28" t="s">
        <v>16</v>
      </c>
      <c r="J7" s="29" t="s">
        <v>16</v>
      </c>
      <c r="K7" s="26"/>
      <c r="L7" s="29" t="s">
        <v>136</v>
      </c>
      <c r="M7" s="28" t="s">
        <v>137</v>
      </c>
      <c r="N7" s="28" t="s">
        <v>137</v>
      </c>
      <c r="O7" s="26"/>
      <c r="P7" s="29" t="s">
        <v>138</v>
      </c>
      <c r="Q7" s="28" t="s">
        <v>18</v>
      </c>
      <c r="R7" s="28" t="s">
        <v>18</v>
      </c>
      <c r="S7" s="26"/>
      <c r="T7" s="52">
        <v>215</v>
      </c>
      <c r="U7" s="25" t="str">
        <f>"254,2805"</f>
        <v>254,2805</v>
      </c>
      <c r="V7" s="16" t="s">
        <v>139</v>
      </c>
    </row>
    <row r="8" spans="1:22" ht="12.75">
      <c r="A8" s="25" t="s">
        <v>532</v>
      </c>
      <c r="B8" s="16" t="s">
        <v>140</v>
      </c>
      <c r="C8" s="16" t="s">
        <v>141</v>
      </c>
      <c r="D8" s="16" t="s">
        <v>142</v>
      </c>
      <c r="E8" s="16" t="str">
        <f>"1,1884"</f>
        <v>1,1884</v>
      </c>
      <c r="F8" s="16" t="s">
        <v>14</v>
      </c>
      <c r="G8" s="16" t="s">
        <v>143</v>
      </c>
      <c r="H8" s="29" t="s">
        <v>144</v>
      </c>
      <c r="I8" s="29" t="s">
        <v>19</v>
      </c>
      <c r="J8" s="29" t="s">
        <v>145</v>
      </c>
      <c r="K8" s="26"/>
      <c r="L8" s="29" t="s">
        <v>128</v>
      </c>
      <c r="M8" s="29" t="s">
        <v>146</v>
      </c>
      <c r="N8" s="28" t="s">
        <v>129</v>
      </c>
      <c r="O8" s="26"/>
      <c r="P8" s="29" t="s">
        <v>131</v>
      </c>
      <c r="Q8" s="29" t="s">
        <v>147</v>
      </c>
      <c r="R8" s="29" t="s">
        <v>32</v>
      </c>
      <c r="S8" s="26"/>
      <c r="T8" s="52">
        <v>207.5</v>
      </c>
      <c r="U8" s="25" t="str">
        <f>"246,5930"</f>
        <v>246,5930</v>
      </c>
      <c r="V8" s="16" t="s">
        <v>574</v>
      </c>
    </row>
    <row r="10" spans="1:21" ht="15.75">
      <c r="A10"/>
      <c r="B10" s="88" t="s">
        <v>148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</row>
    <row r="11" spans="1:22" ht="12.75">
      <c r="A11" s="25" t="s">
        <v>531</v>
      </c>
      <c r="B11" s="16" t="s">
        <v>149</v>
      </c>
      <c r="C11" s="16" t="s">
        <v>150</v>
      </c>
      <c r="D11" s="16" t="s">
        <v>151</v>
      </c>
      <c r="E11" s="16" t="str">
        <f>"1,1282"</f>
        <v>1,1282</v>
      </c>
      <c r="F11" s="16" t="s">
        <v>61</v>
      </c>
      <c r="G11" s="16" t="s">
        <v>28</v>
      </c>
      <c r="H11" s="29" t="s">
        <v>152</v>
      </c>
      <c r="I11" s="28" t="s">
        <v>17</v>
      </c>
      <c r="J11" s="28" t="s">
        <v>138</v>
      </c>
      <c r="K11" s="26"/>
      <c r="L11" s="29" t="s">
        <v>153</v>
      </c>
      <c r="M11" s="28" t="s">
        <v>144</v>
      </c>
      <c r="N11" s="28" t="s">
        <v>144</v>
      </c>
      <c r="O11" s="26"/>
      <c r="P11" s="29" t="s">
        <v>131</v>
      </c>
      <c r="Q11" s="29" t="s">
        <v>32</v>
      </c>
      <c r="R11" s="29" t="s">
        <v>154</v>
      </c>
      <c r="S11" s="26"/>
      <c r="T11" s="52">
        <v>250</v>
      </c>
      <c r="U11" s="25" t="str">
        <f>"282,0500"</f>
        <v>282,0500</v>
      </c>
      <c r="V11" s="16" t="s">
        <v>577</v>
      </c>
    </row>
    <row r="12" spans="1:22" ht="12.75">
      <c r="A12" s="25" t="s">
        <v>531</v>
      </c>
      <c r="B12" s="16" t="s">
        <v>156</v>
      </c>
      <c r="C12" s="16" t="s">
        <v>157</v>
      </c>
      <c r="D12" s="16" t="s">
        <v>158</v>
      </c>
      <c r="E12" s="16" t="str">
        <f>"1,1370"</f>
        <v>1,1370</v>
      </c>
      <c r="F12" s="16" t="s">
        <v>14</v>
      </c>
      <c r="G12" s="16" t="s">
        <v>28</v>
      </c>
      <c r="H12" s="29" t="s">
        <v>159</v>
      </c>
      <c r="I12" s="29" t="s">
        <v>135</v>
      </c>
      <c r="J12" s="29" t="s">
        <v>16</v>
      </c>
      <c r="K12" s="26"/>
      <c r="L12" s="29" t="s">
        <v>146</v>
      </c>
      <c r="M12" s="29" t="s">
        <v>136</v>
      </c>
      <c r="N12" s="28" t="s">
        <v>160</v>
      </c>
      <c r="O12" s="26"/>
      <c r="P12" s="29" t="s">
        <v>138</v>
      </c>
      <c r="Q12" s="28" t="s">
        <v>18</v>
      </c>
      <c r="R12" s="28" t="s">
        <v>18</v>
      </c>
      <c r="S12" s="26"/>
      <c r="T12" s="52">
        <v>215</v>
      </c>
      <c r="U12" s="25" t="str">
        <f>"244,4550"</f>
        <v>244,4550</v>
      </c>
      <c r="V12" s="16" t="s">
        <v>38</v>
      </c>
    </row>
    <row r="13" spans="1:22" ht="12.75">
      <c r="A13" s="25"/>
      <c r="B13" s="16" t="s">
        <v>161</v>
      </c>
      <c r="C13" s="16" t="s">
        <v>162</v>
      </c>
      <c r="D13" s="16" t="s">
        <v>163</v>
      </c>
      <c r="E13" s="16" t="str">
        <f>"1,1076"</f>
        <v>1,1076</v>
      </c>
      <c r="F13" s="16" t="s">
        <v>164</v>
      </c>
      <c r="G13" s="16" t="s">
        <v>28</v>
      </c>
      <c r="H13" s="29" t="s">
        <v>165</v>
      </c>
      <c r="I13" s="28" t="s">
        <v>166</v>
      </c>
      <c r="J13" s="28" t="s">
        <v>166</v>
      </c>
      <c r="K13" s="26"/>
      <c r="L13" s="28" t="s">
        <v>167</v>
      </c>
      <c r="M13" s="28" t="s">
        <v>167</v>
      </c>
      <c r="N13" s="28" t="s">
        <v>167</v>
      </c>
      <c r="O13" s="26"/>
      <c r="P13" s="28" t="s">
        <v>58</v>
      </c>
      <c r="Q13" s="26"/>
      <c r="R13" s="26"/>
      <c r="S13" s="26"/>
      <c r="T13" s="52">
        <v>0</v>
      </c>
      <c r="U13" s="25" t="str">
        <f>"0,0000"</f>
        <v>0,0000</v>
      </c>
      <c r="V13" s="16" t="s">
        <v>168</v>
      </c>
    </row>
    <row r="15" spans="1:21" ht="15.75">
      <c r="A15"/>
      <c r="B15" s="88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1:22" ht="12.75">
      <c r="A16" s="25" t="s">
        <v>531</v>
      </c>
      <c r="B16" s="16" t="s">
        <v>170</v>
      </c>
      <c r="C16" s="16" t="s">
        <v>171</v>
      </c>
      <c r="D16" s="16" t="s">
        <v>172</v>
      </c>
      <c r="E16" s="16" t="str">
        <f>"1,0454"</f>
        <v>1,0454</v>
      </c>
      <c r="F16" s="16" t="s">
        <v>164</v>
      </c>
      <c r="G16" s="16" t="s">
        <v>28</v>
      </c>
      <c r="H16" s="29" t="s">
        <v>18</v>
      </c>
      <c r="I16" s="28" t="s">
        <v>173</v>
      </c>
      <c r="J16" s="28" t="s">
        <v>173</v>
      </c>
      <c r="K16" s="26"/>
      <c r="L16" s="28" t="s">
        <v>19</v>
      </c>
      <c r="M16" s="29" t="s">
        <v>19</v>
      </c>
      <c r="N16" s="28" t="s">
        <v>20</v>
      </c>
      <c r="O16" s="26"/>
      <c r="P16" s="29" t="s">
        <v>173</v>
      </c>
      <c r="Q16" s="28" t="s">
        <v>33</v>
      </c>
      <c r="R16" s="28" t="s">
        <v>33</v>
      </c>
      <c r="S16" s="26"/>
      <c r="T16" s="52">
        <v>270</v>
      </c>
      <c r="U16" s="25" t="str">
        <f>"282,2580"</f>
        <v>282,2580</v>
      </c>
      <c r="V16" s="16" t="s">
        <v>575</v>
      </c>
    </row>
    <row r="17" spans="1:22" ht="12.75">
      <c r="A17" s="25" t="s">
        <v>531</v>
      </c>
      <c r="B17" s="16" t="s">
        <v>174</v>
      </c>
      <c r="C17" s="16" t="s">
        <v>175</v>
      </c>
      <c r="D17" s="16" t="s">
        <v>176</v>
      </c>
      <c r="E17" s="16" t="str">
        <f>"1,0622"</f>
        <v>1,0622</v>
      </c>
      <c r="F17" s="16" t="s">
        <v>164</v>
      </c>
      <c r="G17" s="16" t="s">
        <v>28</v>
      </c>
      <c r="H17" s="29" t="s">
        <v>32</v>
      </c>
      <c r="I17" s="28" t="s">
        <v>177</v>
      </c>
      <c r="J17" s="28" t="s">
        <v>177</v>
      </c>
      <c r="K17" s="26"/>
      <c r="L17" s="29" t="s">
        <v>135</v>
      </c>
      <c r="M17" s="28" t="s">
        <v>16</v>
      </c>
      <c r="N17" s="28" t="s">
        <v>16</v>
      </c>
      <c r="O17" s="26"/>
      <c r="P17" s="29" t="s">
        <v>23</v>
      </c>
      <c r="Q17" s="29" t="s">
        <v>64</v>
      </c>
      <c r="R17" s="28" t="s">
        <v>178</v>
      </c>
      <c r="S17" s="26"/>
      <c r="T17" s="52">
        <v>332.5</v>
      </c>
      <c r="U17" s="25" t="str">
        <f>"353,1815"</f>
        <v>353,1815</v>
      </c>
      <c r="V17" s="16" t="s">
        <v>179</v>
      </c>
    </row>
    <row r="18" spans="1:22" ht="12.75">
      <c r="A18" s="25" t="s">
        <v>532</v>
      </c>
      <c r="B18" s="16" t="s">
        <v>180</v>
      </c>
      <c r="C18" s="16" t="s">
        <v>181</v>
      </c>
      <c r="D18" s="16" t="s">
        <v>182</v>
      </c>
      <c r="E18" s="16" t="str">
        <f>"1,0748"</f>
        <v>1,0748</v>
      </c>
      <c r="F18" s="16" t="s">
        <v>164</v>
      </c>
      <c r="G18" s="16" t="s">
        <v>28</v>
      </c>
      <c r="H18" s="29" t="s">
        <v>138</v>
      </c>
      <c r="I18" s="28" t="s">
        <v>18</v>
      </c>
      <c r="J18" s="28" t="s">
        <v>18</v>
      </c>
      <c r="K18" s="26"/>
      <c r="L18" s="29" t="s">
        <v>153</v>
      </c>
      <c r="M18" s="29" t="s">
        <v>167</v>
      </c>
      <c r="N18" s="29" t="s">
        <v>144</v>
      </c>
      <c r="O18" s="26"/>
      <c r="P18" s="29" t="s">
        <v>34</v>
      </c>
      <c r="Q18" s="29" t="s">
        <v>63</v>
      </c>
      <c r="R18" s="29" t="s">
        <v>29</v>
      </c>
      <c r="S18" s="26"/>
      <c r="T18" s="52">
        <v>285</v>
      </c>
      <c r="U18" s="25" t="str">
        <f>"306,3180"</f>
        <v>306,3180</v>
      </c>
      <c r="V18" s="16" t="s">
        <v>168</v>
      </c>
    </row>
    <row r="19" spans="1:22" ht="12.75">
      <c r="A19" s="25"/>
      <c r="B19" s="16" t="s">
        <v>183</v>
      </c>
      <c r="C19" s="16" t="s">
        <v>184</v>
      </c>
      <c r="D19" s="16" t="s">
        <v>185</v>
      </c>
      <c r="E19" s="16" t="str">
        <f>"1,0439"</f>
        <v>1,0439</v>
      </c>
      <c r="F19" s="16" t="s">
        <v>14</v>
      </c>
      <c r="G19" s="16" t="s">
        <v>28</v>
      </c>
      <c r="H19" s="28" t="s">
        <v>17</v>
      </c>
      <c r="I19" s="28" t="s">
        <v>131</v>
      </c>
      <c r="J19" s="28" t="s">
        <v>131</v>
      </c>
      <c r="K19" s="26"/>
      <c r="L19" s="28" t="s">
        <v>58</v>
      </c>
      <c r="M19" s="26"/>
      <c r="N19" s="26"/>
      <c r="O19" s="26"/>
      <c r="P19" s="28" t="s">
        <v>58</v>
      </c>
      <c r="Q19" s="26"/>
      <c r="R19" s="26"/>
      <c r="S19" s="26"/>
      <c r="T19" s="52">
        <v>0</v>
      </c>
      <c r="U19" s="25" t="str">
        <f>"0,0000"</f>
        <v>0,0000</v>
      </c>
      <c r="V19" s="16" t="s">
        <v>576</v>
      </c>
    </row>
    <row r="21" spans="1:21" ht="15.75">
      <c r="A21"/>
      <c r="B21" s="88" t="s">
        <v>11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1:22" ht="12.75">
      <c r="A22" s="25" t="s">
        <v>531</v>
      </c>
      <c r="B22" s="16" t="s">
        <v>186</v>
      </c>
      <c r="C22" s="16" t="s">
        <v>187</v>
      </c>
      <c r="D22" s="16" t="s">
        <v>188</v>
      </c>
      <c r="E22" s="16" t="str">
        <f>"0,9942"</f>
        <v>0,9942</v>
      </c>
      <c r="F22" s="16" t="s">
        <v>164</v>
      </c>
      <c r="G22" s="16" t="s">
        <v>28</v>
      </c>
      <c r="H22" s="29" t="s">
        <v>166</v>
      </c>
      <c r="I22" s="29" t="s">
        <v>18</v>
      </c>
      <c r="J22" s="28" t="s">
        <v>147</v>
      </c>
      <c r="K22" s="26"/>
      <c r="L22" s="28" t="s">
        <v>167</v>
      </c>
      <c r="M22" s="29" t="s">
        <v>167</v>
      </c>
      <c r="N22" s="28" t="s">
        <v>144</v>
      </c>
      <c r="O22" s="26"/>
      <c r="P22" s="29" t="s">
        <v>34</v>
      </c>
      <c r="Q22" s="29" t="s">
        <v>63</v>
      </c>
      <c r="R22" s="28" t="s">
        <v>23</v>
      </c>
      <c r="S22" s="26"/>
      <c r="T22" s="52">
        <v>285</v>
      </c>
      <c r="U22" s="25" t="str">
        <f>"283,3612"</f>
        <v>283,3612</v>
      </c>
      <c r="V22" s="16" t="s">
        <v>168</v>
      </c>
    </row>
    <row r="24" spans="1:21" ht="15.75">
      <c r="A24"/>
      <c r="B24" s="88" t="s">
        <v>25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1:22" ht="12.75">
      <c r="A25" s="25" t="s">
        <v>531</v>
      </c>
      <c r="B25" s="16" t="s">
        <v>189</v>
      </c>
      <c r="C25" s="16" t="s">
        <v>190</v>
      </c>
      <c r="D25" s="16" t="s">
        <v>191</v>
      </c>
      <c r="E25" s="16" t="str">
        <f>"0,9060"</f>
        <v>0,9060</v>
      </c>
      <c r="F25" s="16" t="s">
        <v>14</v>
      </c>
      <c r="G25" s="16" t="s">
        <v>28</v>
      </c>
      <c r="H25" s="28" t="s">
        <v>152</v>
      </c>
      <c r="I25" s="29" t="s">
        <v>138</v>
      </c>
      <c r="J25" s="29" t="s">
        <v>192</v>
      </c>
      <c r="K25" s="26"/>
      <c r="L25" s="29" t="s">
        <v>137</v>
      </c>
      <c r="M25" s="28" t="s">
        <v>167</v>
      </c>
      <c r="N25" s="29" t="s">
        <v>167</v>
      </c>
      <c r="O25" s="26"/>
      <c r="P25" s="29" t="s">
        <v>32</v>
      </c>
      <c r="Q25" s="29" t="s">
        <v>177</v>
      </c>
      <c r="R25" s="28" t="s">
        <v>22</v>
      </c>
      <c r="S25" s="26"/>
      <c r="T25" s="52">
        <v>280</v>
      </c>
      <c r="U25" s="25" t="str">
        <f>"253,6660"</f>
        <v>253,6660</v>
      </c>
      <c r="V25" s="16" t="s">
        <v>38</v>
      </c>
    </row>
    <row r="26" spans="1:22" ht="12.75">
      <c r="A26" s="25" t="s">
        <v>532</v>
      </c>
      <c r="B26" s="16" t="s">
        <v>193</v>
      </c>
      <c r="C26" s="16" t="s">
        <v>194</v>
      </c>
      <c r="D26" s="16" t="s">
        <v>195</v>
      </c>
      <c r="E26" s="16" t="str">
        <f>"0,9266"</f>
        <v>0,9266</v>
      </c>
      <c r="F26" s="16" t="s">
        <v>196</v>
      </c>
      <c r="G26" s="16" t="s">
        <v>28</v>
      </c>
      <c r="H26" s="29" t="s">
        <v>145</v>
      </c>
      <c r="I26" s="29" t="s">
        <v>159</v>
      </c>
      <c r="J26" s="29" t="s">
        <v>135</v>
      </c>
      <c r="K26" s="26"/>
      <c r="L26" s="29" t="s">
        <v>146</v>
      </c>
      <c r="M26" s="29" t="s">
        <v>136</v>
      </c>
      <c r="N26" s="28" t="s">
        <v>160</v>
      </c>
      <c r="O26" s="26"/>
      <c r="P26" s="29" t="s">
        <v>159</v>
      </c>
      <c r="Q26" s="29" t="s">
        <v>16</v>
      </c>
      <c r="R26" s="28" t="s">
        <v>17</v>
      </c>
      <c r="S26" s="26"/>
      <c r="T26" s="52">
        <v>195</v>
      </c>
      <c r="U26" s="25" t="str">
        <f>"180,6967"</f>
        <v>180,6967</v>
      </c>
      <c r="V26" s="16" t="s">
        <v>197</v>
      </c>
    </row>
    <row r="27" spans="1:22" ht="12.75">
      <c r="A27" s="25" t="s">
        <v>531</v>
      </c>
      <c r="B27" s="16" t="s">
        <v>198</v>
      </c>
      <c r="C27" s="16" t="s">
        <v>199</v>
      </c>
      <c r="D27" s="16" t="s">
        <v>200</v>
      </c>
      <c r="E27" s="16" t="str">
        <f>"0,9862"</f>
        <v>0,9862</v>
      </c>
      <c r="F27" s="16" t="s">
        <v>164</v>
      </c>
      <c r="G27" s="16" t="s">
        <v>28</v>
      </c>
      <c r="H27" s="29" t="s">
        <v>135</v>
      </c>
      <c r="I27" s="29" t="s">
        <v>152</v>
      </c>
      <c r="J27" s="28" t="s">
        <v>138</v>
      </c>
      <c r="K27" s="26"/>
      <c r="L27" s="29" t="s">
        <v>146</v>
      </c>
      <c r="M27" s="29" t="s">
        <v>136</v>
      </c>
      <c r="N27" s="28" t="s">
        <v>137</v>
      </c>
      <c r="O27" s="26"/>
      <c r="P27" s="29" t="s">
        <v>16</v>
      </c>
      <c r="Q27" s="29" t="s">
        <v>17</v>
      </c>
      <c r="R27" s="29" t="s">
        <v>131</v>
      </c>
      <c r="S27" s="26"/>
      <c r="T27" s="52">
        <v>225</v>
      </c>
      <c r="U27" s="25" t="str">
        <f>"221,9062"</f>
        <v>221,9062</v>
      </c>
      <c r="V27" s="16" t="s">
        <v>201</v>
      </c>
    </row>
    <row r="29" spans="1:21" ht="15.75">
      <c r="A29"/>
      <c r="B29" s="88" t="s">
        <v>25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1:22" ht="12.75">
      <c r="A30" s="25" t="s">
        <v>531</v>
      </c>
      <c r="B30" s="16" t="s">
        <v>553</v>
      </c>
      <c r="C30" s="16" t="s">
        <v>203</v>
      </c>
      <c r="D30" s="16" t="s">
        <v>204</v>
      </c>
      <c r="E30" s="16" t="str">
        <f>"0,7531"</f>
        <v>0,7531</v>
      </c>
      <c r="F30" s="16" t="s">
        <v>205</v>
      </c>
      <c r="G30" s="16" t="s">
        <v>28</v>
      </c>
      <c r="H30" s="29" t="s">
        <v>154</v>
      </c>
      <c r="I30" s="29" t="s">
        <v>177</v>
      </c>
      <c r="J30" s="29" t="s">
        <v>63</v>
      </c>
      <c r="K30" s="26"/>
      <c r="L30" s="29" t="s">
        <v>159</v>
      </c>
      <c r="M30" s="29" t="s">
        <v>127</v>
      </c>
      <c r="N30" s="28" t="s">
        <v>130</v>
      </c>
      <c r="O30" s="26"/>
      <c r="P30" s="29" t="s">
        <v>63</v>
      </c>
      <c r="Q30" s="29" t="s">
        <v>206</v>
      </c>
      <c r="R30" s="29" t="s">
        <v>207</v>
      </c>
      <c r="S30" s="26"/>
      <c r="T30" s="52">
        <v>362.5</v>
      </c>
      <c r="U30" s="25" t="str">
        <f>"273,0169"</f>
        <v>273,0169</v>
      </c>
      <c r="V30" s="16" t="s">
        <v>578</v>
      </c>
    </row>
    <row r="31" spans="1:22" ht="12.75">
      <c r="A31" s="25" t="s">
        <v>531</v>
      </c>
      <c r="B31" s="16" t="s">
        <v>554</v>
      </c>
      <c r="C31" s="16" t="s">
        <v>209</v>
      </c>
      <c r="D31" s="16" t="s">
        <v>210</v>
      </c>
      <c r="E31" s="16" t="str">
        <f>"0,7581"</f>
        <v>0,7581</v>
      </c>
      <c r="F31" s="16" t="s">
        <v>14</v>
      </c>
      <c r="G31" s="16" t="s">
        <v>28</v>
      </c>
      <c r="H31" s="29" t="s">
        <v>98</v>
      </c>
      <c r="I31" s="29" t="s">
        <v>54</v>
      </c>
      <c r="J31" s="29" t="s">
        <v>211</v>
      </c>
      <c r="K31" s="26"/>
      <c r="L31" s="29" t="s">
        <v>212</v>
      </c>
      <c r="M31" s="29" t="s">
        <v>63</v>
      </c>
      <c r="N31" s="29" t="s">
        <v>29</v>
      </c>
      <c r="O31" s="26"/>
      <c r="P31" s="29" t="s">
        <v>213</v>
      </c>
      <c r="Q31" s="29" t="s">
        <v>73</v>
      </c>
      <c r="R31" s="28" t="s">
        <v>57</v>
      </c>
      <c r="S31" s="26"/>
      <c r="T31" s="52">
        <v>570</v>
      </c>
      <c r="U31" s="25" t="str">
        <f>"432,0885"</f>
        <v>432,0885</v>
      </c>
      <c r="V31" s="16" t="s">
        <v>24</v>
      </c>
    </row>
    <row r="32" spans="1:22" ht="12.75">
      <c r="A32" s="25" t="s">
        <v>532</v>
      </c>
      <c r="B32" s="16" t="s">
        <v>555</v>
      </c>
      <c r="C32" s="16" t="s">
        <v>214</v>
      </c>
      <c r="D32" s="16" t="s">
        <v>215</v>
      </c>
      <c r="E32" s="16" t="str">
        <f>"0,7513"</f>
        <v>0,7513</v>
      </c>
      <c r="F32" s="16" t="s">
        <v>14</v>
      </c>
      <c r="G32" s="16" t="s">
        <v>28</v>
      </c>
      <c r="H32" s="29" t="s">
        <v>63</v>
      </c>
      <c r="I32" s="29" t="s">
        <v>206</v>
      </c>
      <c r="J32" s="29" t="s">
        <v>30</v>
      </c>
      <c r="K32" s="26"/>
      <c r="L32" s="28" t="s">
        <v>138</v>
      </c>
      <c r="M32" s="29" t="s">
        <v>138</v>
      </c>
      <c r="N32" s="29" t="s">
        <v>18</v>
      </c>
      <c r="O32" s="26"/>
      <c r="P32" s="28" t="s">
        <v>96</v>
      </c>
      <c r="Q32" s="28" t="s">
        <v>96</v>
      </c>
      <c r="R32" s="29" t="s">
        <v>96</v>
      </c>
      <c r="S32" s="26"/>
      <c r="T32" s="52">
        <v>427.5</v>
      </c>
      <c r="U32" s="25" t="str">
        <f>"321,1594"</f>
        <v>321,1594</v>
      </c>
      <c r="V32" s="16" t="s">
        <v>38</v>
      </c>
    </row>
    <row r="34" spans="1:21" ht="15.75">
      <c r="A34"/>
      <c r="B34" s="88" t="s">
        <v>216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1:22" ht="12.75">
      <c r="A35" s="25" t="s">
        <v>531</v>
      </c>
      <c r="B35" s="16" t="s">
        <v>556</v>
      </c>
      <c r="C35" s="16" t="s">
        <v>217</v>
      </c>
      <c r="D35" s="16" t="s">
        <v>218</v>
      </c>
      <c r="E35" s="16" t="str">
        <f>"0,7304"</f>
        <v>0,7304</v>
      </c>
      <c r="F35" s="16" t="s">
        <v>164</v>
      </c>
      <c r="G35" s="16" t="s">
        <v>28</v>
      </c>
      <c r="H35" s="29" t="s">
        <v>219</v>
      </c>
      <c r="I35" s="28" t="s">
        <v>220</v>
      </c>
      <c r="J35" s="28" t="s">
        <v>220</v>
      </c>
      <c r="K35" s="26"/>
      <c r="L35" s="28" t="s">
        <v>18</v>
      </c>
      <c r="M35" s="28" t="s">
        <v>18</v>
      </c>
      <c r="N35" s="29" t="s">
        <v>18</v>
      </c>
      <c r="O35" s="26"/>
      <c r="P35" s="28" t="s">
        <v>35</v>
      </c>
      <c r="Q35" s="29" t="s">
        <v>35</v>
      </c>
      <c r="R35" s="28" t="s">
        <v>36</v>
      </c>
      <c r="S35" s="26"/>
      <c r="T35" s="52">
        <v>415</v>
      </c>
      <c r="U35" s="25" t="str">
        <f>"303,1367"</f>
        <v>303,1367</v>
      </c>
      <c r="V35" s="16" t="s">
        <v>168</v>
      </c>
    </row>
    <row r="36" spans="1:22" ht="12.75">
      <c r="A36" s="25" t="s">
        <v>532</v>
      </c>
      <c r="B36" s="16" t="s">
        <v>557</v>
      </c>
      <c r="C36" s="16" t="s">
        <v>221</v>
      </c>
      <c r="D36" s="16" t="s">
        <v>222</v>
      </c>
      <c r="E36" s="16" t="str">
        <f>"0,6934"</f>
        <v>0,6934</v>
      </c>
      <c r="F36" s="16" t="s">
        <v>164</v>
      </c>
      <c r="G36" s="16" t="s">
        <v>28</v>
      </c>
      <c r="H36" s="28" t="s">
        <v>34</v>
      </c>
      <c r="I36" s="29" t="s">
        <v>34</v>
      </c>
      <c r="J36" s="28" t="s">
        <v>63</v>
      </c>
      <c r="K36" s="26"/>
      <c r="L36" s="29" t="s">
        <v>16</v>
      </c>
      <c r="M36" s="29" t="s">
        <v>165</v>
      </c>
      <c r="N36" s="28" t="s">
        <v>166</v>
      </c>
      <c r="O36" s="26"/>
      <c r="P36" s="29" t="s">
        <v>206</v>
      </c>
      <c r="Q36" s="29" t="s">
        <v>207</v>
      </c>
      <c r="R36" s="28" t="s">
        <v>56</v>
      </c>
      <c r="S36" s="26"/>
      <c r="T36" s="52">
        <v>362.5</v>
      </c>
      <c r="U36" s="25" t="str">
        <f>"251,3394"</f>
        <v>251,3394</v>
      </c>
      <c r="V36" s="16" t="s">
        <v>223</v>
      </c>
    </row>
    <row r="38" spans="1:21" ht="15.75">
      <c r="A38"/>
      <c r="B38" s="88" t="s">
        <v>224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1:22" ht="12.75">
      <c r="A39" s="25" t="s">
        <v>531</v>
      </c>
      <c r="B39" s="16" t="s">
        <v>225</v>
      </c>
      <c r="C39" s="16" t="s">
        <v>226</v>
      </c>
      <c r="D39" s="16" t="s">
        <v>227</v>
      </c>
      <c r="E39" s="16" t="str">
        <f>"0,6583"</f>
        <v>0,6583</v>
      </c>
      <c r="F39" s="16" t="s">
        <v>196</v>
      </c>
      <c r="G39" s="16" t="s">
        <v>28</v>
      </c>
      <c r="H39" s="29" t="s">
        <v>16</v>
      </c>
      <c r="I39" s="28" t="s">
        <v>17</v>
      </c>
      <c r="J39" s="28" t="s">
        <v>17</v>
      </c>
      <c r="K39" s="26"/>
      <c r="L39" s="29" t="s">
        <v>16</v>
      </c>
      <c r="M39" s="29" t="s">
        <v>152</v>
      </c>
      <c r="N39" s="29" t="s">
        <v>166</v>
      </c>
      <c r="O39" s="26"/>
      <c r="P39" s="29" t="s">
        <v>173</v>
      </c>
      <c r="Q39" s="29" t="s">
        <v>212</v>
      </c>
      <c r="R39" s="29" t="s">
        <v>29</v>
      </c>
      <c r="S39" s="26"/>
      <c r="T39" s="52">
        <v>307.5</v>
      </c>
      <c r="U39" s="25" t="str">
        <f>"202,4426"</f>
        <v>202,4426</v>
      </c>
      <c r="V39" s="16" t="s">
        <v>197</v>
      </c>
    </row>
    <row r="40" spans="1:22" ht="12.75">
      <c r="A40" s="25" t="s">
        <v>531</v>
      </c>
      <c r="B40" s="16" t="s">
        <v>558</v>
      </c>
      <c r="C40" s="16" t="s">
        <v>229</v>
      </c>
      <c r="D40" s="16" t="s">
        <v>230</v>
      </c>
      <c r="E40" s="16" t="str">
        <f>"0,6682"</f>
        <v>0,6682</v>
      </c>
      <c r="F40" s="16" t="s">
        <v>196</v>
      </c>
      <c r="G40" s="16" t="s">
        <v>28</v>
      </c>
      <c r="H40" s="29" t="s">
        <v>56</v>
      </c>
      <c r="I40" s="29" t="s">
        <v>96</v>
      </c>
      <c r="J40" s="29" t="s">
        <v>47</v>
      </c>
      <c r="K40" s="26"/>
      <c r="L40" s="29" t="s">
        <v>138</v>
      </c>
      <c r="M40" s="29" t="s">
        <v>131</v>
      </c>
      <c r="N40" s="29" t="s">
        <v>192</v>
      </c>
      <c r="O40" s="26"/>
      <c r="P40" s="29" t="s">
        <v>56</v>
      </c>
      <c r="Q40" s="29" t="s">
        <v>47</v>
      </c>
      <c r="R40" s="29" t="s">
        <v>98</v>
      </c>
      <c r="S40" s="26"/>
      <c r="T40" s="52">
        <v>475</v>
      </c>
      <c r="U40" s="25" t="str">
        <f>"317,3713"</f>
        <v>317,3713</v>
      </c>
      <c r="V40" s="16" t="s">
        <v>197</v>
      </c>
    </row>
    <row r="41" spans="1:22" ht="12.75">
      <c r="A41" s="25" t="s">
        <v>531</v>
      </c>
      <c r="B41" s="16" t="s">
        <v>559</v>
      </c>
      <c r="C41" s="16" t="s">
        <v>232</v>
      </c>
      <c r="D41" s="16" t="s">
        <v>233</v>
      </c>
      <c r="E41" s="16" t="str">
        <f>"0,6497"</f>
        <v>0,6497</v>
      </c>
      <c r="F41" s="16" t="s">
        <v>164</v>
      </c>
      <c r="G41" s="16" t="s">
        <v>28</v>
      </c>
      <c r="H41" s="28" t="s">
        <v>47</v>
      </c>
      <c r="I41" s="29" t="s">
        <v>47</v>
      </c>
      <c r="J41" s="28" t="s">
        <v>37</v>
      </c>
      <c r="K41" s="26"/>
      <c r="L41" s="29" t="s">
        <v>34</v>
      </c>
      <c r="M41" s="29" t="s">
        <v>63</v>
      </c>
      <c r="N41" s="29" t="s">
        <v>29</v>
      </c>
      <c r="O41" s="26"/>
      <c r="P41" s="29" t="s">
        <v>211</v>
      </c>
      <c r="Q41" s="29" t="s">
        <v>234</v>
      </c>
      <c r="R41" s="28" t="s">
        <v>43</v>
      </c>
      <c r="S41" s="26"/>
      <c r="T41" s="52">
        <v>542.5</v>
      </c>
      <c r="U41" s="25" t="str">
        <f>"352,4894"</f>
        <v>352,4894</v>
      </c>
      <c r="V41" s="16" t="s">
        <v>179</v>
      </c>
    </row>
    <row r="42" spans="1:22" ht="12.75">
      <c r="A42" s="25" t="s">
        <v>531</v>
      </c>
      <c r="B42" s="16" t="s">
        <v>560</v>
      </c>
      <c r="C42" s="16" t="s">
        <v>235</v>
      </c>
      <c r="D42" s="16" t="s">
        <v>236</v>
      </c>
      <c r="E42" s="16" t="str">
        <f>"0,6578"</f>
        <v>0,6578</v>
      </c>
      <c r="F42" s="16" t="s">
        <v>196</v>
      </c>
      <c r="G42" s="16" t="s">
        <v>28</v>
      </c>
      <c r="H42" s="29" t="s">
        <v>30</v>
      </c>
      <c r="I42" s="29" t="s">
        <v>207</v>
      </c>
      <c r="J42" s="28" t="s">
        <v>62</v>
      </c>
      <c r="K42" s="26"/>
      <c r="L42" s="29" t="s">
        <v>192</v>
      </c>
      <c r="M42" s="28" t="s">
        <v>32</v>
      </c>
      <c r="N42" s="28" t="s">
        <v>154</v>
      </c>
      <c r="O42" s="26"/>
      <c r="P42" s="28" t="s">
        <v>55</v>
      </c>
      <c r="Q42" s="29" t="s">
        <v>55</v>
      </c>
      <c r="R42" s="28" t="s">
        <v>237</v>
      </c>
      <c r="S42" s="26"/>
      <c r="T42" s="52">
        <v>475</v>
      </c>
      <c r="U42" s="25" t="str">
        <f>"312,4550"</f>
        <v>312,4550</v>
      </c>
      <c r="V42" s="16" t="s">
        <v>197</v>
      </c>
    </row>
    <row r="43" spans="1:22" ht="12.75">
      <c r="A43" s="25"/>
      <c r="B43" s="16" t="s">
        <v>238</v>
      </c>
      <c r="C43" s="16" t="s">
        <v>239</v>
      </c>
      <c r="D43" s="16" t="s">
        <v>240</v>
      </c>
      <c r="E43" s="16" t="str">
        <f>"0,6461"</f>
        <v>0,6461</v>
      </c>
      <c r="F43" s="16" t="s">
        <v>61</v>
      </c>
      <c r="G43" s="16" t="s">
        <v>570</v>
      </c>
      <c r="H43" s="28" t="s">
        <v>30</v>
      </c>
      <c r="I43" s="28" t="s">
        <v>30</v>
      </c>
      <c r="J43" s="28" t="s">
        <v>62</v>
      </c>
      <c r="K43" s="26"/>
      <c r="L43" s="28" t="s">
        <v>58</v>
      </c>
      <c r="M43" s="26"/>
      <c r="N43" s="26"/>
      <c r="O43" s="26"/>
      <c r="P43" s="28" t="s">
        <v>58</v>
      </c>
      <c r="Q43" s="51"/>
      <c r="R43" s="26"/>
      <c r="S43" s="26"/>
      <c r="T43" s="52">
        <v>0</v>
      </c>
      <c r="U43" s="25" t="str">
        <f>"0,0000"</f>
        <v>0,0000</v>
      </c>
      <c r="V43" s="16" t="s">
        <v>87</v>
      </c>
    </row>
    <row r="44" spans="1:22" ht="12.75">
      <c r="A44" s="25" t="s">
        <v>531</v>
      </c>
      <c r="B44" s="16" t="s">
        <v>561</v>
      </c>
      <c r="C44" s="16" t="s">
        <v>242</v>
      </c>
      <c r="D44" s="16" t="s">
        <v>243</v>
      </c>
      <c r="E44" s="16" t="str">
        <f>"0,6471"</f>
        <v>0,6471</v>
      </c>
      <c r="F44" s="16" t="s">
        <v>244</v>
      </c>
      <c r="G44" s="16" t="s">
        <v>28</v>
      </c>
      <c r="H44" s="29" t="s">
        <v>36</v>
      </c>
      <c r="I44" s="29" t="s">
        <v>83</v>
      </c>
      <c r="J44" s="28" t="s">
        <v>211</v>
      </c>
      <c r="K44" s="26"/>
      <c r="L44" s="29" t="s">
        <v>206</v>
      </c>
      <c r="M44" s="29" t="s">
        <v>64</v>
      </c>
      <c r="N44" s="28" t="s">
        <v>30</v>
      </c>
      <c r="O44" s="26"/>
      <c r="P44" s="29" t="s">
        <v>73</v>
      </c>
      <c r="Q44" s="29" t="s">
        <v>57</v>
      </c>
      <c r="R44" s="28" t="s">
        <v>80</v>
      </c>
      <c r="S44" s="26"/>
      <c r="T44" s="52">
        <v>580</v>
      </c>
      <c r="U44" s="25" t="str">
        <f>"375,3470"</f>
        <v>375,3470</v>
      </c>
      <c r="V44" s="16" t="s">
        <v>139</v>
      </c>
    </row>
    <row r="45" spans="1:22" ht="12.75">
      <c r="A45" s="25" t="s">
        <v>532</v>
      </c>
      <c r="B45" s="16" t="s">
        <v>562</v>
      </c>
      <c r="C45" s="16" t="s">
        <v>245</v>
      </c>
      <c r="D45" s="16" t="s">
        <v>246</v>
      </c>
      <c r="E45" s="16" t="str">
        <f>"0,6508"</f>
        <v>0,6508</v>
      </c>
      <c r="F45" s="16" t="s">
        <v>14</v>
      </c>
      <c r="G45" s="16" t="s">
        <v>28</v>
      </c>
      <c r="H45" s="29" t="s">
        <v>62</v>
      </c>
      <c r="I45" s="29" t="s">
        <v>46</v>
      </c>
      <c r="J45" s="29" t="s">
        <v>247</v>
      </c>
      <c r="K45" s="26"/>
      <c r="L45" s="29" t="s">
        <v>154</v>
      </c>
      <c r="M45" s="29" t="s">
        <v>212</v>
      </c>
      <c r="N45" s="28" t="s">
        <v>63</v>
      </c>
      <c r="O45" s="26"/>
      <c r="P45" s="29" t="s">
        <v>54</v>
      </c>
      <c r="Q45" s="29" t="s">
        <v>213</v>
      </c>
      <c r="R45" s="28" t="s">
        <v>248</v>
      </c>
      <c r="S45" s="26"/>
      <c r="T45" s="52">
        <v>512.5</v>
      </c>
      <c r="U45" s="25" t="str">
        <f>"333,5350"</f>
        <v>333,5350</v>
      </c>
      <c r="V45" s="16" t="s">
        <v>38</v>
      </c>
    </row>
    <row r="46" spans="1:22" ht="12.75">
      <c r="A46" s="25" t="s">
        <v>533</v>
      </c>
      <c r="B46" s="16" t="s">
        <v>563</v>
      </c>
      <c r="C46" s="16" t="s">
        <v>250</v>
      </c>
      <c r="D46" s="16" t="s">
        <v>251</v>
      </c>
      <c r="E46" s="16" t="str">
        <f>"0,6561"</f>
        <v>0,6561</v>
      </c>
      <c r="F46" s="16" t="s">
        <v>164</v>
      </c>
      <c r="G46" s="16" t="s">
        <v>28</v>
      </c>
      <c r="H46" s="28" t="s">
        <v>56</v>
      </c>
      <c r="I46" s="29" t="s">
        <v>56</v>
      </c>
      <c r="J46" s="29" t="s">
        <v>96</v>
      </c>
      <c r="K46" s="26"/>
      <c r="L46" s="29" t="s">
        <v>206</v>
      </c>
      <c r="M46" s="29" t="s">
        <v>252</v>
      </c>
      <c r="N46" s="28" t="s">
        <v>178</v>
      </c>
      <c r="O46" s="26"/>
      <c r="P46" s="29" t="s">
        <v>62</v>
      </c>
      <c r="Q46" s="29" t="s">
        <v>47</v>
      </c>
      <c r="R46" s="28" t="s">
        <v>82</v>
      </c>
      <c r="S46" s="26"/>
      <c r="T46" s="52">
        <v>502.5</v>
      </c>
      <c r="U46" s="25" t="str">
        <f>"329,7154"</f>
        <v>329,7154</v>
      </c>
      <c r="V46" s="16" t="s">
        <v>575</v>
      </c>
    </row>
    <row r="47" spans="1:22" ht="12.75">
      <c r="A47" s="25" t="s">
        <v>571</v>
      </c>
      <c r="B47" s="16" t="s">
        <v>564</v>
      </c>
      <c r="C47" s="16" t="s">
        <v>253</v>
      </c>
      <c r="D47" s="16" t="s">
        <v>254</v>
      </c>
      <c r="E47" s="16" t="str">
        <f>"0,6477"</f>
        <v>0,6477</v>
      </c>
      <c r="F47" s="16" t="s">
        <v>14</v>
      </c>
      <c r="G47" s="16" t="s">
        <v>28</v>
      </c>
      <c r="H47" s="28" t="s">
        <v>206</v>
      </c>
      <c r="I47" s="29" t="s">
        <v>206</v>
      </c>
      <c r="J47" s="29" t="s">
        <v>220</v>
      </c>
      <c r="K47" s="26"/>
      <c r="L47" s="29" t="s">
        <v>16</v>
      </c>
      <c r="M47" s="28" t="s">
        <v>166</v>
      </c>
      <c r="N47" s="28" t="s">
        <v>166</v>
      </c>
      <c r="O47" s="26"/>
      <c r="P47" s="28" t="s">
        <v>35</v>
      </c>
      <c r="Q47" s="29" t="s">
        <v>47</v>
      </c>
      <c r="R47" s="28" t="s">
        <v>37</v>
      </c>
      <c r="S47" s="26"/>
      <c r="T47" s="52">
        <v>417.5</v>
      </c>
      <c r="U47" s="25" t="str">
        <f>"270,3939"</f>
        <v>270,3939</v>
      </c>
      <c r="V47" s="16" t="s">
        <v>38</v>
      </c>
    </row>
    <row r="48" spans="1:22" ht="12.75">
      <c r="A48" s="25"/>
      <c r="B48" s="16" t="s">
        <v>255</v>
      </c>
      <c r="C48" s="16" t="s">
        <v>256</v>
      </c>
      <c r="D48" s="16" t="s">
        <v>257</v>
      </c>
      <c r="E48" s="16" t="str">
        <f>"0,6712"</f>
        <v>0,6712</v>
      </c>
      <c r="F48" s="16" t="s">
        <v>196</v>
      </c>
      <c r="G48" s="16" t="s">
        <v>28</v>
      </c>
      <c r="H48" s="28" t="s">
        <v>173</v>
      </c>
      <c r="I48" s="28" t="s">
        <v>173</v>
      </c>
      <c r="J48" s="28" t="s">
        <v>173</v>
      </c>
      <c r="K48" s="26"/>
      <c r="L48" s="28" t="s">
        <v>58</v>
      </c>
      <c r="M48" s="26"/>
      <c r="N48" s="26"/>
      <c r="O48" s="26"/>
      <c r="P48" s="28" t="s">
        <v>58</v>
      </c>
      <c r="Q48" s="26"/>
      <c r="R48" s="26"/>
      <c r="S48" s="26"/>
      <c r="T48" s="52">
        <v>0</v>
      </c>
      <c r="U48" s="25" t="str">
        <f>"0,0000"</f>
        <v>0,0000</v>
      </c>
      <c r="V48" s="16" t="s">
        <v>197</v>
      </c>
    </row>
    <row r="50" spans="1:21" ht="15.75">
      <c r="A50"/>
      <c r="B50" s="88" t="s">
        <v>39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1:22" ht="12.75">
      <c r="A51" s="25" t="s">
        <v>531</v>
      </c>
      <c r="B51" s="16" t="s">
        <v>565</v>
      </c>
      <c r="C51" s="16" t="s">
        <v>258</v>
      </c>
      <c r="D51" s="16" t="s">
        <v>259</v>
      </c>
      <c r="E51" s="16" t="str">
        <f>"0,6141"</f>
        <v>0,6141</v>
      </c>
      <c r="F51" s="16" t="s">
        <v>14</v>
      </c>
      <c r="G51" s="16" t="s">
        <v>28</v>
      </c>
      <c r="H51" s="29" t="s">
        <v>62</v>
      </c>
      <c r="I51" s="29" t="s">
        <v>35</v>
      </c>
      <c r="J51" s="51"/>
      <c r="K51" s="26"/>
      <c r="L51" s="29" t="s">
        <v>34</v>
      </c>
      <c r="M51" s="29" t="s">
        <v>212</v>
      </c>
      <c r="N51" s="28" t="s">
        <v>22</v>
      </c>
      <c r="O51" s="26"/>
      <c r="P51" s="29" t="s">
        <v>98</v>
      </c>
      <c r="Q51" s="29" t="s">
        <v>54</v>
      </c>
      <c r="R51" s="29" t="s">
        <v>260</v>
      </c>
      <c r="S51" s="26"/>
      <c r="T51" s="52">
        <v>515</v>
      </c>
      <c r="U51" s="25" t="str">
        <f>"316,2872"</f>
        <v>316,2872</v>
      </c>
      <c r="V51" s="16" t="s">
        <v>38</v>
      </c>
    </row>
    <row r="52" spans="1:22" ht="12.75">
      <c r="A52" s="25" t="s">
        <v>531</v>
      </c>
      <c r="B52" s="16" t="s">
        <v>566</v>
      </c>
      <c r="C52" s="16" t="s">
        <v>262</v>
      </c>
      <c r="D52" s="16" t="s">
        <v>263</v>
      </c>
      <c r="E52" s="16" t="str">
        <f>"0,6165"</f>
        <v>0,6165</v>
      </c>
      <c r="F52" s="16" t="s">
        <v>196</v>
      </c>
      <c r="G52" s="16" t="s">
        <v>28</v>
      </c>
      <c r="H52" s="29" t="s">
        <v>34</v>
      </c>
      <c r="I52" s="29" t="s">
        <v>63</v>
      </c>
      <c r="J52" s="29" t="s">
        <v>206</v>
      </c>
      <c r="K52" s="26"/>
      <c r="L52" s="29" t="s">
        <v>131</v>
      </c>
      <c r="M52" s="29" t="s">
        <v>173</v>
      </c>
      <c r="N52" s="28" t="s">
        <v>34</v>
      </c>
      <c r="O52" s="26"/>
      <c r="P52" s="29" t="s">
        <v>35</v>
      </c>
      <c r="Q52" s="29" t="s">
        <v>47</v>
      </c>
      <c r="R52" s="51"/>
      <c r="S52" s="26"/>
      <c r="T52" s="52">
        <v>430</v>
      </c>
      <c r="U52" s="25" t="str">
        <f>"324,7150"</f>
        <v>324,7150</v>
      </c>
      <c r="V52" s="16" t="s">
        <v>197</v>
      </c>
    </row>
    <row r="54" spans="1:21" ht="15.75">
      <c r="A54"/>
      <c r="B54" s="88" t="s">
        <v>264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1:22" ht="12.75">
      <c r="A55" s="25" t="s">
        <v>531</v>
      </c>
      <c r="B55" s="16" t="s">
        <v>567</v>
      </c>
      <c r="C55" s="16" t="s">
        <v>265</v>
      </c>
      <c r="D55" s="16" t="s">
        <v>266</v>
      </c>
      <c r="E55" s="16" t="str">
        <f>"0,5905"</f>
        <v>0,5905</v>
      </c>
      <c r="F55" s="16" t="s">
        <v>61</v>
      </c>
      <c r="G55" s="16" t="s">
        <v>28</v>
      </c>
      <c r="H55" s="29" t="s">
        <v>206</v>
      </c>
      <c r="I55" s="29" t="s">
        <v>30</v>
      </c>
      <c r="J55" s="28" t="s">
        <v>56</v>
      </c>
      <c r="K55" s="26"/>
      <c r="L55" s="28" t="s">
        <v>16</v>
      </c>
      <c r="M55" s="29" t="s">
        <v>152</v>
      </c>
      <c r="N55" s="28" t="s">
        <v>166</v>
      </c>
      <c r="O55" s="26"/>
      <c r="P55" s="29" t="s">
        <v>206</v>
      </c>
      <c r="Q55" s="29" t="s">
        <v>30</v>
      </c>
      <c r="R55" s="29" t="s">
        <v>62</v>
      </c>
      <c r="S55" s="26"/>
      <c r="T55" s="52">
        <v>395</v>
      </c>
      <c r="U55" s="25" t="str">
        <f>"233,2475"</f>
        <v>233,2475</v>
      </c>
      <c r="V55" s="16" t="s">
        <v>267</v>
      </c>
    </row>
    <row r="57" spans="1:21" ht="15.75">
      <c r="A57"/>
      <c r="B57" s="88" t="s">
        <v>66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1:22" ht="12.75">
      <c r="A58" s="25" t="s">
        <v>531</v>
      </c>
      <c r="B58" s="16" t="s">
        <v>568</v>
      </c>
      <c r="C58" s="16" t="s">
        <v>269</v>
      </c>
      <c r="D58" s="16" t="s">
        <v>270</v>
      </c>
      <c r="E58" s="16" t="str">
        <f>"0,5688"</f>
        <v>0,5688</v>
      </c>
      <c r="F58" s="16" t="s">
        <v>14</v>
      </c>
      <c r="G58" s="16" t="s">
        <v>28</v>
      </c>
      <c r="H58" s="29" t="s">
        <v>211</v>
      </c>
      <c r="I58" s="28" t="s">
        <v>55</v>
      </c>
      <c r="J58" s="29" t="s">
        <v>55</v>
      </c>
      <c r="K58" s="26"/>
      <c r="L58" s="29" t="s">
        <v>178</v>
      </c>
      <c r="M58" s="29" t="s">
        <v>31</v>
      </c>
      <c r="N58" s="28" t="s">
        <v>96</v>
      </c>
      <c r="O58" s="26"/>
      <c r="P58" s="29" t="s">
        <v>260</v>
      </c>
      <c r="Q58" s="29" t="s">
        <v>271</v>
      </c>
      <c r="R58" s="29" t="s">
        <v>272</v>
      </c>
      <c r="S58" s="26"/>
      <c r="T58" s="52">
        <v>620</v>
      </c>
      <c r="U58" s="25" t="str">
        <f>"352,6870"</f>
        <v>352,6870</v>
      </c>
      <c r="V58" s="16" t="s">
        <v>38</v>
      </c>
    </row>
    <row r="59" spans="1:22" ht="12.75">
      <c r="A59" s="25" t="s">
        <v>531</v>
      </c>
      <c r="B59" s="16" t="s">
        <v>268</v>
      </c>
      <c r="C59" s="16" t="s">
        <v>273</v>
      </c>
      <c r="D59" s="16" t="s">
        <v>270</v>
      </c>
      <c r="E59" s="16" t="str">
        <f>"0,5688"</f>
        <v>0,5688</v>
      </c>
      <c r="F59" s="16" t="s">
        <v>14</v>
      </c>
      <c r="G59" s="16" t="s">
        <v>28</v>
      </c>
      <c r="H59" s="29" t="s">
        <v>211</v>
      </c>
      <c r="I59" s="28" t="s">
        <v>55</v>
      </c>
      <c r="J59" s="29" t="s">
        <v>55</v>
      </c>
      <c r="K59" s="26"/>
      <c r="L59" s="29" t="s">
        <v>178</v>
      </c>
      <c r="M59" s="29" t="s">
        <v>31</v>
      </c>
      <c r="N59" s="28" t="s">
        <v>96</v>
      </c>
      <c r="O59" s="26"/>
      <c r="P59" s="29" t="s">
        <v>260</v>
      </c>
      <c r="Q59" s="29" t="s">
        <v>271</v>
      </c>
      <c r="R59" s="29" t="s">
        <v>272</v>
      </c>
      <c r="S59" s="26"/>
      <c r="T59" s="52">
        <v>620</v>
      </c>
      <c r="U59" s="25" t="str">
        <f>"352,6870"</f>
        <v>352,6870</v>
      </c>
      <c r="V59" s="16" t="s">
        <v>38</v>
      </c>
    </row>
    <row r="61" spans="2:3" ht="18">
      <c r="B61" s="18" t="s">
        <v>100</v>
      </c>
      <c r="C61" s="18"/>
    </row>
    <row r="62" spans="2:3" ht="15" customHeight="1">
      <c r="B62" s="18"/>
      <c r="C62" s="18"/>
    </row>
    <row r="63" spans="2:3" ht="15.75">
      <c r="B63" s="19" t="s">
        <v>274</v>
      </c>
      <c r="C63" s="19"/>
    </row>
    <row r="64" spans="2:3" ht="13.5">
      <c r="B64" s="21"/>
      <c r="C64" s="22" t="s">
        <v>155</v>
      </c>
    </row>
    <row r="65" spans="2:6" ht="13.5">
      <c r="B65" s="23" t="s">
        <v>102</v>
      </c>
      <c r="C65" s="23" t="s">
        <v>103</v>
      </c>
      <c r="D65" s="23" t="s">
        <v>104</v>
      </c>
      <c r="E65" s="23" t="s">
        <v>105</v>
      </c>
      <c r="F65" s="23" t="s">
        <v>106</v>
      </c>
    </row>
    <row r="66" spans="1:6" ht="12.75">
      <c r="A66" s="27" t="s">
        <v>531</v>
      </c>
      <c r="B66" s="20" t="s">
        <v>174</v>
      </c>
      <c r="C66" s="15" t="s">
        <v>115</v>
      </c>
      <c r="D66" s="15" t="s">
        <v>277</v>
      </c>
      <c r="E66" s="15" t="s">
        <v>278</v>
      </c>
      <c r="F66" s="24" t="s">
        <v>279</v>
      </c>
    </row>
    <row r="67" spans="1:6" ht="12.75">
      <c r="A67" s="27" t="s">
        <v>532</v>
      </c>
      <c r="B67" s="20" t="s">
        <v>180</v>
      </c>
      <c r="C67" s="15" t="s">
        <v>115</v>
      </c>
      <c r="D67" s="15" t="s">
        <v>277</v>
      </c>
      <c r="E67" s="15" t="s">
        <v>280</v>
      </c>
      <c r="F67" s="24" t="s">
        <v>281</v>
      </c>
    </row>
    <row r="68" spans="1:6" ht="12.75">
      <c r="A68" s="27" t="s">
        <v>533</v>
      </c>
      <c r="B68" s="20" t="s">
        <v>186</v>
      </c>
      <c r="C68" s="15" t="s">
        <v>115</v>
      </c>
      <c r="D68" s="15" t="s">
        <v>108</v>
      </c>
      <c r="E68" s="15" t="s">
        <v>280</v>
      </c>
      <c r="F68" s="24" t="s">
        <v>282</v>
      </c>
    </row>
    <row r="70" spans="2:3" ht="15.75">
      <c r="B70" s="19" t="s">
        <v>535</v>
      </c>
      <c r="C70" s="19"/>
    </row>
    <row r="71" spans="2:3" ht="13.5">
      <c r="B71" s="21"/>
      <c r="C71" s="22" t="s">
        <v>155</v>
      </c>
    </row>
    <row r="72" spans="2:6" ht="13.5">
      <c r="B72" s="23" t="s">
        <v>102</v>
      </c>
      <c r="C72" s="23" t="s">
        <v>103</v>
      </c>
      <c r="D72" s="23" t="s">
        <v>104</v>
      </c>
      <c r="E72" s="23" t="s">
        <v>105</v>
      </c>
      <c r="F72" s="23" t="s">
        <v>106</v>
      </c>
    </row>
    <row r="73" spans="1:6" ht="12.75">
      <c r="A73" s="27" t="s">
        <v>531</v>
      </c>
      <c r="B73" s="20" t="s">
        <v>231</v>
      </c>
      <c r="C73" s="15" t="s">
        <v>276</v>
      </c>
      <c r="D73" s="15" t="s">
        <v>283</v>
      </c>
      <c r="E73" s="15" t="s">
        <v>290</v>
      </c>
      <c r="F73" s="24" t="s">
        <v>291</v>
      </c>
    </row>
    <row r="74" spans="1:6" ht="12.75">
      <c r="A74" s="27" t="s">
        <v>532</v>
      </c>
      <c r="B74" s="20" t="s">
        <v>228</v>
      </c>
      <c r="C74" s="15" t="s">
        <v>107</v>
      </c>
      <c r="D74" s="15" t="s">
        <v>283</v>
      </c>
      <c r="E74" s="15" t="s">
        <v>284</v>
      </c>
      <c r="F74" s="24" t="s">
        <v>285</v>
      </c>
    </row>
    <row r="75" spans="1:6" ht="12.75">
      <c r="A75" s="27" t="s">
        <v>533</v>
      </c>
      <c r="B75" s="20" t="s">
        <v>202</v>
      </c>
      <c r="C75" s="15" t="s">
        <v>107</v>
      </c>
      <c r="D75" s="15" t="s">
        <v>114</v>
      </c>
      <c r="E75" s="15" t="s">
        <v>286</v>
      </c>
      <c r="F75" s="24" t="s">
        <v>287</v>
      </c>
    </row>
    <row r="76" spans="2:6" ht="12.75">
      <c r="B76" s="20"/>
      <c r="F76" s="24"/>
    </row>
    <row r="77" ht="15.75">
      <c r="B77" s="19" t="s">
        <v>569</v>
      </c>
    </row>
    <row r="78" spans="2:3" ht="13.5">
      <c r="B78" s="21"/>
      <c r="C78" s="22" t="s">
        <v>155</v>
      </c>
    </row>
    <row r="79" spans="2:6" ht="13.5">
      <c r="B79" s="23" t="s">
        <v>102</v>
      </c>
      <c r="C79" s="23" t="s">
        <v>103</v>
      </c>
      <c r="D79" s="23" t="s">
        <v>104</v>
      </c>
      <c r="E79" s="23" t="s">
        <v>105</v>
      </c>
      <c r="F79" s="23" t="s">
        <v>106</v>
      </c>
    </row>
    <row r="80" spans="1:6" ht="12.75">
      <c r="A80" s="27" t="s">
        <v>531</v>
      </c>
      <c r="B80" s="20" t="s">
        <v>208</v>
      </c>
      <c r="C80" s="15" t="s">
        <v>115</v>
      </c>
      <c r="D80" s="15" t="s">
        <v>114</v>
      </c>
      <c r="E80" s="15" t="s">
        <v>294</v>
      </c>
      <c r="F80" s="24" t="s">
        <v>295</v>
      </c>
    </row>
    <row r="81" spans="1:6" ht="12.75">
      <c r="A81" s="27" t="s">
        <v>532</v>
      </c>
      <c r="B81" s="20" t="s">
        <v>241</v>
      </c>
      <c r="C81" s="15" t="s">
        <v>115</v>
      </c>
      <c r="D81" s="15" t="s">
        <v>283</v>
      </c>
      <c r="E81" s="15" t="s">
        <v>296</v>
      </c>
      <c r="F81" s="24" t="s">
        <v>297</v>
      </c>
    </row>
    <row r="82" spans="1:6" ht="12.75">
      <c r="A82" s="27" t="s">
        <v>533</v>
      </c>
      <c r="B82" s="20" t="s">
        <v>268</v>
      </c>
      <c r="C82" s="15" t="s">
        <v>115</v>
      </c>
      <c r="D82" s="15" t="s">
        <v>113</v>
      </c>
      <c r="E82" s="15" t="s">
        <v>292</v>
      </c>
      <c r="F82" s="24" t="s">
        <v>293</v>
      </c>
    </row>
  </sheetData>
  <sheetProtection/>
  <mergeCells count="25">
    <mergeCell ref="B15:U15"/>
    <mergeCell ref="B54:U54"/>
    <mergeCell ref="B57:U57"/>
    <mergeCell ref="B21:U21"/>
    <mergeCell ref="B24:U24"/>
    <mergeCell ref="B29:U29"/>
    <mergeCell ref="B34:U34"/>
    <mergeCell ref="B38:U38"/>
    <mergeCell ref="B50:U50"/>
    <mergeCell ref="P3:S3"/>
    <mergeCell ref="T3:T4"/>
    <mergeCell ref="U3:U4"/>
    <mergeCell ref="V3:V4"/>
    <mergeCell ref="B5:U5"/>
    <mergeCell ref="B10:U10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G39" sqref="G39"/>
    </sheetView>
  </sheetViews>
  <sheetFormatPr defaultColWidth="8.75390625" defaultRowHeight="12.75"/>
  <cols>
    <col min="1" max="1" width="7.25390625" style="27" customWidth="1"/>
    <col min="2" max="2" width="22.625" style="15" customWidth="1"/>
    <col min="3" max="3" width="26.00390625" style="15" bestFit="1" customWidth="1"/>
    <col min="4" max="4" width="10.625" style="15" bestFit="1" customWidth="1"/>
    <col min="5" max="5" width="8.375" style="15" bestFit="1" customWidth="1"/>
    <col min="6" max="6" width="16.25390625" style="15" customWidth="1"/>
    <col min="7" max="7" width="30.875" style="15" customWidth="1"/>
    <col min="8" max="10" width="5.625" style="27" bestFit="1" customWidth="1"/>
    <col min="11" max="11" width="5.125" style="27" bestFit="1" customWidth="1"/>
    <col min="12" max="12" width="11.875" style="27" customWidth="1"/>
    <col min="13" max="13" width="8.625" style="27" bestFit="1" customWidth="1"/>
    <col min="14" max="14" width="20.00390625" style="15" customWidth="1"/>
  </cols>
  <sheetData>
    <row r="1" spans="2:14" s="1" customFormat="1" ht="15" customHeight="1">
      <c r="B1" s="89" t="s">
        <v>646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2:14" s="1" customFormat="1" ht="75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4" customFormat="1" ht="12.75" customHeight="1">
      <c r="A3" s="99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5</v>
      </c>
      <c r="I3" s="99"/>
      <c r="J3" s="99"/>
      <c r="K3" s="103"/>
      <c r="L3" s="100" t="s">
        <v>529</v>
      </c>
      <c r="M3" s="99" t="s">
        <v>8</v>
      </c>
      <c r="N3" s="103" t="s">
        <v>9</v>
      </c>
    </row>
    <row r="4" spans="1:14" s="4" customFormat="1" ht="23.25" customHeight="1" thickBot="1">
      <c r="A4" s="98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101"/>
      <c r="M4" s="98"/>
      <c r="N4" s="104"/>
    </row>
    <row r="5" spans="1:13" ht="15.75">
      <c r="A5"/>
      <c r="B5" s="107" t="s">
        <v>216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25" t="s">
        <v>531</v>
      </c>
      <c r="B6" s="16" t="s">
        <v>139</v>
      </c>
      <c r="C6" s="16" t="s">
        <v>490</v>
      </c>
      <c r="D6" s="16" t="s">
        <v>353</v>
      </c>
      <c r="E6" s="16" t="str">
        <f>"0,8361"</f>
        <v>0,8361</v>
      </c>
      <c r="F6" s="16" t="s">
        <v>61</v>
      </c>
      <c r="G6" s="16" t="s">
        <v>28</v>
      </c>
      <c r="H6" s="29" t="s">
        <v>211</v>
      </c>
      <c r="I6" s="28" t="s">
        <v>260</v>
      </c>
      <c r="J6" s="28" t="s">
        <v>260</v>
      </c>
      <c r="K6" s="26"/>
      <c r="L6" s="52">
        <v>205</v>
      </c>
      <c r="M6" s="25" t="str">
        <f>"171,4005"</f>
        <v>171,4005</v>
      </c>
      <c r="N6" s="16" t="s">
        <v>87</v>
      </c>
    </row>
    <row r="8" spans="1:13" ht="15.75">
      <c r="A8"/>
      <c r="B8" s="88" t="s">
        <v>25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4" ht="12.75">
      <c r="A9" s="25" t="s">
        <v>531</v>
      </c>
      <c r="B9" s="16" t="s">
        <v>647</v>
      </c>
      <c r="C9" s="16" t="s">
        <v>491</v>
      </c>
      <c r="D9" s="16" t="s">
        <v>492</v>
      </c>
      <c r="E9" s="16" t="str">
        <f>"0,7671"</f>
        <v>0,7671</v>
      </c>
      <c r="F9" s="16" t="s">
        <v>61</v>
      </c>
      <c r="G9" s="16" t="s">
        <v>28</v>
      </c>
      <c r="H9" s="29" t="s">
        <v>206</v>
      </c>
      <c r="I9" s="29" t="s">
        <v>30</v>
      </c>
      <c r="J9" s="29" t="s">
        <v>207</v>
      </c>
      <c r="K9" s="26"/>
      <c r="L9" s="52">
        <v>155</v>
      </c>
      <c r="M9" s="25" t="str">
        <f>"118,8928"</f>
        <v>118,8928</v>
      </c>
      <c r="N9" s="16" t="s">
        <v>87</v>
      </c>
    </row>
    <row r="11" spans="1:13" ht="15.75">
      <c r="A11"/>
      <c r="B11" s="88" t="s">
        <v>264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4" ht="12.75">
      <c r="A12" s="25" t="s">
        <v>531</v>
      </c>
      <c r="B12" s="16" t="s">
        <v>546</v>
      </c>
      <c r="C12" s="16" t="s">
        <v>51</v>
      </c>
      <c r="D12" s="16" t="s">
        <v>42</v>
      </c>
      <c r="E12" s="16" t="s">
        <v>818</v>
      </c>
      <c r="F12" s="16" t="s">
        <v>14</v>
      </c>
      <c r="G12" s="16" t="s">
        <v>28</v>
      </c>
      <c r="H12" s="29" t="s">
        <v>48</v>
      </c>
      <c r="I12" s="29" t="s">
        <v>49</v>
      </c>
      <c r="J12" s="29" t="s">
        <v>50</v>
      </c>
      <c r="K12" s="26"/>
      <c r="L12" s="52">
        <v>330</v>
      </c>
      <c r="M12" s="25" t="s">
        <v>819</v>
      </c>
      <c r="N12" s="16" t="s">
        <v>38</v>
      </c>
    </row>
    <row r="14" spans="1:13" ht="15.75">
      <c r="A14"/>
      <c r="B14" s="88" t="s">
        <v>66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4" ht="12.75">
      <c r="A15" s="25" t="s">
        <v>531</v>
      </c>
      <c r="B15" s="16" t="s">
        <v>598</v>
      </c>
      <c r="C15" s="16" t="s">
        <v>380</v>
      </c>
      <c r="D15" s="16" t="s">
        <v>381</v>
      </c>
      <c r="E15" s="16" t="str">
        <f>"0,5640"</f>
        <v>0,5640</v>
      </c>
      <c r="F15" s="16" t="s">
        <v>321</v>
      </c>
      <c r="G15" s="16" t="s">
        <v>322</v>
      </c>
      <c r="H15" s="29" t="s">
        <v>94</v>
      </c>
      <c r="I15" s="28" t="s">
        <v>346</v>
      </c>
      <c r="J15" s="29" t="s">
        <v>346</v>
      </c>
      <c r="K15" s="26"/>
      <c r="L15" s="52">
        <v>322.5</v>
      </c>
      <c r="M15" s="25" t="str">
        <f>"181,8739"</f>
        <v>181,8739</v>
      </c>
      <c r="N15" s="16" t="s">
        <v>87</v>
      </c>
    </row>
    <row r="16" spans="1:14" ht="12.75">
      <c r="A16" s="25" t="s">
        <v>532</v>
      </c>
      <c r="B16" s="16" t="s">
        <v>548</v>
      </c>
      <c r="C16" s="16" t="s">
        <v>68</v>
      </c>
      <c r="D16" s="16" t="s">
        <v>69</v>
      </c>
      <c r="E16" s="16" t="str">
        <f>"0,5642"</f>
        <v>0,5642</v>
      </c>
      <c r="F16" s="16" t="s">
        <v>14</v>
      </c>
      <c r="G16" s="16" t="s">
        <v>28</v>
      </c>
      <c r="H16" s="29" t="s">
        <v>73</v>
      </c>
      <c r="I16" s="28" t="s">
        <v>74</v>
      </c>
      <c r="J16" s="29" t="s">
        <v>74</v>
      </c>
      <c r="K16" s="26"/>
      <c r="L16" s="52">
        <v>245</v>
      </c>
      <c r="M16" s="25" t="str">
        <f>"138,2412"</f>
        <v>138,2412</v>
      </c>
      <c r="N16" s="16" t="s">
        <v>38</v>
      </c>
    </row>
    <row r="18" spans="1:13" ht="15.75">
      <c r="A18"/>
      <c r="B18" s="88" t="s">
        <v>89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4" ht="12.75">
      <c r="A19" s="25" t="s">
        <v>531</v>
      </c>
      <c r="B19" s="16" t="s">
        <v>648</v>
      </c>
      <c r="C19" s="16" t="s">
        <v>493</v>
      </c>
      <c r="D19" s="16" t="s">
        <v>494</v>
      </c>
      <c r="E19" s="16" t="str">
        <f>"0,5499"</f>
        <v>0,5499</v>
      </c>
      <c r="F19" s="16" t="s">
        <v>78</v>
      </c>
      <c r="G19" s="16" t="s">
        <v>79</v>
      </c>
      <c r="H19" s="29" t="s">
        <v>95</v>
      </c>
      <c r="I19" s="28" t="s">
        <v>50</v>
      </c>
      <c r="J19" s="28" t="s">
        <v>50</v>
      </c>
      <c r="K19" s="26"/>
      <c r="L19" s="52">
        <v>310</v>
      </c>
      <c r="M19" s="25" t="str">
        <f>"170,4690"</f>
        <v>170,4690</v>
      </c>
      <c r="N19" s="16" t="s">
        <v>87</v>
      </c>
    </row>
    <row r="20" spans="1:14" ht="12.75">
      <c r="A20" s="25" t="s">
        <v>531</v>
      </c>
      <c r="B20" s="16" t="s">
        <v>549</v>
      </c>
      <c r="C20" s="16" t="s">
        <v>91</v>
      </c>
      <c r="D20" s="16" t="s">
        <v>92</v>
      </c>
      <c r="E20" s="16" t="str">
        <f>"0,5541"</f>
        <v>0,5541</v>
      </c>
      <c r="F20" s="16" t="s">
        <v>78</v>
      </c>
      <c r="G20" s="16" t="s">
        <v>79</v>
      </c>
      <c r="H20" s="29" t="s">
        <v>94</v>
      </c>
      <c r="I20" s="29" t="s">
        <v>50</v>
      </c>
      <c r="J20" s="28" t="s">
        <v>99</v>
      </c>
      <c r="K20" s="26"/>
      <c r="L20" s="52">
        <v>330</v>
      </c>
      <c r="M20" s="25" t="str">
        <f>"182,8365"</f>
        <v>182,8365</v>
      </c>
      <c r="N20" s="16" t="s">
        <v>550</v>
      </c>
    </row>
  </sheetData>
  <sheetProtection/>
  <mergeCells count="17">
    <mergeCell ref="B14:M14"/>
    <mergeCell ref="B18:M18"/>
    <mergeCell ref="A3:A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 topLeftCell="A3">
      <selection activeCell="G27" sqref="G27"/>
    </sheetView>
  </sheetViews>
  <sheetFormatPr defaultColWidth="11.375" defaultRowHeight="12.75"/>
  <cols>
    <col min="1" max="1" width="7.875" style="42" bestFit="1" customWidth="1"/>
    <col min="2" max="2" width="22.875" style="35" customWidth="1"/>
    <col min="3" max="3" width="27.625" style="2" customWidth="1"/>
    <col min="4" max="4" width="10.625" style="2" bestFit="1" customWidth="1"/>
    <col min="5" max="5" width="10.25390625" style="2" customWidth="1"/>
    <col min="6" max="6" width="13.375" style="5" customWidth="1"/>
    <col min="7" max="7" width="33.25390625" style="5" customWidth="1"/>
    <col min="8" max="10" width="5.625" style="42" bestFit="1" customWidth="1"/>
    <col min="11" max="11" width="5.125" style="42" bestFit="1" customWidth="1"/>
    <col min="12" max="14" width="5.625" style="42" bestFit="1" customWidth="1"/>
    <col min="15" max="15" width="5.125" style="42" bestFit="1" customWidth="1"/>
    <col min="16" max="18" width="5.625" style="42" bestFit="1" customWidth="1"/>
    <col min="19" max="19" width="5.125" style="42" bestFit="1" customWidth="1"/>
    <col min="20" max="20" width="9.25390625" style="42" bestFit="1" customWidth="1"/>
    <col min="21" max="21" width="8.625" style="42" bestFit="1" customWidth="1"/>
    <col min="22" max="22" width="21.25390625" style="5" customWidth="1"/>
    <col min="23" max="16384" width="11.375" style="1" customWidth="1"/>
  </cols>
  <sheetData>
    <row r="1" spans="1:22" ht="15" customHeight="1">
      <c r="A1" s="1"/>
      <c r="B1" s="89" t="s">
        <v>543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/>
    </row>
    <row r="2" spans="1:22" ht="86.25" customHeight="1" thickBot="1">
      <c r="A2" s="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s="4" customFormat="1" ht="12.75" customHeight="1">
      <c r="A3" s="100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542</v>
      </c>
      <c r="H3" s="102" t="s">
        <v>3</v>
      </c>
      <c r="I3" s="99"/>
      <c r="J3" s="99"/>
      <c r="K3" s="103"/>
      <c r="L3" s="102" t="s">
        <v>4</v>
      </c>
      <c r="M3" s="99"/>
      <c r="N3" s="99"/>
      <c r="O3" s="103"/>
      <c r="P3" s="102" t="s">
        <v>5</v>
      </c>
      <c r="Q3" s="99"/>
      <c r="R3" s="99"/>
      <c r="S3" s="103"/>
      <c r="T3" s="100" t="s">
        <v>7</v>
      </c>
      <c r="U3" s="99" t="s">
        <v>8</v>
      </c>
      <c r="V3" s="103" t="s">
        <v>9</v>
      </c>
    </row>
    <row r="4" spans="1:22" s="4" customFormat="1" ht="23.25" customHeight="1" thickBot="1">
      <c r="A4" s="101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6">
        <v>1</v>
      </c>
      <c r="M4" s="7">
        <v>2</v>
      </c>
      <c r="N4" s="7">
        <v>3</v>
      </c>
      <c r="O4" s="8" t="s">
        <v>6</v>
      </c>
      <c r="P4" s="6">
        <v>1</v>
      </c>
      <c r="Q4" s="7">
        <v>2</v>
      </c>
      <c r="R4" s="7">
        <v>3</v>
      </c>
      <c r="S4" s="8" t="s">
        <v>6</v>
      </c>
      <c r="T4" s="101"/>
      <c r="U4" s="98"/>
      <c r="V4" s="104"/>
    </row>
    <row r="5" spans="2:22" s="2" customFormat="1" ht="15.75">
      <c r="B5" s="136" t="s">
        <v>11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5"/>
    </row>
    <row r="6" spans="1:22" s="2" customFormat="1" ht="12.75">
      <c r="A6" s="41" t="s">
        <v>531</v>
      </c>
      <c r="B6" s="34" t="s">
        <v>544</v>
      </c>
      <c r="C6" s="10" t="s">
        <v>12</v>
      </c>
      <c r="D6" s="9" t="s">
        <v>13</v>
      </c>
      <c r="E6" s="9" t="str">
        <f>"0,8453"</f>
        <v>0,8453</v>
      </c>
      <c r="F6" s="10" t="s">
        <v>14</v>
      </c>
      <c r="G6" s="10" t="s">
        <v>15</v>
      </c>
      <c r="H6" s="44" t="s">
        <v>16</v>
      </c>
      <c r="I6" s="44" t="s">
        <v>17</v>
      </c>
      <c r="J6" s="47" t="s">
        <v>18</v>
      </c>
      <c r="K6" s="43"/>
      <c r="L6" s="44" t="s">
        <v>19</v>
      </c>
      <c r="M6" s="47" t="s">
        <v>20</v>
      </c>
      <c r="N6" s="47" t="s">
        <v>20</v>
      </c>
      <c r="O6" s="47"/>
      <c r="P6" s="44" t="s">
        <v>21</v>
      </c>
      <c r="Q6" s="44" t="s">
        <v>22</v>
      </c>
      <c r="R6" s="47" t="s">
        <v>23</v>
      </c>
      <c r="S6" s="43"/>
      <c r="T6" s="50">
        <v>280</v>
      </c>
      <c r="U6" s="41" t="str">
        <f>"236,6700"</f>
        <v>236,6700</v>
      </c>
      <c r="V6" s="10" t="s">
        <v>24</v>
      </c>
    </row>
    <row r="7" spans="1:22" s="2" customFormat="1" ht="12.75">
      <c r="A7" s="42"/>
      <c r="B7" s="35"/>
      <c r="F7" s="5"/>
      <c r="G7" s="5"/>
      <c r="H7" s="42"/>
      <c r="I7" s="42"/>
      <c r="J7" s="42"/>
      <c r="K7" s="42"/>
      <c r="L7" s="42"/>
      <c r="M7" s="48"/>
      <c r="N7" s="48"/>
      <c r="O7" s="48"/>
      <c r="P7" s="42"/>
      <c r="Q7" s="42"/>
      <c r="R7" s="42"/>
      <c r="S7" s="42"/>
      <c r="T7" s="42"/>
      <c r="U7" s="42"/>
      <c r="V7" s="5"/>
    </row>
    <row r="8" spans="1:21" ht="15.75">
      <c r="A8" s="1"/>
      <c r="B8" s="135" t="s">
        <v>25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2" ht="12.75">
      <c r="A9" s="41" t="s">
        <v>531</v>
      </c>
      <c r="B9" s="34" t="s">
        <v>545</v>
      </c>
      <c r="C9" s="10" t="s">
        <v>26</v>
      </c>
      <c r="D9" s="9" t="s">
        <v>27</v>
      </c>
      <c r="E9" s="9" t="str">
        <f>"0,7494"</f>
        <v>0,7494</v>
      </c>
      <c r="F9" s="10" t="s">
        <v>14</v>
      </c>
      <c r="G9" s="10" t="s">
        <v>28</v>
      </c>
      <c r="H9" s="44" t="s">
        <v>29</v>
      </c>
      <c r="I9" s="44" t="s">
        <v>30</v>
      </c>
      <c r="J9" s="44" t="s">
        <v>31</v>
      </c>
      <c r="K9" s="43"/>
      <c r="L9" s="44" t="s">
        <v>32</v>
      </c>
      <c r="M9" s="44" t="s">
        <v>33</v>
      </c>
      <c r="N9" s="44" t="s">
        <v>34</v>
      </c>
      <c r="O9" s="43"/>
      <c r="P9" s="44" t="s">
        <v>35</v>
      </c>
      <c r="Q9" s="44" t="s">
        <v>36</v>
      </c>
      <c r="R9" s="47" t="s">
        <v>37</v>
      </c>
      <c r="S9" s="43"/>
      <c r="T9" s="50">
        <v>467.5</v>
      </c>
      <c r="U9" s="41" t="str">
        <f>"350,3211"</f>
        <v>350,3211</v>
      </c>
      <c r="V9" s="10" t="s">
        <v>38</v>
      </c>
    </row>
    <row r="10" spans="8:10" ht="12.75">
      <c r="H10" s="45"/>
      <c r="I10" s="45"/>
      <c r="J10" s="45"/>
    </row>
    <row r="11" spans="1:21" ht="15.75">
      <c r="A11" s="1"/>
      <c r="B11" s="135" t="s">
        <v>39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2" ht="12.75">
      <c r="A12" s="41" t="s">
        <v>531</v>
      </c>
      <c r="B12" s="34" t="s">
        <v>546</v>
      </c>
      <c r="C12" s="10" t="s">
        <v>41</v>
      </c>
      <c r="D12" s="9" t="s">
        <v>42</v>
      </c>
      <c r="E12" s="9" t="str">
        <f>"0,6133"</f>
        <v>0,6133</v>
      </c>
      <c r="F12" s="10" t="s">
        <v>14</v>
      </c>
      <c r="G12" s="10" t="s">
        <v>28</v>
      </c>
      <c r="H12" s="44" t="s">
        <v>43</v>
      </c>
      <c r="I12" s="44" t="s">
        <v>44</v>
      </c>
      <c r="J12" s="47" t="s">
        <v>45</v>
      </c>
      <c r="K12" s="43"/>
      <c r="L12" s="44" t="s">
        <v>46</v>
      </c>
      <c r="M12" s="44" t="s">
        <v>47</v>
      </c>
      <c r="N12" s="44" t="s">
        <v>36</v>
      </c>
      <c r="O12" s="43"/>
      <c r="P12" s="44" t="s">
        <v>48</v>
      </c>
      <c r="Q12" s="44" t="s">
        <v>49</v>
      </c>
      <c r="R12" s="44" t="s">
        <v>50</v>
      </c>
      <c r="S12" s="43"/>
      <c r="T12" s="50">
        <v>775</v>
      </c>
      <c r="U12" s="41" t="str">
        <f>"475,3462"</f>
        <v>475,3462</v>
      </c>
      <c r="V12" s="10" t="s">
        <v>38</v>
      </c>
    </row>
    <row r="13" spans="1:22" ht="12.75">
      <c r="A13" s="41" t="s">
        <v>531</v>
      </c>
      <c r="B13" s="34" t="s">
        <v>40</v>
      </c>
      <c r="C13" s="10" t="s">
        <v>51</v>
      </c>
      <c r="D13" s="9" t="s">
        <v>42</v>
      </c>
      <c r="E13" s="9" t="str">
        <f>"0,6133"</f>
        <v>0,6133</v>
      </c>
      <c r="F13" s="10" t="s">
        <v>14</v>
      </c>
      <c r="G13" s="10" t="s">
        <v>28</v>
      </c>
      <c r="H13" s="44" t="s">
        <v>43</v>
      </c>
      <c r="I13" s="44" t="s">
        <v>44</v>
      </c>
      <c r="J13" s="47" t="s">
        <v>45</v>
      </c>
      <c r="K13" s="43"/>
      <c r="L13" s="44" t="s">
        <v>46</v>
      </c>
      <c r="M13" s="44" t="s">
        <v>47</v>
      </c>
      <c r="N13" s="44" t="s">
        <v>36</v>
      </c>
      <c r="O13" s="43"/>
      <c r="P13" s="44" t="s">
        <v>48</v>
      </c>
      <c r="Q13" s="44" t="s">
        <v>49</v>
      </c>
      <c r="R13" s="44" t="s">
        <v>50</v>
      </c>
      <c r="S13" s="43"/>
      <c r="T13" s="50">
        <v>775</v>
      </c>
      <c r="U13" s="41" t="str">
        <f>"475,3462"</f>
        <v>475,3462</v>
      </c>
      <c r="V13" s="10" t="s">
        <v>38</v>
      </c>
    </row>
    <row r="14" spans="1:22" ht="12.75">
      <c r="A14" s="41" t="s">
        <v>532</v>
      </c>
      <c r="B14" s="34" t="s">
        <v>24</v>
      </c>
      <c r="C14" s="10" t="s">
        <v>52</v>
      </c>
      <c r="D14" s="9" t="s">
        <v>53</v>
      </c>
      <c r="E14" s="9" t="str">
        <f>"0,6303"</f>
        <v>0,6303</v>
      </c>
      <c r="F14" s="10" t="s">
        <v>14</v>
      </c>
      <c r="G14" s="10" t="s">
        <v>28</v>
      </c>
      <c r="H14" s="47" t="s">
        <v>54</v>
      </c>
      <c r="I14" s="44" t="s">
        <v>54</v>
      </c>
      <c r="J14" s="44" t="s">
        <v>55</v>
      </c>
      <c r="K14" s="43"/>
      <c r="L14" s="44" t="s">
        <v>56</v>
      </c>
      <c r="M14" s="44" t="s">
        <v>46</v>
      </c>
      <c r="N14" s="47" t="s">
        <v>47</v>
      </c>
      <c r="O14" s="43"/>
      <c r="P14" s="44" t="s">
        <v>57</v>
      </c>
      <c r="Q14" s="47" t="s">
        <v>44</v>
      </c>
      <c r="R14" s="47" t="s">
        <v>58</v>
      </c>
      <c r="S14" s="43"/>
      <c r="T14" s="50">
        <v>627.5</v>
      </c>
      <c r="U14" s="41" t="str">
        <f>"395,5446"</f>
        <v>395,5446</v>
      </c>
      <c r="V14" s="10" t="s">
        <v>38</v>
      </c>
    </row>
    <row r="15" spans="1:22" ht="12.75">
      <c r="A15" s="41" t="s">
        <v>533</v>
      </c>
      <c r="B15" s="34" t="s">
        <v>547</v>
      </c>
      <c r="C15" s="10" t="s">
        <v>59</v>
      </c>
      <c r="D15" s="9" t="s">
        <v>60</v>
      </c>
      <c r="E15" s="9" t="str">
        <f>"0,6137"</f>
        <v>0,6137</v>
      </c>
      <c r="F15" s="10" t="s">
        <v>61</v>
      </c>
      <c r="G15" s="16" t="s">
        <v>28</v>
      </c>
      <c r="H15" s="44" t="s">
        <v>30</v>
      </c>
      <c r="I15" s="44" t="s">
        <v>62</v>
      </c>
      <c r="J15" s="44" t="s">
        <v>35</v>
      </c>
      <c r="K15" s="43"/>
      <c r="L15" s="47" t="s">
        <v>63</v>
      </c>
      <c r="M15" s="44" t="s">
        <v>63</v>
      </c>
      <c r="N15" s="47" t="s">
        <v>64</v>
      </c>
      <c r="O15" s="43"/>
      <c r="P15" s="44" t="s">
        <v>47</v>
      </c>
      <c r="Q15" s="43"/>
      <c r="R15" s="43"/>
      <c r="S15" s="43"/>
      <c r="T15" s="50">
        <v>480</v>
      </c>
      <c r="U15" s="41" t="str">
        <f>"294,6000"</f>
        <v>294,6000</v>
      </c>
      <c r="V15" s="10" t="s">
        <v>65</v>
      </c>
    </row>
    <row r="16" ht="12.75">
      <c r="M16" s="45"/>
    </row>
    <row r="17" spans="1:21" ht="15.75">
      <c r="A17" s="1"/>
      <c r="B17" s="135" t="s">
        <v>66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1:22" ht="12.75">
      <c r="A18" s="41" t="s">
        <v>531</v>
      </c>
      <c r="B18" s="34" t="s">
        <v>548</v>
      </c>
      <c r="C18" s="10" t="s">
        <v>68</v>
      </c>
      <c r="D18" s="9" t="s">
        <v>69</v>
      </c>
      <c r="E18" s="9" t="str">
        <f>"0,5642"</f>
        <v>0,5642</v>
      </c>
      <c r="F18" s="10" t="s">
        <v>14</v>
      </c>
      <c r="G18" s="16" t="s">
        <v>28</v>
      </c>
      <c r="H18" s="44" t="s">
        <v>55</v>
      </c>
      <c r="I18" s="44" t="s">
        <v>70</v>
      </c>
      <c r="J18" s="47" t="s">
        <v>71</v>
      </c>
      <c r="K18" s="43"/>
      <c r="L18" s="44" t="s">
        <v>30</v>
      </c>
      <c r="M18" s="44" t="s">
        <v>31</v>
      </c>
      <c r="N18" s="47" t="s">
        <v>72</v>
      </c>
      <c r="O18" s="43"/>
      <c r="P18" s="44" t="s">
        <v>73</v>
      </c>
      <c r="Q18" s="47" t="s">
        <v>74</v>
      </c>
      <c r="R18" s="44" t="s">
        <v>74</v>
      </c>
      <c r="S18" s="43"/>
      <c r="T18" s="50">
        <v>632.5</v>
      </c>
      <c r="U18" s="41" t="str">
        <f>"356,8881"</f>
        <v>356,8881</v>
      </c>
      <c r="V18" s="10" t="s">
        <v>38</v>
      </c>
    </row>
    <row r="19" spans="1:22" ht="12.75">
      <c r="A19" s="41" t="s">
        <v>531</v>
      </c>
      <c r="B19" s="34" t="s">
        <v>316</v>
      </c>
      <c r="C19" s="10" t="s">
        <v>76</v>
      </c>
      <c r="D19" s="9" t="s">
        <v>77</v>
      </c>
      <c r="E19" s="9" t="str">
        <f>"0,5659"</f>
        <v>0,5659</v>
      </c>
      <c r="F19" s="10" t="s">
        <v>78</v>
      </c>
      <c r="G19" s="10" t="s">
        <v>79</v>
      </c>
      <c r="H19" s="44" t="s">
        <v>80</v>
      </c>
      <c r="I19" s="44" t="s">
        <v>81</v>
      </c>
      <c r="J19" s="44" t="s">
        <v>45</v>
      </c>
      <c r="K19" s="43"/>
      <c r="L19" s="44" t="s">
        <v>47</v>
      </c>
      <c r="M19" s="44" t="s">
        <v>82</v>
      </c>
      <c r="N19" s="44" t="s">
        <v>83</v>
      </c>
      <c r="O19" s="43"/>
      <c r="P19" s="44" t="s">
        <v>84</v>
      </c>
      <c r="Q19" s="44" t="s">
        <v>85</v>
      </c>
      <c r="R19" s="47" t="s">
        <v>86</v>
      </c>
      <c r="S19" s="43"/>
      <c r="T19" s="50">
        <v>815</v>
      </c>
      <c r="U19" s="41" t="str">
        <f>"461,2492"</f>
        <v>461,2492</v>
      </c>
      <c r="V19" s="10" t="s">
        <v>87</v>
      </c>
    </row>
    <row r="20" spans="1:22" ht="12.75">
      <c r="A20" s="41" t="s">
        <v>532</v>
      </c>
      <c r="B20" s="34" t="s">
        <v>67</v>
      </c>
      <c r="C20" s="10" t="s">
        <v>88</v>
      </c>
      <c r="D20" s="9" t="s">
        <v>69</v>
      </c>
      <c r="E20" s="9" t="str">
        <f>"0,5642"</f>
        <v>0,5642</v>
      </c>
      <c r="F20" s="10" t="s">
        <v>14</v>
      </c>
      <c r="G20" s="16" t="s">
        <v>28</v>
      </c>
      <c r="H20" s="44" t="s">
        <v>55</v>
      </c>
      <c r="I20" s="44" t="s">
        <v>70</v>
      </c>
      <c r="J20" s="47" t="s">
        <v>71</v>
      </c>
      <c r="K20" s="43"/>
      <c r="L20" s="44" t="s">
        <v>30</v>
      </c>
      <c r="M20" s="44" t="s">
        <v>31</v>
      </c>
      <c r="N20" s="47" t="s">
        <v>72</v>
      </c>
      <c r="O20" s="43"/>
      <c r="P20" s="44" t="s">
        <v>73</v>
      </c>
      <c r="Q20" s="47" t="s">
        <v>74</v>
      </c>
      <c r="R20" s="44" t="s">
        <v>74</v>
      </c>
      <c r="S20" s="43"/>
      <c r="T20" s="50">
        <v>632.5</v>
      </c>
      <c r="U20" s="41" t="str">
        <f>"356,8881"</f>
        <v>356,8881</v>
      </c>
      <c r="V20" s="10" t="s">
        <v>38</v>
      </c>
    </row>
    <row r="22" spans="1:21" ht="15.75">
      <c r="A22" s="1"/>
      <c r="B22" s="135" t="s">
        <v>89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1:22" ht="12.75">
      <c r="A23" s="41" t="s">
        <v>531</v>
      </c>
      <c r="B23" s="34" t="s">
        <v>549</v>
      </c>
      <c r="C23" s="10" t="s">
        <v>91</v>
      </c>
      <c r="D23" s="9" t="s">
        <v>92</v>
      </c>
      <c r="E23" s="9" t="str">
        <f>"0,5541"</f>
        <v>0,5541</v>
      </c>
      <c r="F23" s="10" t="s">
        <v>78</v>
      </c>
      <c r="G23" s="10" t="s">
        <v>79</v>
      </c>
      <c r="H23" s="44" t="s">
        <v>93</v>
      </c>
      <c r="I23" s="44" t="s">
        <v>94</v>
      </c>
      <c r="J23" s="44" t="s">
        <v>95</v>
      </c>
      <c r="K23" s="46"/>
      <c r="L23" s="44" t="s">
        <v>96</v>
      </c>
      <c r="M23" s="44" t="s">
        <v>97</v>
      </c>
      <c r="N23" s="44" t="s">
        <v>98</v>
      </c>
      <c r="O23" s="46"/>
      <c r="P23" s="44" t="s">
        <v>94</v>
      </c>
      <c r="Q23" s="44" t="s">
        <v>50</v>
      </c>
      <c r="R23" s="47" t="s">
        <v>99</v>
      </c>
      <c r="S23" s="43"/>
      <c r="T23" s="50">
        <v>830</v>
      </c>
      <c r="U23" s="41" t="str">
        <f>"459,8615"</f>
        <v>459,8615</v>
      </c>
      <c r="V23" s="10" t="s">
        <v>550</v>
      </c>
    </row>
    <row r="25" spans="2:3" ht="18">
      <c r="B25" s="36" t="s">
        <v>100</v>
      </c>
      <c r="C25" s="11"/>
    </row>
    <row r="26" spans="2:3" ht="18">
      <c r="B26" s="36"/>
      <c r="C26" s="11"/>
    </row>
    <row r="27" spans="2:3" ht="15.75">
      <c r="B27" s="37" t="s">
        <v>101</v>
      </c>
      <c r="C27" s="12"/>
    </row>
    <row r="28" spans="2:3" ht="13.5">
      <c r="B28" s="38"/>
      <c r="C28" s="13" t="s">
        <v>155</v>
      </c>
    </row>
    <row r="29" spans="2:6" ht="13.5">
      <c r="B29" s="39" t="s">
        <v>102</v>
      </c>
      <c r="C29" s="14" t="s">
        <v>103</v>
      </c>
      <c r="D29" s="14" t="s">
        <v>104</v>
      </c>
      <c r="E29" s="14" t="s">
        <v>105</v>
      </c>
      <c r="F29" s="14" t="s">
        <v>106</v>
      </c>
    </row>
    <row r="30" spans="1:6" ht="12.75">
      <c r="A30" s="42" t="s">
        <v>531</v>
      </c>
      <c r="B30" s="40" t="s">
        <v>40</v>
      </c>
      <c r="C30" s="5" t="s">
        <v>115</v>
      </c>
      <c r="D30" s="5" t="s">
        <v>110</v>
      </c>
      <c r="E30" s="5" t="s">
        <v>111</v>
      </c>
      <c r="F30" s="3" t="s">
        <v>112</v>
      </c>
    </row>
    <row r="31" spans="1:6" ht="12.75">
      <c r="A31" s="42" t="s">
        <v>532</v>
      </c>
      <c r="B31" s="40" t="s">
        <v>75</v>
      </c>
      <c r="C31" s="5" t="s">
        <v>115</v>
      </c>
      <c r="D31" s="5" t="s">
        <v>113</v>
      </c>
      <c r="E31" s="5" t="s">
        <v>116</v>
      </c>
      <c r="F31" s="3" t="s">
        <v>117</v>
      </c>
    </row>
    <row r="32" spans="1:6" ht="12.75">
      <c r="A32" s="42" t="s">
        <v>533</v>
      </c>
      <c r="B32" s="40" t="s">
        <v>90</v>
      </c>
      <c r="C32" s="5" t="s">
        <v>115</v>
      </c>
      <c r="D32" s="5" t="s">
        <v>118</v>
      </c>
      <c r="E32" s="5" t="s">
        <v>119</v>
      </c>
      <c r="F32" s="3" t="s">
        <v>120</v>
      </c>
    </row>
  </sheetData>
  <sheetProtection/>
  <mergeCells count="19">
    <mergeCell ref="B17:U17"/>
    <mergeCell ref="B22:U22"/>
    <mergeCell ref="V3:V4"/>
    <mergeCell ref="G3:G4"/>
    <mergeCell ref="F3:F4"/>
    <mergeCell ref="B5:U5"/>
    <mergeCell ref="B8:U8"/>
    <mergeCell ref="B11:U11"/>
    <mergeCell ref="E3:E4"/>
    <mergeCell ref="T3:T4"/>
    <mergeCell ref="A3:A4"/>
    <mergeCell ref="U3:U4"/>
    <mergeCell ref="B1:V2"/>
    <mergeCell ref="H3:K3"/>
    <mergeCell ref="L3:O3"/>
    <mergeCell ref="P3:S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65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D38" sqref="D38"/>
    </sheetView>
  </sheetViews>
  <sheetFormatPr defaultColWidth="11.375" defaultRowHeight="12.75"/>
  <cols>
    <col min="1" max="1" width="7.375" style="0" customWidth="1"/>
    <col min="2" max="2" width="21.375" style="0" customWidth="1"/>
    <col min="3" max="3" width="25.00390625" style="0" customWidth="1"/>
    <col min="4" max="4" width="11.875" style="0" customWidth="1"/>
    <col min="5" max="5" width="11.375" style="0" customWidth="1"/>
    <col min="6" max="6" width="18.875" style="0" customWidth="1"/>
    <col min="7" max="7" width="30.875" style="0" customWidth="1"/>
    <col min="8" max="8" width="11.75390625" style="0" customWidth="1"/>
    <col min="9" max="11" width="11.375" style="0" customWidth="1"/>
    <col min="12" max="12" width="14.75390625" style="0" customWidth="1"/>
  </cols>
  <sheetData>
    <row r="1" spans="1:12" ht="57.75" customHeight="1">
      <c r="A1" s="63"/>
      <c r="B1" s="118" t="s">
        <v>757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30" thickBot="1">
      <c r="A2" s="5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18.75" customHeight="1">
      <c r="A3" s="124" t="s">
        <v>530</v>
      </c>
      <c r="B3" s="126" t="s">
        <v>0</v>
      </c>
      <c r="C3" s="128" t="s">
        <v>1</v>
      </c>
      <c r="D3" s="128" t="s">
        <v>541</v>
      </c>
      <c r="E3" s="114" t="s">
        <v>10</v>
      </c>
      <c r="F3" s="114" t="s">
        <v>2</v>
      </c>
      <c r="G3" s="110" t="s">
        <v>552</v>
      </c>
      <c r="H3" s="112" t="s">
        <v>4</v>
      </c>
      <c r="I3" s="113"/>
      <c r="J3" s="114" t="s">
        <v>657</v>
      </c>
      <c r="K3" s="114" t="s">
        <v>8</v>
      </c>
      <c r="L3" s="110" t="s">
        <v>9</v>
      </c>
    </row>
    <row r="4" spans="1:12" ht="15" thickBot="1">
      <c r="A4" s="125"/>
      <c r="B4" s="127"/>
      <c r="C4" s="129"/>
      <c r="D4" s="129"/>
      <c r="E4" s="115"/>
      <c r="F4" s="115"/>
      <c r="G4" s="111"/>
      <c r="H4" s="56" t="s">
        <v>658</v>
      </c>
      <c r="I4" s="57" t="s">
        <v>758</v>
      </c>
      <c r="J4" s="115"/>
      <c r="K4" s="115"/>
      <c r="L4" s="116"/>
    </row>
    <row r="5" spans="2:12" ht="15.75">
      <c r="B5" s="117" t="s">
        <v>121</v>
      </c>
      <c r="C5" s="117"/>
      <c r="D5" s="117"/>
      <c r="E5" s="117"/>
      <c r="F5" s="117"/>
      <c r="G5" s="117"/>
      <c r="H5" s="117"/>
      <c r="I5" s="117"/>
      <c r="J5" s="117"/>
      <c r="K5" s="117"/>
      <c r="L5" s="15"/>
    </row>
    <row r="6" spans="1:12" ht="12.75">
      <c r="A6" s="65">
        <v>1</v>
      </c>
      <c r="B6" s="60" t="s">
        <v>759</v>
      </c>
      <c r="C6" s="60" t="s">
        <v>760</v>
      </c>
      <c r="D6" s="60" t="s">
        <v>124</v>
      </c>
      <c r="E6" s="60" t="s">
        <v>761</v>
      </c>
      <c r="F6" s="60" t="s">
        <v>164</v>
      </c>
      <c r="G6" s="60" t="s">
        <v>28</v>
      </c>
      <c r="H6" s="60" t="s">
        <v>762</v>
      </c>
      <c r="I6" s="60" t="s">
        <v>763</v>
      </c>
      <c r="J6" s="62">
        <v>375</v>
      </c>
      <c r="K6" s="60" t="s">
        <v>764</v>
      </c>
      <c r="L6" s="60" t="s">
        <v>179</v>
      </c>
    </row>
    <row r="7" spans="2:12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5.75">
      <c r="B8" s="109" t="s">
        <v>148</v>
      </c>
      <c r="C8" s="109"/>
      <c r="D8" s="109"/>
      <c r="E8" s="109"/>
      <c r="F8" s="109"/>
      <c r="G8" s="109"/>
      <c r="H8" s="109"/>
      <c r="I8" s="109"/>
      <c r="J8" s="109"/>
      <c r="K8" s="109"/>
      <c r="L8" s="15"/>
    </row>
    <row r="9" spans="1:12" ht="12.75">
      <c r="A9" s="65">
        <v>1</v>
      </c>
      <c r="B9" s="60" t="s">
        <v>496</v>
      </c>
      <c r="C9" s="60" t="s">
        <v>765</v>
      </c>
      <c r="D9" s="60" t="s">
        <v>498</v>
      </c>
      <c r="E9" s="60" t="s">
        <v>766</v>
      </c>
      <c r="F9" s="60" t="s">
        <v>164</v>
      </c>
      <c r="G9" s="60" t="s">
        <v>28</v>
      </c>
      <c r="H9" s="60" t="s">
        <v>767</v>
      </c>
      <c r="I9" s="60" t="s">
        <v>768</v>
      </c>
      <c r="J9" s="62">
        <v>687.5</v>
      </c>
      <c r="K9" s="60" t="s">
        <v>769</v>
      </c>
      <c r="L9" s="60" t="s">
        <v>168</v>
      </c>
    </row>
    <row r="10" spans="2:12" ht="12.7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5.75">
      <c r="B11" s="109" t="s">
        <v>169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5"/>
    </row>
    <row r="12" spans="1:12" ht="12.75">
      <c r="A12" s="65">
        <v>1</v>
      </c>
      <c r="B12" s="60" t="s">
        <v>174</v>
      </c>
      <c r="C12" s="60" t="s">
        <v>175</v>
      </c>
      <c r="D12" s="60" t="s">
        <v>770</v>
      </c>
      <c r="E12" s="60" t="s">
        <v>771</v>
      </c>
      <c r="F12" s="60" t="s">
        <v>164</v>
      </c>
      <c r="G12" s="60" t="s">
        <v>28</v>
      </c>
      <c r="H12" s="60" t="s">
        <v>767</v>
      </c>
      <c r="I12" s="60" t="s">
        <v>772</v>
      </c>
      <c r="J12" s="62">
        <v>1787.5</v>
      </c>
      <c r="K12" s="60" t="s">
        <v>773</v>
      </c>
      <c r="L12" s="60" t="s">
        <v>179</v>
      </c>
    </row>
    <row r="13" spans="2:12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5.75">
      <c r="B14" s="109" t="s">
        <v>148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5"/>
    </row>
    <row r="15" spans="1:12" ht="12.75">
      <c r="A15" s="65">
        <v>1</v>
      </c>
      <c r="B15" s="60" t="s">
        <v>774</v>
      </c>
      <c r="C15" s="60" t="s">
        <v>775</v>
      </c>
      <c r="D15" s="60" t="s">
        <v>776</v>
      </c>
      <c r="E15" s="60" t="s">
        <v>777</v>
      </c>
      <c r="F15" s="60" t="s">
        <v>61</v>
      </c>
      <c r="G15" s="60" t="s">
        <v>28</v>
      </c>
      <c r="H15" s="60" t="s">
        <v>778</v>
      </c>
      <c r="I15" s="60" t="s">
        <v>779</v>
      </c>
      <c r="J15" s="62">
        <v>1155</v>
      </c>
      <c r="K15" s="60" t="s">
        <v>780</v>
      </c>
      <c r="L15" s="60" t="s">
        <v>577</v>
      </c>
    </row>
    <row r="16" spans="2:12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ht="12.7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2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2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2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</sheetData>
  <sheetProtection/>
  <mergeCells count="17">
    <mergeCell ref="L3:L4"/>
    <mergeCell ref="B5:K5"/>
    <mergeCell ref="B1:L1"/>
    <mergeCell ref="B2:L2"/>
    <mergeCell ref="A3:A4"/>
    <mergeCell ref="B3:B4"/>
    <mergeCell ref="C3:C4"/>
    <mergeCell ref="D3:D4"/>
    <mergeCell ref="E3:E4"/>
    <mergeCell ref="F3:F4"/>
    <mergeCell ref="B8:K8"/>
    <mergeCell ref="B11:K11"/>
    <mergeCell ref="B14:K14"/>
    <mergeCell ref="G3:G4"/>
    <mergeCell ref="H3:I3"/>
    <mergeCell ref="J3:J4"/>
    <mergeCell ref="K3:K4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3">
      <selection activeCell="G34" sqref="G34"/>
    </sheetView>
  </sheetViews>
  <sheetFormatPr defaultColWidth="11.375" defaultRowHeight="12.75"/>
  <cols>
    <col min="1" max="1" width="8.00390625" style="0" customWidth="1"/>
    <col min="2" max="2" width="22.125" style="0" customWidth="1"/>
    <col min="3" max="3" width="25.25390625" style="0" customWidth="1"/>
    <col min="4" max="4" width="11.625" style="0" customWidth="1"/>
    <col min="5" max="5" width="11.375" style="0" customWidth="1"/>
    <col min="6" max="6" width="17.75390625" style="0" customWidth="1"/>
    <col min="7" max="7" width="31.125" style="0" customWidth="1"/>
    <col min="8" max="8" width="11.625" style="0" customWidth="1"/>
    <col min="9" max="11" width="11.375" style="0" customWidth="1"/>
    <col min="12" max="12" width="19.375" style="0" customWidth="1"/>
  </cols>
  <sheetData>
    <row r="1" spans="1:12" ht="57.75" customHeight="1">
      <c r="A1" s="63"/>
      <c r="B1" s="118" t="s">
        <v>781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30" thickBot="1">
      <c r="A2" s="5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27.75" customHeight="1">
      <c r="A3" s="124" t="s">
        <v>530</v>
      </c>
      <c r="B3" s="126" t="s">
        <v>0</v>
      </c>
      <c r="C3" s="128" t="s">
        <v>1</v>
      </c>
      <c r="D3" s="128" t="s">
        <v>541</v>
      </c>
      <c r="E3" s="114" t="s">
        <v>10</v>
      </c>
      <c r="F3" s="114" t="s">
        <v>2</v>
      </c>
      <c r="G3" s="110" t="s">
        <v>552</v>
      </c>
      <c r="H3" s="112" t="s">
        <v>4</v>
      </c>
      <c r="I3" s="113"/>
      <c r="J3" s="114" t="s">
        <v>657</v>
      </c>
      <c r="K3" s="114" t="s">
        <v>8</v>
      </c>
      <c r="L3" s="110" t="s">
        <v>9</v>
      </c>
    </row>
    <row r="4" spans="1:12" ht="15" thickBot="1">
      <c r="A4" s="125"/>
      <c r="B4" s="127"/>
      <c r="C4" s="129"/>
      <c r="D4" s="129"/>
      <c r="E4" s="115"/>
      <c r="F4" s="115"/>
      <c r="G4" s="111"/>
      <c r="H4" s="56" t="s">
        <v>658</v>
      </c>
      <c r="I4" s="57" t="s">
        <v>758</v>
      </c>
      <c r="J4" s="115"/>
      <c r="K4" s="115"/>
      <c r="L4" s="116"/>
    </row>
    <row r="5" spans="1:12" ht="15.75">
      <c r="A5" s="58"/>
      <c r="B5" s="131" t="s">
        <v>11</v>
      </c>
      <c r="C5" s="131"/>
      <c r="D5" s="131"/>
      <c r="E5" s="131"/>
      <c r="F5" s="131"/>
      <c r="G5" s="131"/>
      <c r="H5" s="131"/>
      <c r="I5" s="131"/>
      <c r="J5" s="131"/>
      <c r="K5" s="131"/>
      <c r="L5" s="72"/>
    </row>
    <row r="6" spans="1:12" ht="12.75">
      <c r="A6" s="73" t="s">
        <v>531</v>
      </c>
      <c r="B6" s="74" t="s">
        <v>782</v>
      </c>
      <c r="C6" s="74" t="s">
        <v>783</v>
      </c>
      <c r="D6" s="75" t="s">
        <v>510</v>
      </c>
      <c r="E6" s="75" t="s">
        <v>784</v>
      </c>
      <c r="F6" s="74" t="s">
        <v>164</v>
      </c>
      <c r="G6" s="74" t="s">
        <v>28</v>
      </c>
      <c r="H6" s="75" t="s">
        <v>145</v>
      </c>
      <c r="I6" s="75" t="s">
        <v>680</v>
      </c>
      <c r="J6" s="76">
        <v>660</v>
      </c>
      <c r="K6" s="75" t="s">
        <v>785</v>
      </c>
      <c r="L6" s="74" t="s">
        <v>179</v>
      </c>
    </row>
    <row r="7" spans="1:12" ht="12.75">
      <c r="A7" s="58"/>
      <c r="B7" s="77"/>
      <c r="C7" s="58"/>
      <c r="D7" s="58"/>
      <c r="E7" s="58"/>
      <c r="F7" s="72"/>
      <c r="G7" s="72"/>
      <c r="H7" s="58"/>
      <c r="I7" s="58"/>
      <c r="J7" s="77"/>
      <c r="K7" s="58"/>
      <c r="L7" s="72"/>
    </row>
    <row r="8" spans="1:12" ht="15.75">
      <c r="A8" s="54"/>
      <c r="B8" s="130" t="s">
        <v>216</v>
      </c>
      <c r="C8" s="130"/>
      <c r="D8" s="130"/>
      <c r="E8" s="130"/>
      <c r="F8" s="130"/>
      <c r="G8" s="130"/>
      <c r="H8" s="130"/>
      <c r="I8" s="130"/>
      <c r="J8" s="130"/>
      <c r="K8" s="130"/>
      <c r="L8" s="72"/>
    </row>
    <row r="9" spans="1:12" ht="12.75">
      <c r="A9" s="65">
        <v>1</v>
      </c>
      <c r="B9" s="74" t="s">
        <v>511</v>
      </c>
      <c r="C9" s="74" t="s">
        <v>512</v>
      </c>
      <c r="D9" s="75" t="s">
        <v>413</v>
      </c>
      <c r="E9" s="75" t="s">
        <v>786</v>
      </c>
      <c r="F9" s="74" t="s">
        <v>164</v>
      </c>
      <c r="G9" s="74" t="s">
        <v>28</v>
      </c>
      <c r="H9" s="75" t="s">
        <v>135</v>
      </c>
      <c r="I9" s="75" t="s">
        <v>787</v>
      </c>
      <c r="J9" s="76">
        <v>2100</v>
      </c>
      <c r="K9" s="75" t="s">
        <v>788</v>
      </c>
      <c r="L9" s="74" t="s">
        <v>179</v>
      </c>
    </row>
    <row r="10" spans="1:12" ht="12.75">
      <c r="A10" s="66">
        <v>2</v>
      </c>
      <c r="B10" s="78" t="s">
        <v>789</v>
      </c>
      <c r="C10" s="78" t="s">
        <v>790</v>
      </c>
      <c r="D10" s="79" t="s">
        <v>302</v>
      </c>
      <c r="E10" s="79" t="s">
        <v>791</v>
      </c>
      <c r="F10" s="78" t="s">
        <v>61</v>
      </c>
      <c r="G10" s="78" t="s">
        <v>28</v>
      </c>
      <c r="H10" s="79" t="s">
        <v>135</v>
      </c>
      <c r="I10" s="79" t="s">
        <v>792</v>
      </c>
      <c r="J10" s="80">
        <v>750</v>
      </c>
      <c r="K10" s="79" t="s">
        <v>793</v>
      </c>
      <c r="L10" s="78" t="s">
        <v>87</v>
      </c>
    </row>
    <row r="11" spans="1:12" ht="12.75">
      <c r="A11" s="54"/>
      <c r="B11" s="77"/>
      <c r="C11" s="58"/>
      <c r="D11" s="58"/>
      <c r="E11" s="58"/>
      <c r="F11" s="72"/>
      <c r="G11" s="72"/>
      <c r="H11" s="58"/>
      <c r="I11" s="58"/>
      <c r="J11" s="77"/>
      <c r="K11" s="58"/>
      <c r="L11" s="72"/>
    </row>
    <row r="12" spans="1:12" ht="15.75">
      <c r="A12" s="54"/>
      <c r="B12" s="130" t="s">
        <v>224</v>
      </c>
      <c r="C12" s="130"/>
      <c r="D12" s="130"/>
      <c r="E12" s="130"/>
      <c r="F12" s="130"/>
      <c r="G12" s="130"/>
      <c r="H12" s="130"/>
      <c r="I12" s="130"/>
      <c r="J12" s="130"/>
      <c r="K12" s="130"/>
      <c r="L12" s="72"/>
    </row>
    <row r="13" spans="1:12" ht="12.75">
      <c r="A13" s="65">
        <v>1</v>
      </c>
      <c r="B13" s="74" t="s">
        <v>482</v>
      </c>
      <c r="C13" s="74" t="s">
        <v>483</v>
      </c>
      <c r="D13" s="75" t="s">
        <v>243</v>
      </c>
      <c r="E13" s="75" t="s">
        <v>794</v>
      </c>
      <c r="F13" s="74" t="s">
        <v>164</v>
      </c>
      <c r="G13" s="74" t="s">
        <v>28</v>
      </c>
      <c r="H13" s="75" t="s">
        <v>130</v>
      </c>
      <c r="I13" s="75" t="s">
        <v>795</v>
      </c>
      <c r="J13" s="76">
        <v>3382.5</v>
      </c>
      <c r="K13" s="75" t="s">
        <v>796</v>
      </c>
      <c r="L13" s="74" t="s">
        <v>87</v>
      </c>
    </row>
    <row r="14" spans="1:12" ht="12.75">
      <c r="A14" s="66">
        <v>1</v>
      </c>
      <c r="B14" s="78" t="s">
        <v>797</v>
      </c>
      <c r="C14" s="78" t="s">
        <v>798</v>
      </c>
      <c r="D14" s="79" t="s">
        <v>227</v>
      </c>
      <c r="E14" s="79" t="s">
        <v>799</v>
      </c>
      <c r="F14" s="78" t="s">
        <v>61</v>
      </c>
      <c r="G14" s="78" t="s">
        <v>28</v>
      </c>
      <c r="H14" s="79" t="s">
        <v>16</v>
      </c>
      <c r="I14" s="79" t="s">
        <v>686</v>
      </c>
      <c r="J14" s="80">
        <v>3040</v>
      </c>
      <c r="K14" s="79" t="s">
        <v>800</v>
      </c>
      <c r="L14" s="78" t="s">
        <v>87</v>
      </c>
    </row>
    <row r="15" spans="1:12" ht="12.75">
      <c r="A15" s="66">
        <v>1</v>
      </c>
      <c r="B15" s="78" t="s">
        <v>515</v>
      </c>
      <c r="C15" s="78" t="s">
        <v>801</v>
      </c>
      <c r="D15" s="79" t="s">
        <v>517</v>
      </c>
      <c r="E15" s="79" t="s">
        <v>802</v>
      </c>
      <c r="F15" s="78" t="s">
        <v>164</v>
      </c>
      <c r="G15" s="78" t="s">
        <v>28</v>
      </c>
      <c r="H15" s="81" t="s">
        <v>130</v>
      </c>
      <c r="I15" s="81"/>
      <c r="J15" s="80"/>
      <c r="K15" s="79" t="s">
        <v>665</v>
      </c>
      <c r="L15" s="78" t="s">
        <v>179</v>
      </c>
    </row>
    <row r="16" spans="1:12" ht="12.75">
      <c r="A16" s="54"/>
      <c r="B16" s="77"/>
      <c r="C16" s="58"/>
      <c r="D16" s="58"/>
      <c r="E16" s="58"/>
      <c r="F16" s="72"/>
      <c r="G16" s="72"/>
      <c r="H16" s="58"/>
      <c r="I16" s="58"/>
      <c r="J16" s="77"/>
      <c r="K16" s="58"/>
      <c r="L16" s="72"/>
    </row>
    <row r="17" spans="1:12" ht="15.75">
      <c r="A17" s="54"/>
      <c r="B17" s="130" t="s">
        <v>39</v>
      </c>
      <c r="C17" s="130"/>
      <c r="D17" s="130"/>
      <c r="E17" s="130"/>
      <c r="F17" s="130"/>
      <c r="G17" s="130"/>
      <c r="H17" s="130"/>
      <c r="I17" s="130"/>
      <c r="J17" s="130"/>
      <c r="K17" s="130"/>
      <c r="L17" s="72"/>
    </row>
    <row r="18" spans="1:12" ht="12.75">
      <c r="A18" s="65">
        <v>1</v>
      </c>
      <c r="B18" s="74" t="s">
        <v>803</v>
      </c>
      <c r="C18" s="74" t="s">
        <v>444</v>
      </c>
      <c r="D18" s="75" t="s">
        <v>445</v>
      </c>
      <c r="E18" s="75" t="s">
        <v>804</v>
      </c>
      <c r="F18" s="74" t="s">
        <v>164</v>
      </c>
      <c r="G18" s="74" t="s">
        <v>28</v>
      </c>
      <c r="H18" s="75" t="s">
        <v>152</v>
      </c>
      <c r="I18" s="75" t="s">
        <v>768</v>
      </c>
      <c r="J18" s="76">
        <v>2125</v>
      </c>
      <c r="K18" s="75" t="s">
        <v>805</v>
      </c>
      <c r="L18" s="74" t="s">
        <v>179</v>
      </c>
    </row>
    <row r="19" spans="1:12" ht="12.75">
      <c r="A19" s="54"/>
      <c r="B19" s="77"/>
      <c r="C19" s="58"/>
      <c r="D19" s="58"/>
      <c r="E19" s="58"/>
      <c r="F19" s="72"/>
      <c r="G19" s="72"/>
      <c r="H19" s="58"/>
      <c r="I19" s="58"/>
      <c r="J19" s="77"/>
      <c r="K19" s="58"/>
      <c r="L19" s="72"/>
    </row>
    <row r="20" spans="1:12" ht="15.75">
      <c r="A20" s="54"/>
      <c r="B20" s="130" t="s">
        <v>264</v>
      </c>
      <c r="C20" s="130"/>
      <c r="D20" s="130"/>
      <c r="E20" s="130"/>
      <c r="F20" s="130"/>
      <c r="G20" s="130"/>
      <c r="H20" s="130"/>
      <c r="I20" s="130"/>
      <c r="J20" s="130"/>
      <c r="K20" s="130"/>
      <c r="L20" s="72"/>
    </row>
    <row r="21" spans="1:12" ht="12.75">
      <c r="A21" s="65">
        <v>1</v>
      </c>
      <c r="B21" s="74" t="s">
        <v>806</v>
      </c>
      <c r="C21" s="74" t="s">
        <v>807</v>
      </c>
      <c r="D21" s="75" t="s">
        <v>379</v>
      </c>
      <c r="E21" s="75" t="s">
        <v>808</v>
      </c>
      <c r="F21" s="74" t="s">
        <v>78</v>
      </c>
      <c r="G21" s="74" t="s">
        <v>79</v>
      </c>
      <c r="H21" s="75" t="s">
        <v>131</v>
      </c>
      <c r="I21" s="75" t="s">
        <v>809</v>
      </c>
      <c r="J21" s="76">
        <v>2400</v>
      </c>
      <c r="K21" s="75" t="s">
        <v>810</v>
      </c>
      <c r="L21" s="74" t="s">
        <v>316</v>
      </c>
    </row>
    <row r="22" spans="1:12" ht="12.75">
      <c r="A22" s="54"/>
      <c r="B22" s="77"/>
      <c r="C22" s="58"/>
      <c r="D22" s="58"/>
      <c r="E22" s="58"/>
      <c r="F22" s="72"/>
      <c r="G22" s="72"/>
      <c r="H22" s="58"/>
      <c r="I22" s="58"/>
      <c r="J22" s="77"/>
      <c r="K22" s="58"/>
      <c r="L22" s="72"/>
    </row>
    <row r="23" spans="1:12" ht="18">
      <c r="A23" s="54"/>
      <c r="B23" s="82" t="s">
        <v>100</v>
      </c>
      <c r="C23" s="83"/>
      <c r="D23" s="58"/>
      <c r="E23" s="58"/>
      <c r="F23" s="72"/>
      <c r="G23" s="72"/>
      <c r="H23" s="58"/>
      <c r="I23" s="58"/>
      <c r="J23" s="77"/>
      <c r="K23" s="58"/>
      <c r="L23" s="72"/>
    </row>
    <row r="24" spans="1:12" ht="15" customHeight="1">
      <c r="A24" s="54"/>
      <c r="B24" s="84"/>
      <c r="C24" s="83"/>
      <c r="D24" s="58"/>
      <c r="E24" s="58"/>
      <c r="F24" s="72"/>
      <c r="G24" s="72"/>
      <c r="H24" s="58"/>
      <c r="I24" s="58"/>
      <c r="J24" s="77"/>
      <c r="K24" s="58"/>
      <c r="L24" s="72"/>
    </row>
    <row r="25" spans="1:12" ht="15.75">
      <c r="A25" s="54"/>
      <c r="B25" s="85" t="s">
        <v>101</v>
      </c>
      <c r="C25" s="49"/>
      <c r="D25" s="58"/>
      <c r="E25" s="58"/>
      <c r="F25" s="72"/>
      <c r="G25" s="72"/>
      <c r="H25" s="58"/>
      <c r="I25" s="58"/>
      <c r="J25" s="77"/>
      <c r="K25" s="58"/>
      <c r="L25" s="72"/>
    </row>
    <row r="26" spans="1:12" ht="13.5">
      <c r="A26" s="54"/>
      <c r="B26" s="86"/>
      <c r="C26" s="87"/>
      <c r="D26" s="58"/>
      <c r="E26" s="58"/>
      <c r="F26" s="72"/>
      <c r="G26" s="72"/>
      <c r="H26" s="58"/>
      <c r="I26" s="58"/>
      <c r="J26" s="77"/>
      <c r="K26" s="58"/>
      <c r="L26" s="72"/>
    </row>
    <row r="27" spans="1:12" ht="13.5">
      <c r="A27" s="54"/>
      <c r="B27" s="23" t="s">
        <v>102</v>
      </c>
      <c r="C27" s="70" t="s">
        <v>103</v>
      </c>
      <c r="D27" s="70" t="s">
        <v>104</v>
      </c>
      <c r="E27" s="70" t="s">
        <v>105</v>
      </c>
      <c r="F27" s="70" t="s">
        <v>106</v>
      </c>
      <c r="G27" s="72"/>
      <c r="H27" s="58"/>
      <c r="I27" s="58"/>
      <c r="J27" s="77"/>
      <c r="K27" s="58"/>
      <c r="L27" s="72"/>
    </row>
    <row r="28" spans="1:12" ht="12.75">
      <c r="A28" s="54">
        <v>1</v>
      </c>
      <c r="B28" s="20" t="s">
        <v>482</v>
      </c>
      <c r="C28" s="58" t="s">
        <v>115</v>
      </c>
      <c r="D28" s="58" t="s">
        <v>746</v>
      </c>
      <c r="E28" s="58" t="s">
        <v>811</v>
      </c>
      <c r="F28" s="72" t="s">
        <v>796</v>
      </c>
      <c r="G28" s="72"/>
      <c r="H28" s="58"/>
      <c r="I28" s="58"/>
      <c r="J28" s="77"/>
      <c r="K28" s="58"/>
      <c r="L28" s="72"/>
    </row>
    <row r="29" spans="1:12" ht="12.75">
      <c r="A29" s="54">
        <v>2</v>
      </c>
      <c r="B29" s="20" t="s">
        <v>511</v>
      </c>
      <c r="C29" s="58" t="s">
        <v>115</v>
      </c>
      <c r="D29" s="58" t="s">
        <v>298</v>
      </c>
      <c r="E29" s="58" t="s">
        <v>812</v>
      </c>
      <c r="F29" s="72" t="s">
        <v>788</v>
      </c>
      <c r="G29" s="72"/>
      <c r="H29" s="58"/>
      <c r="I29" s="58"/>
      <c r="J29" s="77"/>
      <c r="K29" s="58"/>
      <c r="L29" s="72"/>
    </row>
    <row r="30" spans="1:12" ht="12.75">
      <c r="A30" s="54">
        <v>3</v>
      </c>
      <c r="B30" s="20" t="s">
        <v>803</v>
      </c>
      <c r="C30" s="58" t="s">
        <v>115</v>
      </c>
      <c r="D30" s="58" t="s">
        <v>110</v>
      </c>
      <c r="E30" s="58" t="s">
        <v>813</v>
      </c>
      <c r="F30" s="72" t="s">
        <v>805</v>
      </c>
      <c r="G30" s="72"/>
      <c r="H30" s="58"/>
      <c r="I30" s="58"/>
      <c r="J30" s="77"/>
      <c r="K30" s="58"/>
      <c r="L30" s="72"/>
    </row>
    <row r="31" spans="1:12" ht="12.75">
      <c r="A31" s="54"/>
      <c r="B31" s="20" t="s">
        <v>782</v>
      </c>
      <c r="C31" s="58" t="s">
        <v>115</v>
      </c>
      <c r="D31" s="58" t="s">
        <v>108</v>
      </c>
      <c r="E31" s="58" t="s">
        <v>335</v>
      </c>
      <c r="F31" s="72" t="s">
        <v>785</v>
      </c>
      <c r="G31" s="72"/>
      <c r="H31" s="58"/>
      <c r="I31" s="58"/>
      <c r="J31" s="77"/>
      <c r="K31" s="58"/>
      <c r="L31" s="72"/>
    </row>
    <row r="32" spans="1:12" ht="12.75">
      <c r="A32" s="54"/>
      <c r="B32" s="20" t="s">
        <v>789</v>
      </c>
      <c r="C32" s="58" t="s">
        <v>115</v>
      </c>
      <c r="D32" s="58" t="s">
        <v>298</v>
      </c>
      <c r="E32" s="58" t="s">
        <v>814</v>
      </c>
      <c r="F32" s="72" t="s">
        <v>793</v>
      </c>
      <c r="G32" s="72"/>
      <c r="H32" s="58"/>
      <c r="I32" s="58"/>
      <c r="J32" s="77"/>
      <c r="K32" s="58"/>
      <c r="L32" s="72"/>
    </row>
    <row r="33" spans="1:12" ht="12.75">
      <c r="A33" s="54"/>
      <c r="B33" s="77"/>
      <c r="C33" s="58"/>
      <c r="D33" s="58"/>
      <c r="E33" s="58"/>
      <c r="F33" s="72"/>
      <c r="G33" s="72"/>
      <c r="H33" s="58"/>
      <c r="I33" s="58"/>
      <c r="J33" s="77"/>
      <c r="K33" s="58"/>
      <c r="L33" s="72"/>
    </row>
    <row r="34" spans="1:12" ht="12.75">
      <c r="A34" s="54"/>
      <c r="B34" s="77"/>
      <c r="C34" s="58"/>
      <c r="D34" s="58"/>
      <c r="E34" s="58"/>
      <c r="F34" s="72"/>
      <c r="G34" s="72"/>
      <c r="H34" s="58"/>
      <c r="I34" s="58"/>
      <c r="J34" s="77"/>
      <c r="K34" s="58"/>
      <c r="L34" s="72"/>
    </row>
    <row r="35" spans="1:12" ht="12.75">
      <c r="A35" s="54"/>
      <c r="B35" s="77"/>
      <c r="C35" s="58"/>
      <c r="D35" s="58"/>
      <c r="E35" s="58"/>
      <c r="F35" s="72"/>
      <c r="G35" s="72"/>
      <c r="H35" s="58"/>
      <c r="I35" s="58"/>
      <c r="J35" s="77"/>
      <c r="K35" s="58"/>
      <c r="L35" s="72"/>
    </row>
    <row r="36" spans="1:12" ht="12.75">
      <c r="A36" s="54"/>
      <c r="B36" s="77"/>
      <c r="C36" s="58"/>
      <c r="D36" s="58"/>
      <c r="E36" s="58"/>
      <c r="F36" s="72"/>
      <c r="G36" s="72"/>
      <c r="H36" s="58"/>
      <c r="I36" s="58"/>
      <c r="J36" s="77"/>
      <c r="K36" s="58"/>
      <c r="L36" s="72"/>
    </row>
    <row r="37" spans="1:12" ht="12.75">
      <c r="A37" s="54"/>
      <c r="B37" s="77"/>
      <c r="C37" s="58"/>
      <c r="D37" s="58"/>
      <c r="E37" s="58"/>
      <c r="F37" s="72"/>
      <c r="G37" s="72"/>
      <c r="H37" s="58"/>
      <c r="I37" s="58"/>
      <c r="J37" s="77"/>
      <c r="K37" s="58"/>
      <c r="L37" s="72"/>
    </row>
    <row r="38" spans="1:12" ht="12.75">
      <c r="A38" s="54"/>
      <c r="B38" s="77"/>
      <c r="C38" s="58"/>
      <c r="D38" s="58"/>
      <c r="E38" s="58"/>
      <c r="F38" s="72"/>
      <c r="G38" s="72"/>
      <c r="H38" s="58"/>
      <c r="I38" s="58"/>
      <c r="J38" s="77"/>
      <c r="K38" s="58"/>
      <c r="L38" s="72"/>
    </row>
    <row r="39" spans="1:12" ht="12.75">
      <c r="A39" s="54"/>
      <c r="B39" s="77"/>
      <c r="C39" s="58"/>
      <c r="D39" s="58"/>
      <c r="E39" s="58"/>
      <c r="F39" s="72"/>
      <c r="G39" s="72"/>
      <c r="H39" s="58"/>
      <c r="I39" s="58"/>
      <c r="J39" s="77"/>
      <c r="K39" s="58"/>
      <c r="L39" s="72"/>
    </row>
    <row r="40" spans="1:12" ht="12.75">
      <c r="A40" s="54"/>
      <c r="B40" s="77"/>
      <c r="C40" s="58"/>
      <c r="D40" s="58"/>
      <c r="E40" s="58"/>
      <c r="F40" s="72"/>
      <c r="G40" s="72"/>
      <c r="H40" s="58"/>
      <c r="I40" s="58"/>
      <c r="J40" s="77"/>
      <c r="K40" s="58"/>
      <c r="L40" s="72"/>
    </row>
  </sheetData>
  <sheetProtection/>
  <mergeCells count="18">
    <mergeCell ref="L3:L4"/>
    <mergeCell ref="B5:K5"/>
    <mergeCell ref="B1:L1"/>
    <mergeCell ref="B2:L2"/>
    <mergeCell ref="A3:A4"/>
    <mergeCell ref="B3:B4"/>
    <mergeCell ref="C3:C4"/>
    <mergeCell ref="D3:D4"/>
    <mergeCell ref="E3:E4"/>
    <mergeCell ref="F3:F4"/>
    <mergeCell ref="B8:K8"/>
    <mergeCell ref="B12:K12"/>
    <mergeCell ref="B17:K17"/>
    <mergeCell ref="B20:K20"/>
    <mergeCell ref="G3:G4"/>
    <mergeCell ref="H3:I3"/>
    <mergeCell ref="J3:J4"/>
    <mergeCell ref="K3:K4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16" sqref="C16"/>
    </sheetView>
  </sheetViews>
  <sheetFormatPr defaultColWidth="11.375" defaultRowHeight="12.75"/>
  <cols>
    <col min="1" max="1" width="7.25390625" style="0" customWidth="1"/>
    <col min="2" max="2" width="23.125" style="0" customWidth="1"/>
    <col min="3" max="3" width="24.125" style="0" customWidth="1"/>
    <col min="4" max="4" width="11.875" style="0" customWidth="1"/>
    <col min="5" max="5" width="11.625" style="0" customWidth="1"/>
    <col min="6" max="6" width="14.125" style="0" customWidth="1"/>
    <col min="7" max="7" width="31.625" style="0" customWidth="1"/>
    <col min="8" max="11" width="11.375" style="0" customWidth="1"/>
    <col min="12" max="12" width="17.25390625" style="0" customWidth="1"/>
  </cols>
  <sheetData>
    <row r="1" spans="1:12" ht="55.5" customHeight="1">
      <c r="A1" s="63"/>
      <c r="B1" s="118" t="s">
        <v>655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30" thickBot="1">
      <c r="A2" s="5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33.75" customHeight="1">
      <c r="A3" s="124" t="s">
        <v>530</v>
      </c>
      <c r="B3" s="126" t="s">
        <v>0</v>
      </c>
      <c r="C3" s="128" t="s">
        <v>1</v>
      </c>
      <c r="D3" s="128" t="s">
        <v>541</v>
      </c>
      <c r="E3" s="114" t="s">
        <v>10</v>
      </c>
      <c r="F3" s="114" t="s">
        <v>2</v>
      </c>
      <c r="G3" s="110" t="s">
        <v>552</v>
      </c>
      <c r="H3" s="112" t="s">
        <v>4</v>
      </c>
      <c r="I3" s="113"/>
      <c r="J3" s="114" t="s">
        <v>657</v>
      </c>
      <c r="K3" s="114" t="s">
        <v>8</v>
      </c>
      <c r="L3" s="110" t="s">
        <v>9</v>
      </c>
    </row>
    <row r="4" spans="1:12" ht="15" thickBot="1">
      <c r="A4" s="125"/>
      <c r="B4" s="127"/>
      <c r="C4" s="129"/>
      <c r="D4" s="129"/>
      <c r="E4" s="115"/>
      <c r="F4" s="115"/>
      <c r="G4" s="111"/>
      <c r="H4" s="56" t="s">
        <v>658</v>
      </c>
      <c r="I4" s="57" t="s">
        <v>659</v>
      </c>
      <c r="J4" s="115"/>
      <c r="K4" s="115"/>
      <c r="L4" s="116"/>
    </row>
    <row r="5" spans="2:12" ht="15.75">
      <c r="B5" s="117" t="s">
        <v>148</v>
      </c>
      <c r="C5" s="117"/>
      <c r="D5" s="117"/>
      <c r="E5" s="117"/>
      <c r="F5" s="117"/>
      <c r="G5" s="117"/>
      <c r="H5" s="117"/>
      <c r="I5" s="117"/>
      <c r="J5" s="117"/>
      <c r="K5" s="117"/>
      <c r="L5" s="15"/>
    </row>
    <row r="6" spans="1:12" ht="12.75">
      <c r="A6" s="59"/>
      <c r="B6" s="60" t="s">
        <v>660</v>
      </c>
      <c r="C6" s="60" t="s">
        <v>661</v>
      </c>
      <c r="D6" s="60" t="s">
        <v>662</v>
      </c>
      <c r="E6" s="60" t="s">
        <v>663</v>
      </c>
      <c r="F6" s="60" t="s">
        <v>61</v>
      </c>
      <c r="G6" s="60" t="s">
        <v>28</v>
      </c>
      <c r="H6" s="61" t="s">
        <v>58</v>
      </c>
      <c r="I6" s="61"/>
      <c r="J6" s="62" t="s">
        <v>664</v>
      </c>
      <c r="K6" s="60" t="s">
        <v>665</v>
      </c>
      <c r="L6" s="60" t="s">
        <v>139</v>
      </c>
    </row>
    <row r="7" spans="2:12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5.75">
      <c r="B8" s="15"/>
      <c r="C8" s="15"/>
      <c r="D8" s="15"/>
      <c r="E8" s="15"/>
      <c r="F8" s="17"/>
      <c r="G8" s="15"/>
      <c r="H8" s="15"/>
      <c r="I8" s="15"/>
      <c r="J8" s="15"/>
      <c r="K8" s="15"/>
      <c r="L8" s="15"/>
    </row>
    <row r="9" spans="2:12" ht="15.75">
      <c r="B9" s="15"/>
      <c r="C9" s="15"/>
      <c r="D9" s="15"/>
      <c r="E9" s="15"/>
      <c r="F9" s="17"/>
      <c r="G9" s="15"/>
      <c r="H9" s="15"/>
      <c r="I9" s="15"/>
      <c r="J9" s="15"/>
      <c r="K9" s="15"/>
      <c r="L9" s="15"/>
    </row>
    <row r="10" spans="2:12" ht="15.75">
      <c r="B10" s="15"/>
      <c r="C10" s="15"/>
      <c r="D10" s="15"/>
      <c r="E10" s="15"/>
      <c r="F10" s="17"/>
      <c r="G10" s="15"/>
      <c r="H10" s="15"/>
      <c r="I10" s="15"/>
      <c r="J10" s="15"/>
      <c r="K10" s="15"/>
      <c r="L10" s="15"/>
    </row>
    <row r="11" spans="2:12" ht="15.75">
      <c r="B11" s="15"/>
      <c r="C11" s="15"/>
      <c r="D11" s="15"/>
      <c r="E11" s="15"/>
      <c r="F11" s="17"/>
      <c r="G11" s="15"/>
      <c r="H11" s="15"/>
      <c r="I11" s="15"/>
      <c r="J11" s="15"/>
      <c r="K11" s="15"/>
      <c r="L11" s="15"/>
    </row>
    <row r="12" spans="2:12" ht="15.75">
      <c r="B12" s="15"/>
      <c r="C12" s="15"/>
      <c r="D12" s="15"/>
      <c r="E12" s="15"/>
      <c r="F12" s="17"/>
      <c r="G12" s="15"/>
      <c r="H12" s="15"/>
      <c r="I12" s="15"/>
      <c r="J12" s="15"/>
      <c r="K12" s="15"/>
      <c r="L12" s="15"/>
    </row>
    <row r="13" spans="2:12" ht="15.75">
      <c r="B13" s="15"/>
      <c r="C13" s="15"/>
      <c r="D13" s="15"/>
      <c r="E13" s="15"/>
      <c r="F13" s="17"/>
      <c r="G13" s="15"/>
      <c r="H13" s="15"/>
      <c r="I13" s="15"/>
      <c r="J13" s="15"/>
      <c r="K13" s="15"/>
      <c r="L13" s="15"/>
    </row>
    <row r="14" spans="2:12" ht="15.75">
      <c r="B14" s="15"/>
      <c r="C14" s="15"/>
      <c r="D14" s="15"/>
      <c r="E14" s="15"/>
      <c r="F14" s="17"/>
      <c r="G14" s="15"/>
      <c r="H14" s="15"/>
      <c r="I14" s="15"/>
      <c r="J14" s="15"/>
      <c r="K14" s="15"/>
      <c r="L14" s="15"/>
    </row>
  </sheetData>
  <sheetProtection/>
  <mergeCells count="14"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B5:K5"/>
    <mergeCell ref="B1:L1"/>
    <mergeCell ref="B2:L2"/>
    <mergeCell ref="G3:G4"/>
    <mergeCell ref="H3:I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1">
      <selection activeCell="G35" sqref="G35"/>
    </sheetView>
  </sheetViews>
  <sheetFormatPr defaultColWidth="11.375" defaultRowHeight="12.75"/>
  <cols>
    <col min="1" max="1" width="7.625" style="0" customWidth="1"/>
    <col min="2" max="2" width="19.00390625" style="0" customWidth="1"/>
    <col min="3" max="3" width="24.375" style="0" customWidth="1"/>
    <col min="4" max="4" width="12.875" style="0" customWidth="1"/>
    <col min="5" max="5" width="11.375" style="0" customWidth="1"/>
    <col min="6" max="6" width="14.875" style="0" customWidth="1"/>
    <col min="7" max="7" width="30.25390625" style="0" customWidth="1"/>
    <col min="8" max="8" width="11.375" style="0" customWidth="1"/>
    <col min="9" max="9" width="10.00390625" style="0" customWidth="1"/>
    <col min="10" max="11" width="11.375" style="0" customWidth="1"/>
    <col min="12" max="12" width="19.875" style="0" customWidth="1"/>
  </cols>
  <sheetData>
    <row r="1" spans="1:13" ht="57.75" customHeight="1">
      <c r="A1" s="63"/>
      <c r="B1" s="118" t="s">
        <v>666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71"/>
    </row>
    <row r="2" spans="1:13" ht="30" thickBot="1">
      <c r="A2" s="5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54"/>
    </row>
    <row r="3" spans="1:13" ht="33.75" customHeight="1">
      <c r="A3" s="124" t="s">
        <v>530</v>
      </c>
      <c r="B3" s="126" t="s">
        <v>0</v>
      </c>
      <c r="C3" s="128" t="s">
        <v>1</v>
      </c>
      <c r="D3" s="128" t="s">
        <v>541</v>
      </c>
      <c r="E3" s="114" t="s">
        <v>10</v>
      </c>
      <c r="F3" s="114" t="s">
        <v>2</v>
      </c>
      <c r="G3" s="110" t="s">
        <v>552</v>
      </c>
      <c r="H3" s="112" t="s">
        <v>4</v>
      </c>
      <c r="I3" s="113"/>
      <c r="J3" s="114" t="s">
        <v>657</v>
      </c>
      <c r="K3" s="114" t="s">
        <v>8</v>
      </c>
      <c r="L3" s="110" t="s">
        <v>9</v>
      </c>
      <c r="M3" s="55"/>
    </row>
    <row r="4" spans="1:13" ht="15" thickBot="1">
      <c r="A4" s="125"/>
      <c r="B4" s="127"/>
      <c r="C4" s="129"/>
      <c r="D4" s="129"/>
      <c r="E4" s="115"/>
      <c r="F4" s="115"/>
      <c r="G4" s="111"/>
      <c r="H4" s="56" t="s">
        <v>658</v>
      </c>
      <c r="I4" s="57" t="s">
        <v>659</v>
      </c>
      <c r="J4" s="115"/>
      <c r="K4" s="115"/>
      <c r="L4" s="116"/>
      <c r="M4" s="55"/>
    </row>
    <row r="5" spans="2:12" ht="15.75">
      <c r="B5" s="117" t="s">
        <v>169</v>
      </c>
      <c r="C5" s="117"/>
      <c r="D5" s="117"/>
      <c r="E5" s="117"/>
      <c r="F5" s="117"/>
      <c r="G5" s="117"/>
      <c r="H5" s="117"/>
      <c r="I5" s="117"/>
      <c r="J5" s="117"/>
      <c r="K5" s="117"/>
      <c r="L5" s="15"/>
    </row>
    <row r="6" spans="1:12" ht="12.75">
      <c r="A6" s="64">
        <v>1</v>
      </c>
      <c r="B6" s="60" t="s">
        <v>603</v>
      </c>
      <c r="C6" s="60" t="s">
        <v>667</v>
      </c>
      <c r="D6" s="60" t="s">
        <v>172</v>
      </c>
      <c r="E6" s="60" t="s">
        <v>668</v>
      </c>
      <c r="F6" s="60" t="s">
        <v>78</v>
      </c>
      <c r="G6" s="60" t="s">
        <v>79</v>
      </c>
      <c r="H6" s="60" t="s">
        <v>19</v>
      </c>
      <c r="I6" s="60" t="s">
        <v>669</v>
      </c>
      <c r="J6" s="62">
        <v>1092.5</v>
      </c>
      <c r="K6" s="60" t="s">
        <v>670</v>
      </c>
      <c r="L6" s="60" t="s">
        <v>316</v>
      </c>
    </row>
    <row r="7" spans="2:12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5.75">
      <c r="B8" s="109" t="s">
        <v>216</v>
      </c>
      <c r="C8" s="109"/>
      <c r="D8" s="109"/>
      <c r="E8" s="109"/>
      <c r="F8" s="109"/>
      <c r="G8" s="109"/>
      <c r="H8" s="109"/>
      <c r="I8" s="109"/>
      <c r="J8" s="109"/>
      <c r="K8" s="109"/>
      <c r="L8" s="15"/>
    </row>
    <row r="9" spans="1:12" ht="12.75">
      <c r="A9" s="64">
        <v>1</v>
      </c>
      <c r="B9" s="60" t="s">
        <v>671</v>
      </c>
      <c r="C9" s="60" t="s">
        <v>672</v>
      </c>
      <c r="D9" s="60" t="s">
        <v>353</v>
      </c>
      <c r="E9" s="60" t="s">
        <v>673</v>
      </c>
      <c r="F9" s="60" t="s">
        <v>354</v>
      </c>
      <c r="G9" s="60" t="s">
        <v>28</v>
      </c>
      <c r="H9" s="60" t="s">
        <v>135</v>
      </c>
      <c r="I9" s="60" t="s">
        <v>674</v>
      </c>
      <c r="J9" s="62">
        <v>2475</v>
      </c>
      <c r="K9" s="60" t="s">
        <v>675</v>
      </c>
      <c r="L9" s="60" t="s">
        <v>87</v>
      </c>
    </row>
    <row r="10" spans="2:12" ht="12.7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5.75">
      <c r="B11" s="109" t="s">
        <v>224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5"/>
    </row>
    <row r="12" spans="1:12" ht="12.75">
      <c r="A12" s="65">
        <v>1</v>
      </c>
      <c r="B12" s="60" t="s">
        <v>676</v>
      </c>
      <c r="C12" s="60" t="s">
        <v>677</v>
      </c>
      <c r="D12" s="60" t="s">
        <v>428</v>
      </c>
      <c r="E12" s="60" t="s">
        <v>678</v>
      </c>
      <c r="F12" s="60" t="s">
        <v>679</v>
      </c>
      <c r="G12" s="60" t="s">
        <v>322</v>
      </c>
      <c r="H12" s="60" t="s">
        <v>16</v>
      </c>
      <c r="I12" s="60" t="s">
        <v>680</v>
      </c>
      <c r="J12" s="62">
        <v>880</v>
      </c>
      <c r="K12" s="60" t="s">
        <v>681</v>
      </c>
      <c r="L12" s="60" t="s">
        <v>682</v>
      </c>
    </row>
    <row r="13" spans="1:12" ht="12.75">
      <c r="A13" s="66">
        <v>1</v>
      </c>
      <c r="B13" s="67" t="s">
        <v>683</v>
      </c>
      <c r="C13" s="67" t="s">
        <v>684</v>
      </c>
      <c r="D13" s="67" t="s">
        <v>435</v>
      </c>
      <c r="E13" s="67" t="s">
        <v>685</v>
      </c>
      <c r="F13" s="67" t="s">
        <v>61</v>
      </c>
      <c r="G13" s="67" t="s">
        <v>322</v>
      </c>
      <c r="H13" s="67" t="s">
        <v>130</v>
      </c>
      <c r="I13" s="67" t="s">
        <v>686</v>
      </c>
      <c r="J13" s="68">
        <v>3135</v>
      </c>
      <c r="K13" s="67" t="s">
        <v>687</v>
      </c>
      <c r="L13" s="67" t="s">
        <v>87</v>
      </c>
    </row>
    <row r="14" spans="1:12" ht="12.75">
      <c r="A14" s="66">
        <v>2</v>
      </c>
      <c r="B14" s="67" t="s">
        <v>688</v>
      </c>
      <c r="C14" s="67" t="s">
        <v>689</v>
      </c>
      <c r="D14" s="67" t="s">
        <v>690</v>
      </c>
      <c r="E14" s="67" t="s">
        <v>691</v>
      </c>
      <c r="F14" s="67" t="s">
        <v>61</v>
      </c>
      <c r="G14" s="67" t="s">
        <v>692</v>
      </c>
      <c r="H14" s="67" t="s">
        <v>127</v>
      </c>
      <c r="I14" s="67" t="s">
        <v>693</v>
      </c>
      <c r="J14" s="68">
        <v>2867.5</v>
      </c>
      <c r="K14" s="67" t="s">
        <v>694</v>
      </c>
      <c r="L14" s="67" t="s">
        <v>87</v>
      </c>
    </row>
    <row r="15" spans="1:12" ht="12.75">
      <c r="A15" s="66">
        <v>3</v>
      </c>
      <c r="B15" s="67" t="s">
        <v>695</v>
      </c>
      <c r="C15" s="67" t="s">
        <v>696</v>
      </c>
      <c r="D15" s="67" t="s">
        <v>697</v>
      </c>
      <c r="E15" s="67" t="s">
        <v>698</v>
      </c>
      <c r="F15" s="67" t="s">
        <v>61</v>
      </c>
      <c r="G15" s="67" t="s">
        <v>322</v>
      </c>
      <c r="H15" s="67" t="s">
        <v>16</v>
      </c>
      <c r="I15" s="67" t="s">
        <v>699</v>
      </c>
      <c r="J15" s="68">
        <v>2160</v>
      </c>
      <c r="K15" s="67" t="s">
        <v>700</v>
      </c>
      <c r="L15" s="67" t="s">
        <v>701</v>
      </c>
    </row>
    <row r="16" spans="2:12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5.75">
      <c r="B17" s="109" t="s">
        <v>39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5"/>
    </row>
    <row r="18" spans="1:12" ht="12.75">
      <c r="A18" s="65">
        <v>1</v>
      </c>
      <c r="B18" s="60" t="s">
        <v>363</v>
      </c>
      <c r="C18" s="60" t="s">
        <v>364</v>
      </c>
      <c r="D18" s="60" t="s">
        <v>365</v>
      </c>
      <c r="E18" s="60" t="s">
        <v>702</v>
      </c>
      <c r="F18" s="60" t="s">
        <v>61</v>
      </c>
      <c r="G18" s="60" t="s">
        <v>712</v>
      </c>
      <c r="H18" s="60" t="s">
        <v>152</v>
      </c>
      <c r="I18" s="60" t="s">
        <v>703</v>
      </c>
      <c r="J18" s="62">
        <v>2720</v>
      </c>
      <c r="K18" s="60" t="s">
        <v>704</v>
      </c>
      <c r="L18" s="60" t="s">
        <v>87</v>
      </c>
    </row>
    <row r="19" spans="1:12" ht="12.75">
      <c r="A19" s="66">
        <v>2</v>
      </c>
      <c r="B19" s="67" t="s">
        <v>705</v>
      </c>
      <c r="C19" s="67" t="s">
        <v>706</v>
      </c>
      <c r="D19" s="67" t="s">
        <v>707</v>
      </c>
      <c r="E19" s="67" t="s">
        <v>708</v>
      </c>
      <c r="F19" s="67" t="s">
        <v>164</v>
      </c>
      <c r="G19" s="67" t="s">
        <v>28</v>
      </c>
      <c r="H19" s="67" t="s">
        <v>17</v>
      </c>
      <c r="I19" s="67" t="s">
        <v>709</v>
      </c>
      <c r="J19" s="68">
        <v>2880</v>
      </c>
      <c r="K19" s="67" t="s">
        <v>710</v>
      </c>
      <c r="L19" s="67" t="s">
        <v>87</v>
      </c>
    </row>
    <row r="20" spans="1:12" ht="12.75">
      <c r="A20" s="66">
        <v>1</v>
      </c>
      <c r="B20" s="67" t="s">
        <v>363</v>
      </c>
      <c r="C20" s="67" t="s">
        <v>711</v>
      </c>
      <c r="D20" s="67" t="s">
        <v>365</v>
      </c>
      <c r="E20" s="67" t="s">
        <v>702</v>
      </c>
      <c r="F20" s="67" t="s">
        <v>61</v>
      </c>
      <c r="G20" s="67" t="s">
        <v>712</v>
      </c>
      <c r="H20" s="67" t="s">
        <v>152</v>
      </c>
      <c r="I20" s="67" t="s">
        <v>709</v>
      </c>
      <c r="J20" s="68">
        <v>2720</v>
      </c>
      <c r="K20" s="67" t="s">
        <v>713</v>
      </c>
      <c r="L20" s="67" t="s">
        <v>87</v>
      </c>
    </row>
    <row r="21" spans="2:12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ht="15.75">
      <c r="B22" s="109" t="s">
        <v>264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5"/>
    </row>
    <row r="23" spans="1:12" ht="12.75">
      <c r="A23" s="65">
        <v>1</v>
      </c>
      <c r="B23" s="60" t="s">
        <v>714</v>
      </c>
      <c r="C23" s="60" t="s">
        <v>715</v>
      </c>
      <c r="D23" s="60" t="s">
        <v>716</v>
      </c>
      <c r="E23" s="60" t="s">
        <v>717</v>
      </c>
      <c r="F23" s="60" t="s">
        <v>164</v>
      </c>
      <c r="G23" s="60" t="s">
        <v>28</v>
      </c>
      <c r="H23" s="60" t="s">
        <v>166</v>
      </c>
      <c r="I23" s="60" t="s">
        <v>718</v>
      </c>
      <c r="J23" s="62">
        <v>2867.5</v>
      </c>
      <c r="K23" s="60" t="s">
        <v>719</v>
      </c>
      <c r="L23" s="60" t="s">
        <v>223</v>
      </c>
    </row>
    <row r="24" spans="1:12" ht="12.75">
      <c r="A24" s="66">
        <v>2</v>
      </c>
      <c r="B24" s="67" t="s">
        <v>705</v>
      </c>
      <c r="C24" s="67" t="s">
        <v>706</v>
      </c>
      <c r="D24" s="67" t="s">
        <v>720</v>
      </c>
      <c r="E24" s="67" t="s">
        <v>721</v>
      </c>
      <c r="F24" s="67" t="s">
        <v>164</v>
      </c>
      <c r="G24" s="67" t="s">
        <v>28</v>
      </c>
      <c r="H24" s="69" t="s">
        <v>166</v>
      </c>
      <c r="I24" s="69"/>
      <c r="J24" s="68" t="s">
        <v>664</v>
      </c>
      <c r="K24" s="67" t="s">
        <v>665</v>
      </c>
      <c r="L24" s="67" t="s">
        <v>87</v>
      </c>
    </row>
    <row r="25" spans="1:12" ht="12.75">
      <c r="A25" s="66">
        <v>1</v>
      </c>
      <c r="B25" s="67" t="s">
        <v>722</v>
      </c>
      <c r="C25" s="67" t="s">
        <v>723</v>
      </c>
      <c r="D25" s="67" t="s">
        <v>724</v>
      </c>
      <c r="E25" s="67" t="s">
        <v>725</v>
      </c>
      <c r="F25" s="67" t="s">
        <v>61</v>
      </c>
      <c r="G25" s="67" t="s">
        <v>756</v>
      </c>
      <c r="H25" s="67" t="s">
        <v>166</v>
      </c>
      <c r="I25" s="67" t="s">
        <v>726</v>
      </c>
      <c r="J25" s="68">
        <v>2220</v>
      </c>
      <c r="K25" s="67" t="s">
        <v>727</v>
      </c>
      <c r="L25" s="67" t="s">
        <v>87</v>
      </c>
    </row>
    <row r="26" spans="2:12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ht="15.75">
      <c r="B27" s="109" t="s">
        <v>66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5"/>
    </row>
    <row r="28" spans="1:12" ht="12.75">
      <c r="A28" s="65">
        <v>1</v>
      </c>
      <c r="B28" s="60" t="s">
        <v>382</v>
      </c>
      <c r="C28" s="60" t="s">
        <v>383</v>
      </c>
      <c r="D28" s="60" t="s">
        <v>384</v>
      </c>
      <c r="E28" s="60" t="s">
        <v>728</v>
      </c>
      <c r="F28" s="60" t="s">
        <v>61</v>
      </c>
      <c r="G28" s="60" t="s">
        <v>712</v>
      </c>
      <c r="H28" s="60" t="s">
        <v>147</v>
      </c>
      <c r="I28" s="60" t="s">
        <v>729</v>
      </c>
      <c r="J28" s="62">
        <v>3655</v>
      </c>
      <c r="K28" s="60" t="s">
        <v>730</v>
      </c>
      <c r="L28" s="60" t="s">
        <v>87</v>
      </c>
    </row>
    <row r="29" spans="1:12" ht="12.75">
      <c r="A29" s="66">
        <v>2</v>
      </c>
      <c r="B29" s="67" t="s">
        <v>731</v>
      </c>
      <c r="C29" s="67" t="s">
        <v>732</v>
      </c>
      <c r="D29" s="67" t="s">
        <v>733</v>
      </c>
      <c r="E29" s="67" t="s">
        <v>734</v>
      </c>
      <c r="F29" s="67" t="s">
        <v>61</v>
      </c>
      <c r="G29" s="67" t="s">
        <v>28</v>
      </c>
      <c r="H29" s="67" t="s">
        <v>173</v>
      </c>
      <c r="I29" s="67" t="s">
        <v>735</v>
      </c>
      <c r="J29" s="68">
        <v>2090</v>
      </c>
      <c r="K29" s="67" t="s">
        <v>736</v>
      </c>
      <c r="L29" s="67" t="s">
        <v>223</v>
      </c>
    </row>
    <row r="30" spans="2:12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ht="15.75">
      <c r="B31" s="109" t="s">
        <v>89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5"/>
    </row>
    <row r="32" spans="1:12" ht="12.75">
      <c r="A32" s="64">
        <v>1</v>
      </c>
      <c r="B32" s="60" t="s">
        <v>737</v>
      </c>
      <c r="C32" s="60" t="s">
        <v>738</v>
      </c>
      <c r="D32" s="60" t="s">
        <v>739</v>
      </c>
      <c r="E32" s="60" t="s">
        <v>740</v>
      </c>
      <c r="F32" s="60" t="s">
        <v>78</v>
      </c>
      <c r="G32" s="60" t="s">
        <v>79</v>
      </c>
      <c r="H32" s="60" t="s">
        <v>32</v>
      </c>
      <c r="I32" s="60" t="s">
        <v>741</v>
      </c>
      <c r="J32" s="62">
        <v>2812.5</v>
      </c>
      <c r="K32" s="60" t="s">
        <v>742</v>
      </c>
      <c r="L32" s="60" t="s">
        <v>87</v>
      </c>
    </row>
    <row r="33" spans="2:12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8">
      <c r="B34" s="132" t="s">
        <v>100</v>
      </c>
      <c r="C34" s="132"/>
      <c r="D34" s="15"/>
      <c r="E34" s="15"/>
      <c r="F34" s="15"/>
      <c r="G34" s="15"/>
      <c r="H34" s="15"/>
      <c r="I34" s="15"/>
      <c r="J34" s="15"/>
      <c r="K34" s="15"/>
      <c r="L34" s="15"/>
    </row>
    <row r="35" spans="2:12" ht="13.5" customHeight="1">
      <c r="B35" s="18"/>
      <c r="C35" s="18"/>
      <c r="D35" s="15"/>
      <c r="E35" s="15"/>
      <c r="F35" s="15"/>
      <c r="G35" s="15"/>
      <c r="H35" s="15"/>
      <c r="I35" s="15"/>
      <c r="J35" s="15"/>
      <c r="K35" s="15"/>
      <c r="L35" s="15"/>
    </row>
    <row r="36" spans="2:12" ht="15.75">
      <c r="B36" s="19" t="s">
        <v>535</v>
      </c>
      <c r="C36" s="19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13.5">
      <c r="B37" s="21"/>
      <c r="C37" s="22" t="s">
        <v>155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2:12" ht="13.5">
      <c r="B38" s="23" t="s">
        <v>102</v>
      </c>
      <c r="C38" s="70" t="s">
        <v>103</v>
      </c>
      <c r="D38" s="70" t="s">
        <v>104</v>
      </c>
      <c r="E38" s="70" t="s">
        <v>105</v>
      </c>
      <c r="F38" s="70" t="s">
        <v>106</v>
      </c>
      <c r="G38" s="15"/>
      <c r="H38" s="15"/>
      <c r="I38" s="15"/>
      <c r="J38" s="15"/>
      <c r="K38" s="15"/>
      <c r="L38" s="15"/>
    </row>
    <row r="39" spans="1:12" ht="12.75">
      <c r="A39" s="54">
        <v>1</v>
      </c>
      <c r="B39" s="20" t="s">
        <v>671</v>
      </c>
      <c r="C39" s="15" t="s">
        <v>743</v>
      </c>
      <c r="D39" s="15" t="s">
        <v>298</v>
      </c>
      <c r="E39" s="15" t="s">
        <v>744</v>
      </c>
      <c r="F39" s="24" t="s">
        <v>675</v>
      </c>
      <c r="G39" s="15"/>
      <c r="H39" s="15"/>
      <c r="I39" s="15"/>
      <c r="J39" s="15"/>
      <c r="K39" s="15"/>
      <c r="L39" s="15"/>
    </row>
    <row r="40" spans="1:12" ht="12.75">
      <c r="A40" s="54">
        <v>2</v>
      </c>
      <c r="B40" s="20" t="s">
        <v>603</v>
      </c>
      <c r="C40" s="15" t="s">
        <v>743</v>
      </c>
      <c r="D40" s="15" t="s">
        <v>277</v>
      </c>
      <c r="E40" s="15" t="s">
        <v>745</v>
      </c>
      <c r="F40" s="24" t="s">
        <v>670</v>
      </c>
      <c r="G40" s="15"/>
      <c r="H40" s="15"/>
      <c r="I40" s="15"/>
      <c r="J40" s="15"/>
      <c r="K40" s="15"/>
      <c r="L40" s="15"/>
    </row>
    <row r="41" spans="1:12" ht="12.75">
      <c r="A41" s="54">
        <v>3</v>
      </c>
      <c r="B41" s="20" t="s">
        <v>676</v>
      </c>
      <c r="C41" s="15" t="s">
        <v>743</v>
      </c>
      <c r="D41" s="15" t="s">
        <v>746</v>
      </c>
      <c r="E41" s="15" t="s">
        <v>747</v>
      </c>
      <c r="F41" s="24" t="s">
        <v>681</v>
      </c>
      <c r="G41" s="15"/>
      <c r="H41" s="15"/>
      <c r="I41" s="15"/>
      <c r="J41" s="15"/>
      <c r="K41" s="15"/>
      <c r="L41" s="15"/>
    </row>
    <row r="42" spans="2:12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ht="15.75">
      <c r="B43" s="19" t="s">
        <v>569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2" ht="13.5">
      <c r="B44" s="21"/>
      <c r="C44" s="22" t="s">
        <v>155</v>
      </c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3.5">
      <c r="B45" s="23" t="s">
        <v>102</v>
      </c>
      <c r="C45" s="70" t="s">
        <v>103</v>
      </c>
      <c r="D45" s="70" t="s">
        <v>104</v>
      </c>
      <c r="E45" s="70" t="s">
        <v>105</v>
      </c>
      <c r="F45" s="70" t="s">
        <v>106</v>
      </c>
      <c r="G45" s="15"/>
      <c r="H45" s="15"/>
      <c r="I45" s="15"/>
      <c r="J45" s="15"/>
      <c r="K45" s="15"/>
      <c r="L45" s="15"/>
    </row>
    <row r="46" spans="1:12" ht="12.75">
      <c r="A46" s="54">
        <v>1</v>
      </c>
      <c r="B46" s="20" t="s">
        <v>382</v>
      </c>
      <c r="C46" s="15" t="s">
        <v>115</v>
      </c>
      <c r="D46" s="15" t="s">
        <v>113</v>
      </c>
      <c r="E46" s="15" t="s">
        <v>748</v>
      </c>
      <c r="F46" s="24" t="s">
        <v>730</v>
      </c>
      <c r="G46" s="15"/>
      <c r="H46" s="15"/>
      <c r="I46" s="15"/>
      <c r="J46" s="15"/>
      <c r="K46" s="15"/>
      <c r="L46" s="15"/>
    </row>
    <row r="47" spans="1:12" ht="12.75">
      <c r="A47" s="54">
        <v>2</v>
      </c>
      <c r="B47" s="20" t="s">
        <v>683</v>
      </c>
      <c r="C47" s="15" t="s">
        <v>115</v>
      </c>
      <c r="D47" s="15" t="s">
        <v>746</v>
      </c>
      <c r="E47" s="15" t="s">
        <v>749</v>
      </c>
      <c r="F47" s="24" t="s">
        <v>687</v>
      </c>
      <c r="G47" s="15"/>
      <c r="H47" s="15"/>
      <c r="I47" s="15"/>
      <c r="J47" s="15"/>
      <c r="K47" s="15"/>
      <c r="L47" s="15"/>
    </row>
    <row r="48" spans="1:12" ht="12.75">
      <c r="A48" s="54">
        <v>3</v>
      </c>
      <c r="B48" s="20" t="s">
        <v>688</v>
      </c>
      <c r="C48" s="15" t="s">
        <v>115</v>
      </c>
      <c r="D48" s="15" t="s">
        <v>746</v>
      </c>
      <c r="E48" s="15" t="s">
        <v>750</v>
      </c>
      <c r="F48" s="24" t="s">
        <v>694</v>
      </c>
      <c r="G48" s="15"/>
      <c r="H48" s="15"/>
      <c r="I48" s="15"/>
      <c r="J48" s="15"/>
      <c r="K48" s="15"/>
      <c r="L48" s="15"/>
    </row>
    <row r="49" spans="2:12" ht="12.75">
      <c r="B49" s="20" t="s">
        <v>705</v>
      </c>
      <c r="C49" s="15" t="s">
        <v>115</v>
      </c>
      <c r="D49" s="15" t="s">
        <v>110</v>
      </c>
      <c r="E49" s="15" t="s">
        <v>751</v>
      </c>
      <c r="F49" s="24" t="s">
        <v>710</v>
      </c>
      <c r="G49" s="15"/>
      <c r="H49" s="15"/>
      <c r="I49" s="15"/>
      <c r="J49" s="15"/>
      <c r="K49" s="15"/>
      <c r="L49" s="15"/>
    </row>
    <row r="50" spans="2:12" ht="12.75">
      <c r="B50" s="20" t="s">
        <v>714</v>
      </c>
      <c r="C50" s="15" t="s">
        <v>115</v>
      </c>
      <c r="D50" s="15" t="s">
        <v>288</v>
      </c>
      <c r="E50" s="15" t="s">
        <v>750</v>
      </c>
      <c r="F50" s="24" t="s">
        <v>719</v>
      </c>
      <c r="G50" s="15"/>
      <c r="H50" s="15"/>
      <c r="I50" s="15"/>
      <c r="J50" s="15"/>
      <c r="K50" s="15"/>
      <c r="L50" s="15"/>
    </row>
    <row r="51" spans="2:12" ht="12.75">
      <c r="B51" s="20" t="s">
        <v>363</v>
      </c>
      <c r="C51" s="15" t="s">
        <v>115</v>
      </c>
      <c r="D51" s="15" t="s">
        <v>110</v>
      </c>
      <c r="E51" s="15" t="s">
        <v>752</v>
      </c>
      <c r="F51" s="24" t="s">
        <v>704</v>
      </c>
      <c r="G51" s="15"/>
      <c r="H51" s="15"/>
      <c r="I51" s="15"/>
      <c r="J51" s="15"/>
      <c r="K51" s="15"/>
      <c r="L51" s="15"/>
    </row>
    <row r="52" spans="2:12" ht="12.75">
      <c r="B52" s="20" t="s">
        <v>737</v>
      </c>
      <c r="C52" s="15" t="s">
        <v>115</v>
      </c>
      <c r="D52" s="15" t="s">
        <v>118</v>
      </c>
      <c r="E52" s="15" t="s">
        <v>753</v>
      </c>
      <c r="F52" s="24" t="s">
        <v>742</v>
      </c>
      <c r="G52" s="15"/>
      <c r="H52" s="15"/>
      <c r="I52" s="15"/>
      <c r="J52" s="15"/>
      <c r="K52" s="15"/>
      <c r="L52" s="15"/>
    </row>
    <row r="53" spans="2:12" ht="12.75">
      <c r="B53" s="20" t="s">
        <v>695</v>
      </c>
      <c r="C53" s="15" t="s">
        <v>115</v>
      </c>
      <c r="D53" s="15" t="s">
        <v>746</v>
      </c>
      <c r="E53" s="15" t="s">
        <v>754</v>
      </c>
      <c r="F53" s="24" t="s">
        <v>700</v>
      </c>
      <c r="G53" s="15"/>
      <c r="H53" s="15"/>
      <c r="I53" s="15"/>
      <c r="J53" s="15"/>
      <c r="K53" s="15"/>
      <c r="L53" s="15"/>
    </row>
    <row r="54" spans="2:12" ht="12.75">
      <c r="B54" s="20" t="s">
        <v>731</v>
      </c>
      <c r="C54" s="15" t="s">
        <v>115</v>
      </c>
      <c r="D54" s="15" t="s">
        <v>113</v>
      </c>
      <c r="E54" s="15" t="s">
        <v>755</v>
      </c>
      <c r="F54" s="24" t="s">
        <v>736</v>
      </c>
      <c r="G54" s="15"/>
      <c r="H54" s="15"/>
      <c r="I54" s="15"/>
      <c r="J54" s="15"/>
      <c r="K54" s="15"/>
      <c r="L54" s="15"/>
    </row>
    <row r="55" spans="2:12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2:12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</sheetData>
  <sheetProtection/>
  <mergeCells count="21">
    <mergeCell ref="A3:A4"/>
    <mergeCell ref="B3:B4"/>
    <mergeCell ref="C3:C4"/>
    <mergeCell ref="D3:D4"/>
    <mergeCell ref="E3:E4"/>
    <mergeCell ref="F3:F4"/>
    <mergeCell ref="L3:L4"/>
    <mergeCell ref="B31:K31"/>
    <mergeCell ref="H3:I3"/>
    <mergeCell ref="B22:K22"/>
    <mergeCell ref="B1:L1"/>
    <mergeCell ref="B2:L2"/>
    <mergeCell ref="B34:C34"/>
    <mergeCell ref="B5:K5"/>
    <mergeCell ref="B8:K8"/>
    <mergeCell ref="B11:K11"/>
    <mergeCell ref="B17:K17"/>
    <mergeCell ref="G3:G4"/>
    <mergeCell ref="B27:K27"/>
    <mergeCell ref="J3:J4"/>
    <mergeCell ref="K3:K4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L17" sqref="L17"/>
    </sheetView>
  </sheetViews>
  <sheetFormatPr defaultColWidth="8.75390625" defaultRowHeight="12.75"/>
  <cols>
    <col min="1" max="1" width="8.625" style="27" bestFit="1" customWidth="1"/>
    <col min="2" max="2" width="23.25390625" style="15" customWidth="1"/>
    <col min="3" max="3" width="26.125" style="15" customWidth="1"/>
    <col min="4" max="4" width="10.625" style="15" bestFit="1" customWidth="1"/>
    <col min="5" max="5" width="8.375" style="15" bestFit="1" customWidth="1"/>
    <col min="6" max="6" width="19.00390625" style="15" customWidth="1"/>
    <col min="7" max="7" width="31.75390625" style="15" bestFit="1" customWidth="1"/>
    <col min="8" max="10" width="5.625" style="27" bestFit="1" customWidth="1"/>
    <col min="11" max="11" width="5.125" style="27" bestFit="1" customWidth="1"/>
    <col min="12" max="12" width="11.75390625" style="27" customWidth="1"/>
    <col min="13" max="13" width="8.625" style="27" bestFit="1" customWidth="1"/>
    <col min="14" max="14" width="15.875" style="15" customWidth="1"/>
  </cols>
  <sheetData>
    <row r="1" spans="2:14" s="1" customFormat="1" ht="15" customHeight="1">
      <c r="B1" s="89" t="s">
        <v>645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2:14" s="1" customFormat="1" ht="77.25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4" customFormat="1" ht="12.75" customHeight="1">
      <c r="A3" s="99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4</v>
      </c>
      <c r="I3" s="99"/>
      <c r="J3" s="99"/>
      <c r="K3" s="103"/>
      <c r="L3" s="100" t="s">
        <v>529</v>
      </c>
      <c r="M3" s="99" t="s">
        <v>8</v>
      </c>
      <c r="N3" s="103" t="s">
        <v>9</v>
      </c>
    </row>
    <row r="4" spans="1:14" s="4" customFormat="1" ht="23.25" customHeight="1" thickBot="1">
      <c r="A4" s="98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101"/>
      <c r="M4" s="98"/>
      <c r="N4" s="104"/>
    </row>
    <row r="5" spans="1:13" ht="15.75">
      <c r="A5"/>
      <c r="B5" s="107" t="s">
        <v>39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25" t="s">
        <v>531</v>
      </c>
      <c r="B6" s="16" t="s">
        <v>644</v>
      </c>
      <c r="C6" s="16" t="s">
        <v>487</v>
      </c>
      <c r="D6" s="16" t="s">
        <v>488</v>
      </c>
      <c r="E6" s="16" t="str">
        <f>"0,6269"</f>
        <v>0,6269</v>
      </c>
      <c r="F6" s="16" t="s">
        <v>61</v>
      </c>
      <c r="G6" s="16" t="s">
        <v>28</v>
      </c>
      <c r="H6" s="29" t="s">
        <v>36</v>
      </c>
      <c r="I6" s="28" t="s">
        <v>54</v>
      </c>
      <c r="J6" s="28" t="s">
        <v>54</v>
      </c>
      <c r="K6" s="26"/>
      <c r="L6" s="52">
        <v>185</v>
      </c>
      <c r="M6" s="25" t="str">
        <f>"115,9673"</f>
        <v>115,9673</v>
      </c>
      <c r="N6" s="16" t="s">
        <v>489</v>
      </c>
    </row>
  </sheetData>
  <sheetProtection/>
  <mergeCells count="13"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F24" sqref="F24"/>
    </sheetView>
  </sheetViews>
  <sheetFormatPr defaultColWidth="8.75390625" defaultRowHeight="12.75"/>
  <cols>
    <col min="1" max="1" width="8.625" style="27" bestFit="1" customWidth="1"/>
    <col min="2" max="2" width="20.125" style="15" customWidth="1"/>
    <col min="3" max="3" width="24.375" style="15" customWidth="1"/>
    <col min="4" max="4" width="10.625" style="15" bestFit="1" customWidth="1"/>
    <col min="5" max="5" width="8.375" style="15" bestFit="1" customWidth="1"/>
    <col min="6" max="6" width="19.625" style="15" customWidth="1"/>
    <col min="7" max="7" width="31.75390625" style="15" customWidth="1"/>
    <col min="8" max="10" width="5.625" style="27" bestFit="1" customWidth="1"/>
    <col min="11" max="11" width="5.125" style="27" bestFit="1" customWidth="1"/>
    <col min="12" max="12" width="11.875" style="27" customWidth="1"/>
    <col min="13" max="13" width="8.625" style="27" bestFit="1" customWidth="1"/>
    <col min="14" max="14" width="17.00390625" style="15" bestFit="1" customWidth="1"/>
  </cols>
  <sheetData>
    <row r="1" spans="2:14" s="1" customFormat="1" ht="15" customHeight="1">
      <c r="B1" s="89" t="s">
        <v>642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2:14" s="1" customFormat="1" ht="84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4" customFormat="1" ht="12.75" customHeight="1">
      <c r="A3" s="99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4</v>
      </c>
      <c r="I3" s="99"/>
      <c r="J3" s="99"/>
      <c r="K3" s="103"/>
      <c r="L3" s="100" t="s">
        <v>529</v>
      </c>
      <c r="M3" s="99" t="s">
        <v>8</v>
      </c>
      <c r="N3" s="103" t="s">
        <v>9</v>
      </c>
    </row>
    <row r="4" spans="1:14" s="4" customFormat="1" ht="23.25" customHeight="1" thickBot="1">
      <c r="A4" s="98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101"/>
      <c r="M4" s="98"/>
      <c r="N4" s="104"/>
    </row>
    <row r="5" spans="1:13" ht="15.75">
      <c r="A5"/>
      <c r="B5" s="107" t="s">
        <v>337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25" t="s">
        <v>531</v>
      </c>
      <c r="B6" s="16" t="s">
        <v>643</v>
      </c>
      <c r="C6" s="16" t="s">
        <v>338</v>
      </c>
      <c r="D6" s="16" t="s">
        <v>339</v>
      </c>
      <c r="E6" s="16" t="str">
        <f>"1,2621"</f>
        <v>1,2621</v>
      </c>
      <c r="F6" s="16" t="s">
        <v>244</v>
      </c>
      <c r="G6" s="16" t="s">
        <v>28</v>
      </c>
      <c r="H6" s="31" t="s">
        <v>145</v>
      </c>
      <c r="I6" s="30" t="s">
        <v>340</v>
      </c>
      <c r="J6" s="31" t="s">
        <v>340</v>
      </c>
      <c r="K6" s="30" t="s">
        <v>159</v>
      </c>
      <c r="L6" s="53">
        <v>67.5</v>
      </c>
      <c r="M6" s="25" t="str">
        <f>"85,1917"</f>
        <v>85,1917</v>
      </c>
      <c r="N6" s="16" t="s">
        <v>139</v>
      </c>
    </row>
    <row r="8" spans="1:13" ht="15.75">
      <c r="A8"/>
      <c r="B8" s="88" t="s">
        <v>224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4" ht="12.75">
      <c r="A9" s="25" t="s">
        <v>531</v>
      </c>
      <c r="B9" s="16" t="s">
        <v>482</v>
      </c>
      <c r="C9" s="16" t="s">
        <v>483</v>
      </c>
      <c r="D9" s="16" t="s">
        <v>243</v>
      </c>
      <c r="E9" s="16" t="str">
        <f>"0,6471"</f>
        <v>0,6471</v>
      </c>
      <c r="F9" s="16" t="s">
        <v>164</v>
      </c>
      <c r="G9" s="16" t="s">
        <v>28</v>
      </c>
      <c r="H9" s="29" t="s">
        <v>211</v>
      </c>
      <c r="I9" s="29" t="s">
        <v>55</v>
      </c>
      <c r="J9" s="28" t="s">
        <v>70</v>
      </c>
      <c r="K9" s="26"/>
      <c r="L9" s="52">
        <v>215</v>
      </c>
      <c r="M9" s="25" t="str">
        <f>"139,1372"</f>
        <v>139,1372</v>
      </c>
      <c r="N9" s="16" t="s">
        <v>87</v>
      </c>
    </row>
    <row r="11" spans="1:13" ht="15.75">
      <c r="A11"/>
      <c r="B11" s="88" t="s">
        <v>39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4" ht="12.75">
      <c r="A12" s="25" t="s">
        <v>531</v>
      </c>
      <c r="B12" s="16" t="s">
        <v>484</v>
      </c>
      <c r="C12" s="16" t="s">
        <v>485</v>
      </c>
      <c r="D12" s="16" t="s">
        <v>486</v>
      </c>
      <c r="E12" s="16" t="str">
        <f>"0,6119"</f>
        <v>0,6119</v>
      </c>
      <c r="F12" s="16" t="s">
        <v>61</v>
      </c>
      <c r="G12" s="16" t="s">
        <v>28</v>
      </c>
      <c r="H12" s="28" t="s">
        <v>96</v>
      </c>
      <c r="I12" s="29" t="s">
        <v>47</v>
      </c>
      <c r="J12" s="28" t="s">
        <v>54</v>
      </c>
      <c r="K12" s="26"/>
      <c r="L12" s="52">
        <v>180</v>
      </c>
      <c r="M12" s="25" t="str">
        <f>"110,1330"</f>
        <v>110,1330</v>
      </c>
      <c r="N12" s="16" t="s">
        <v>87</v>
      </c>
    </row>
  </sheetData>
  <sheetProtection/>
  <mergeCells count="15">
    <mergeCell ref="A3:A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C32" sqref="C32"/>
    </sheetView>
  </sheetViews>
  <sheetFormatPr defaultColWidth="8.75390625" defaultRowHeight="12.75"/>
  <cols>
    <col min="1" max="1" width="7.875" style="27" bestFit="1" customWidth="1"/>
    <col min="2" max="2" width="23.25390625" style="15" customWidth="1"/>
    <col min="3" max="3" width="24.75390625" style="15" customWidth="1"/>
    <col min="4" max="4" width="10.625" style="15" bestFit="1" customWidth="1"/>
    <col min="5" max="5" width="11.75390625" style="15" customWidth="1"/>
    <col min="6" max="6" width="21.00390625" style="15" customWidth="1"/>
    <col min="7" max="7" width="29.75390625" style="15" customWidth="1"/>
    <col min="8" max="10" width="5.625" style="27" bestFit="1" customWidth="1"/>
    <col min="11" max="11" width="5.125" style="27" bestFit="1" customWidth="1"/>
    <col min="12" max="12" width="12.25390625" style="27" customWidth="1"/>
    <col min="13" max="13" width="8.625" style="27" bestFit="1" customWidth="1"/>
    <col min="14" max="14" width="19.125" style="15" bestFit="1" customWidth="1"/>
  </cols>
  <sheetData>
    <row r="1" spans="2:14" s="1" customFormat="1" ht="15" customHeight="1">
      <c r="B1" s="89" t="s">
        <v>640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2:14" s="1" customFormat="1" ht="72" customHeight="1" thickBot="1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4" customFormat="1" ht="12.75" customHeight="1">
      <c r="A3" s="100" t="s">
        <v>530</v>
      </c>
      <c r="B3" s="102" t="s">
        <v>0</v>
      </c>
      <c r="C3" s="97" t="s">
        <v>1</v>
      </c>
      <c r="D3" s="97" t="s">
        <v>541</v>
      </c>
      <c r="E3" s="99" t="s">
        <v>10</v>
      </c>
      <c r="F3" s="99" t="s">
        <v>2</v>
      </c>
      <c r="G3" s="105" t="s">
        <v>552</v>
      </c>
      <c r="H3" s="102" t="s">
        <v>4</v>
      </c>
      <c r="I3" s="99"/>
      <c r="J3" s="99"/>
      <c r="K3" s="103"/>
      <c r="L3" s="100" t="s">
        <v>529</v>
      </c>
      <c r="M3" s="99" t="s">
        <v>8</v>
      </c>
      <c r="N3" s="103" t="s">
        <v>9</v>
      </c>
    </row>
    <row r="4" spans="1:14" s="4" customFormat="1" ht="23.25" customHeight="1" thickBot="1">
      <c r="A4" s="101"/>
      <c r="B4" s="108"/>
      <c r="C4" s="98"/>
      <c r="D4" s="98"/>
      <c r="E4" s="98"/>
      <c r="F4" s="98"/>
      <c r="G4" s="106"/>
      <c r="H4" s="6">
        <v>1</v>
      </c>
      <c r="I4" s="7">
        <v>2</v>
      </c>
      <c r="J4" s="7">
        <v>3</v>
      </c>
      <c r="K4" s="8" t="s">
        <v>6</v>
      </c>
      <c r="L4" s="101"/>
      <c r="M4" s="98"/>
      <c r="N4" s="104"/>
    </row>
    <row r="5" spans="1:13" ht="15.75">
      <c r="A5"/>
      <c r="B5" s="107" t="s">
        <v>224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25" t="s">
        <v>531</v>
      </c>
      <c r="B6" s="16" t="s">
        <v>201</v>
      </c>
      <c r="C6" s="16" t="s">
        <v>471</v>
      </c>
      <c r="D6" s="16" t="s">
        <v>472</v>
      </c>
      <c r="E6" s="16" t="str">
        <f>"0,6595"</f>
        <v>0,6595</v>
      </c>
      <c r="F6" s="16" t="s">
        <v>164</v>
      </c>
      <c r="G6" s="16" t="s">
        <v>28</v>
      </c>
      <c r="H6" s="28" t="s">
        <v>207</v>
      </c>
      <c r="I6" s="29" t="s">
        <v>207</v>
      </c>
      <c r="J6" s="28" t="s">
        <v>31</v>
      </c>
      <c r="K6" s="26"/>
      <c r="L6" s="52">
        <v>155</v>
      </c>
      <c r="M6" s="25" t="str">
        <f>"102,2225"</f>
        <v>102,2225</v>
      </c>
      <c r="N6" s="16" t="s">
        <v>223</v>
      </c>
    </row>
    <row r="8" spans="1:13" ht="15.75">
      <c r="A8"/>
      <c r="B8" s="88" t="s">
        <v>264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4" ht="12.75">
      <c r="A9" s="25" t="s">
        <v>531</v>
      </c>
      <c r="B9" s="16" t="s">
        <v>641</v>
      </c>
      <c r="C9" s="16" t="s">
        <v>474</v>
      </c>
      <c r="D9" s="16" t="s">
        <v>459</v>
      </c>
      <c r="E9" s="16" t="str">
        <f>"0,5813"</f>
        <v>0,5813</v>
      </c>
      <c r="F9" s="16" t="s">
        <v>78</v>
      </c>
      <c r="G9" s="16" t="s">
        <v>79</v>
      </c>
      <c r="H9" s="29" t="s">
        <v>54</v>
      </c>
      <c r="I9" s="28" t="s">
        <v>213</v>
      </c>
      <c r="J9" s="28" t="s">
        <v>213</v>
      </c>
      <c r="K9" s="26"/>
      <c r="L9" s="52">
        <v>200</v>
      </c>
      <c r="M9" s="25" t="str">
        <f>"116,2600"</f>
        <v>116,2600</v>
      </c>
      <c r="N9" s="16" t="s">
        <v>316</v>
      </c>
    </row>
    <row r="11" spans="1:13" ht="15.75">
      <c r="A11"/>
      <c r="B11" s="88" t="s">
        <v>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4" ht="12.75">
      <c r="A12" s="25" t="s">
        <v>531</v>
      </c>
      <c r="B12" s="16" t="s">
        <v>328</v>
      </c>
      <c r="C12" s="16" t="s">
        <v>476</v>
      </c>
      <c r="D12" s="16" t="s">
        <v>477</v>
      </c>
      <c r="E12" s="16" t="str">
        <f>"0,5472"</f>
        <v>0,5472</v>
      </c>
      <c r="F12" s="16" t="s">
        <v>61</v>
      </c>
      <c r="G12" s="16" t="s">
        <v>322</v>
      </c>
      <c r="H12" s="29" t="s">
        <v>84</v>
      </c>
      <c r="I12" s="28" t="s">
        <v>50</v>
      </c>
      <c r="J12" s="28" t="s">
        <v>50</v>
      </c>
      <c r="K12" s="26"/>
      <c r="L12" s="52">
        <v>320</v>
      </c>
      <c r="M12" s="25" t="str">
        <f>"175,1040"</f>
        <v>175,1040</v>
      </c>
      <c r="N12" s="16" t="s">
        <v>87</v>
      </c>
    </row>
    <row r="13" spans="1:14" ht="12.75">
      <c r="A13" s="25" t="s">
        <v>531</v>
      </c>
      <c r="B13" s="16" t="s">
        <v>475</v>
      </c>
      <c r="C13" s="16" t="s">
        <v>478</v>
      </c>
      <c r="D13" s="16" t="s">
        <v>477</v>
      </c>
      <c r="E13" s="16" t="str">
        <f>"0,5472"</f>
        <v>0,5472</v>
      </c>
      <c r="F13" s="16" t="s">
        <v>61</v>
      </c>
      <c r="G13" s="16" t="s">
        <v>322</v>
      </c>
      <c r="H13" s="29" t="s">
        <v>84</v>
      </c>
      <c r="I13" s="28" t="s">
        <v>50</v>
      </c>
      <c r="J13" s="28" t="s">
        <v>50</v>
      </c>
      <c r="K13" s="26"/>
      <c r="L13" s="52">
        <v>320</v>
      </c>
      <c r="M13" s="25" t="str">
        <f>"175,1040"</f>
        <v>175,1040</v>
      </c>
      <c r="N13" s="16" t="s">
        <v>87</v>
      </c>
    </row>
    <row r="16" spans="2:3" ht="18">
      <c r="B16" s="18" t="s">
        <v>100</v>
      </c>
      <c r="C16" s="18"/>
    </row>
    <row r="17" spans="2:3" ht="18">
      <c r="B17" s="18"/>
      <c r="C17" s="18"/>
    </row>
    <row r="18" spans="2:3" ht="15.75">
      <c r="B18" s="19" t="s">
        <v>101</v>
      </c>
      <c r="C18" s="19"/>
    </row>
    <row r="19" spans="2:3" ht="13.5">
      <c r="B19" s="21"/>
      <c r="C19" s="22" t="s">
        <v>155</v>
      </c>
    </row>
    <row r="20" spans="2:6" ht="13.5">
      <c r="B20" s="23" t="s">
        <v>102</v>
      </c>
      <c r="C20" s="23" t="s">
        <v>103</v>
      </c>
      <c r="D20" s="23" t="s">
        <v>104</v>
      </c>
      <c r="E20" s="23" t="s">
        <v>529</v>
      </c>
      <c r="F20" s="23" t="s">
        <v>106</v>
      </c>
    </row>
    <row r="21" spans="1:6" ht="12.75">
      <c r="A21" s="27" t="s">
        <v>531</v>
      </c>
      <c r="B21" s="20" t="s">
        <v>475</v>
      </c>
      <c r="C21" s="15" t="s">
        <v>115</v>
      </c>
      <c r="D21" s="15" t="s">
        <v>118</v>
      </c>
      <c r="E21" s="15" t="s">
        <v>84</v>
      </c>
      <c r="F21" s="24" t="s">
        <v>479</v>
      </c>
    </row>
    <row r="22" spans="1:6" ht="12.75">
      <c r="A22" s="27" t="s">
        <v>532</v>
      </c>
      <c r="B22" s="20" t="s">
        <v>473</v>
      </c>
      <c r="C22" s="15" t="s">
        <v>115</v>
      </c>
      <c r="D22" s="15" t="s">
        <v>288</v>
      </c>
      <c r="E22" s="15" t="s">
        <v>54</v>
      </c>
      <c r="F22" s="24" t="s">
        <v>480</v>
      </c>
    </row>
    <row r="23" spans="1:6" ht="12.75">
      <c r="A23" s="27" t="s">
        <v>533</v>
      </c>
      <c r="B23" s="20" t="s">
        <v>470</v>
      </c>
      <c r="C23" s="15" t="s">
        <v>115</v>
      </c>
      <c r="D23" s="15" t="s">
        <v>283</v>
      </c>
      <c r="E23" s="15" t="s">
        <v>207</v>
      </c>
      <c r="F23" s="24" t="s">
        <v>481</v>
      </c>
    </row>
  </sheetData>
  <sheetProtection/>
  <mergeCells count="15">
    <mergeCell ref="A3:A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2008-02-22T21:19:54Z</cp:lastPrinted>
  <dcterms:created xsi:type="dcterms:W3CDTF">2002-06-16T13:36:44Z</dcterms:created>
  <dcterms:modified xsi:type="dcterms:W3CDTF">2015-12-30T19:14:12Z</dcterms:modified>
  <cp:category/>
  <cp:version/>
  <cp:contentType/>
  <cp:contentStatus/>
</cp:coreProperties>
</file>