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26" activeTab="26"/>
  </bookViews>
  <sheets>
    <sheet name="Лист22" sheetId="1" state="hidden" r:id="rId1"/>
    <sheet name="HUB" sheetId="2" r:id="rId2"/>
    <sheet name="Excalibur" sheetId="3" r:id="rId3"/>
    <sheet name="Apollon Axle" sheetId="4" r:id="rId4"/>
    <sheet name="Rolling Thunder" sheetId="5" r:id="rId5"/>
    <sheet name="Пауэрспорт ДК" sheetId="6" r:id="rId6"/>
    <sheet name="Пауэрспорт" sheetId="7" r:id="rId7"/>
    <sheet name="Тяга в экипировке" sheetId="8" r:id="rId8"/>
    <sheet name="Тяга без экипировки ДК" sheetId="9" r:id="rId9"/>
    <sheet name="Тяга без экипировки" sheetId="10" r:id="rId10"/>
    <sheet name="Народный жим" sheetId="11" r:id="rId11"/>
    <sheet name="Народный жим ДК" sheetId="12" r:id="rId12"/>
    <sheet name="Жимовое двоеборье" sheetId="13" r:id="rId13"/>
    <sheet name="Жим СФО" sheetId="14" r:id="rId14"/>
    <sheet name="Жим многослойная экипирока" sheetId="15" r:id="rId15"/>
    <sheet name="Жим однослойная экипировка ДК" sheetId="16" r:id="rId16"/>
    <sheet name="Жим однослойная экипировка" sheetId="17" r:id="rId17"/>
    <sheet name="Жим без экипировки ДК" sheetId="18" r:id="rId18"/>
    <sheet name="Жим без экипировки" sheetId="19" r:id="rId19"/>
    <sheet name="Присед в бинтах ДК" sheetId="20" r:id="rId20"/>
    <sheet name="Присед без экипировки ДК" sheetId="21" r:id="rId21"/>
    <sheet name="Двоеборье без экипировки ДК" sheetId="22" r:id="rId22"/>
    <sheet name="Двоеборье без экипировки" sheetId="23" r:id="rId23"/>
    <sheet name="Пауэрлифтинг многослой" sheetId="24" r:id="rId24"/>
    <sheet name="Пауэрлифтинг однослой ДК" sheetId="25" r:id="rId25"/>
    <sheet name="Пауэрлифтинг однослой" sheetId="26" r:id="rId26"/>
    <sheet name="Пауэрлифтинг в бинтах ДК" sheetId="27" r:id="rId27"/>
    <sheet name="Пауэрлифтинг в бинтах" sheetId="28" r:id="rId28"/>
    <sheet name="Пауэрлифтинг без экипировки ДК" sheetId="29" r:id="rId29"/>
    <sheet name="Пауэрлифтинг без экипировки" sheetId="30" r:id="rId30"/>
    <sheet name="Судейская коллегия" sheetId="31" r:id="rId31"/>
    <sheet name="Командный зачет" sheetId="32" r:id="rId32"/>
  </sheets>
  <definedNames/>
  <calcPr fullCalcOnLoad="1" refMode="R1C1"/>
</workbook>
</file>

<file path=xl/sharedStrings.xml><?xml version="1.0" encoding="utf-8"?>
<sst xmlns="http://schemas.openxmlformats.org/spreadsheetml/2006/main" count="3649" uniqueCount="1123">
  <si>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</si>
  <si>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</si>
  <si>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</si>
  <si>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</si>
  <si>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</si>
  <si>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</si>
  <si>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</si>
  <si>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</si>
  <si>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</si>
  <si>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Город</t>
  </si>
  <si>
    <t>Возрастная группа
Дата рождения/Возраст</t>
  </si>
  <si>
    <t>Собств. вес</t>
  </si>
  <si>
    <t>Resh</t>
  </si>
  <si>
    <t>ВЕСОВАЯ КАТЕГОРИЯ   52</t>
  </si>
  <si>
    <t>Бурнашова Светлана</t>
  </si>
  <si>
    <t>Open (26.10.1977)/37</t>
  </si>
  <si>
    <t>51,60</t>
  </si>
  <si>
    <t xml:space="preserve">Длужневского </t>
  </si>
  <si>
    <t xml:space="preserve">Буй/Костромская область </t>
  </si>
  <si>
    <t>120,0</t>
  </si>
  <si>
    <t>122,5</t>
  </si>
  <si>
    <t>72,5</t>
  </si>
  <si>
    <t>77,5</t>
  </si>
  <si>
    <t>150,0</t>
  </si>
  <si>
    <t>160,0</t>
  </si>
  <si>
    <t>167,5</t>
  </si>
  <si>
    <t>357.50</t>
  </si>
  <si>
    <t>ВЕСОВАЯ КАТЕГОРИЯ   82.5</t>
  </si>
  <si>
    <t>Сажнев Владислав</t>
  </si>
  <si>
    <t>Juniors 20-23 (21.09.1994)/20</t>
  </si>
  <si>
    <t>82,30</t>
  </si>
  <si>
    <t xml:space="preserve">Лично </t>
  </si>
  <si>
    <t xml:space="preserve">Вологда/Вологодская область </t>
  </si>
  <si>
    <t>130,0</t>
  </si>
  <si>
    <t>90,0</t>
  </si>
  <si>
    <t>97,5</t>
  </si>
  <si>
    <t>105,0</t>
  </si>
  <si>
    <t>165,0</t>
  </si>
  <si>
    <t>175,0</t>
  </si>
  <si>
    <t>392.50</t>
  </si>
  <si>
    <t>Ивашко Анатолий</t>
  </si>
  <si>
    <t>Open (03.01.1990)/25</t>
  </si>
  <si>
    <t>82,40</t>
  </si>
  <si>
    <t xml:space="preserve">Смыслова </t>
  </si>
  <si>
    <t xml:space="preserve">Череповец/Вологодская область </t>
  </si>
  <si>
    <t>195,0</t>
  </si>
  <si>
    <t>205,0</t>
  </si>
  <si>
    <t>212,5</t>
  </si>
  <si>
    <t>147,5</t>
  </si>
  <si>
    <t>157,5</t>
  </si>
  <si>
    <t>240,0</t>
  </si>
  <si>
    <t>255,0</t>
  </si>
  <si>
    <t>620.00</t>
  </si>
  <si>
    <t xml:space="preserve">Смыслов Иван </t>
  </si>
  <si>
    <t>Морозов Александр</t>
  </si>
  <si>
    <t>Open (30.07.1983)/31</t>
  </si>
  <si>
    <t>80,30</t>
  </si>
  <si>
    <t xml:space="preserve">Архангельск/Архангельская область </t>
  </si>
  <si>
    <t>190,0</t>
  </si>
  <si>
    <t>200,0</t>
  </si>
  <si>
    <t>137,5</t>
  </si>
  <si>
    <t>145,0</t>
  </si>
  <si>
    <t>215,0</t>
  </si>
  <si>
    <t>225,0</t>
  </si>
  <si>
    <t>542.50</t>
  </si>
  <si>
    <t xml:space="preserve">Личутин Никита </t>
  </si>
  <si>
    <t>ВЕСОВАЯ КАТЕГОРИЯ   90</t>
  </si>
  <si>
    <t>Бурнашов Василий</t>
  </si>
  <si>
    <t>Open (28.11.1977)/37</t>
  </si>
  <si>
    <t>86,80</t>
  </si>
  <si>
    <t>250,0</t>
  </si>
  <si>
    <t>185,0</t>
  </si>
  <si>
    <t>192,5</t>
  </si>
  <si>
    <t>197,5</t>
  </si>
  <si>
    <t>300,0</t>
  </si>
  <si>
    <t>307,5</t>
  </si>
  <si>
    <t>750.00</t>
  </si>
  <si>
    <t>ВЕСОВАЯ КАТЕГОРИЯ   100</t>
  </si>
  <si>
    <t>Осиев Александр</t>
  </si>
  <si>
    <t>Open (15.08.1976)/38</t>
  </si>
  <si>
    <t>98,50</t>
  </si>
  <si>
    <t xml:space="preserve">Великий Устюг </t>
  </si>
  <si>
    <t xml:space="preserve">Великий Устюг/Вологодская область </t>
  </si>
  <si>
    <t>245,0</t>
  </si>
  <si>
    <t>260,0</t>
  </si>
  <si>
    <t>180,0</t>
  </si>
  <si>
    <t>275,0</t>
  </si>
  <si>
    <t>290,0</t>
  </si>
  <si>
    <t>720.00</t>
  </si>
  <si>
    <t xml:space="preserve">самостоятельно </t>
  </si>
  <si>
    <t>Елфимов Дмитрий</t>
  </si>
  <si>
    <t>Open (09.11.1986)/28</t>
  </si>
  <si>
    <t>91,40</t>
  </si>
  <si>
    <t>247,5</t>
  </si>
  <si>
    <t>252,5</t>
  </si>
  <si>
    <t>697.50</t>
  </si>
  <si>
    <t>ВЕСОВАЯ КАТЕГОРИЯ   110</t>
  </si>
  <si>
    <t>Шаров Александр</t>
  </si>
  <si>
    <t>Open (03.09.1983)/31</t>
  </si>
  <si>
    <t>109,90</t>
  </si>
  <si>
    <t xml:space="preserve">Кострома/Костромская область </t>
  </si>
  <si>
    <t>230,0</t>
  </si>
  <si>
    <t>270,0</t>
  </si>
  <si>
    <t>285,0</t>
  </si>
  <si>
    <t>292,5</t>
  </si>
  <si>
    <t>742.50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</si>
  <si>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</si>
  <si>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</si>
  <si>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</si>
  <si>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</si>
  <si>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</si>
  <si>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</si>
  <si>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52 </t>
  </si>
  <si>
    <t xml:space="preserve">Мужчины </t>
  </si>
  <si>
    <t xml:space="preserve">Юниоры </t>
  </si>
  <si>
    <t xml:space="preserve">Юниоры 20 - 23 </t>
  </si>
  <si>
    <t xml:space="preserve">82.5 </t>
  </si>
  <si>
    <t xml:space="preserve">90 </t>
  </si>
  <si>
    <t>750,0</t>
  </si>
  <si>
    <t>743,7000</t>
  </si>
  <si>
    <t xml:space="preserve">100 </t>
  </si>
  <si>
    <t>697,5</t>
  </si>
  <si>
    <t>668,7630</t>
  </si>
  <si>
    <t>720,0</t>
  </si>
  <si>
    <t>663,1200</t>
  </si>
  <si>
    <t xml:space="preserve">110 </t>
  </si>
  <si>
    <t>742,5</t>
  </si>
  <si>
    <t>657,1125</t>
  </si>
  <si>
    <t>620,0</t>
  </si>
  <si>
    <t>638,4760</t>
  </si>
  <si>
    <t>542,5</t>
  </si>
  <si>
    <t>569,8420</t>
  </si>
  <si>
    <t>ВЕСОВАЯ КАТЕГОРИЯ   48</t>
  </si>
  <si>
    <t>Кузнецова Оксана</t>
  </si>
  <si>
    <t>Open (07.07.1990)/24</t>
  </si>
  <si>
    <t>46,90</t>
  </si>
  <si>
    <t xml:space="preserve">Вегетарианская сила </t>
  </si>
  <si>
    <t>55,0</t>
  </si>
  <si>
    <t>65,0</t>
  </si>
  <si>
    <t>47,5</t>
  </si>
  <si>
    <t>52,5</t>
  </si>
  <si>
    <t xml:space="preserve">Смирнов Олег </t>
  </si>
  <si>
    <t>ВЕСОВАЯ КАТЕГОРИЯ   60</t>
  </si>
  <si>
    <t>Тюрина Ольга</t>
  </si>
  <si>
    <t>Open (09.12.1977)/37</t>
  </si>
  <si>
    <t>59,80</t>
  </si>
  <si>
    <t xml:space="preserve">Авангард </t>
  </si>
  <si>
    <t xml:space="preserve">Рыбинск/Ярославская область </t>
  </si>
  <si>
    <t>100,0</t>
  </si>
  <si>
    <t>102,5</t>
  </si>
  <si>
    <t>60,0</t>
  </si>
  <si>
    <t>110,0</t>
  </si>
  <si>
    <t>Бовинова Елена</t>
  </si>
  <si>
    <t>Open (07.12.1982)/32</t>
  </si>
  <si>
    <t>58,90</t>
  </si>
  <si>
    <t>75,0</t>
  </si>
  <si>
    <t>82,5</t>
  </si>
  <si>
    <t>35,0</t>
  </si>
  <si>
    <t>40,0</t>
  </si>
  <si>
    <t>95,0</t>
  </si>
  <si>
    <t xml:space="preserve">Осиев Александр </t>
  </si>
  <si>
    <t>ВЕСОВАЯ КАТЕГОРИЯ   67.5</t>
  </si>
  <si>
    <t>Ловцова Наталья</t>
  </si>
  <si>
    <t>Open (29.05.1986)/29</t>
  </si>
  <si>
    <t>66,80</t>
  </si>
  <si>
    <t>85,0</t>
  </si>
  <si>
    <t>132,5</t>
  </si>
  <si>
    <t>140,0</t>
  </si>
  <si>
    <t>Бурнашов Владимир</t>
  </si>
  <si>
    <t>Teen 13-15 (15.11.2002)/12</t>
  </si>
  <si>
    <t>50,00</t>
  </si>
  <si>
    <t>107,5</t>
  </si>
  <si>
    <t>62,5</t>
  </si>
  <si>
    <t>115,0</t>
  </si>
  <si>
    <t>127,5</t>
  </si>
  <si>
    <t>135,0</t>
  </si>
  <si>
    <t xml:space="preserve">Бурнашов Василий </t>
  </si>
  <si>
    <t>ВЕСОВАЯ КАТЕГОРИЯ   75</t>
  </si>
  <si>
    <t>Попов Артем</t>
  </si>
  <si>
    <t>Open (08.04.1991)/24</t>
  </si>
  <si>
    <t>75,00</t>
  </si>
  <si>
    <t xml:space="preserve">Сокол </t>
  </si>
  <si>
    <t xml:space="preserve">Сокол/Вологодская область </t>
  </si>
  <si>
    <t>125,0</t>
  </si>
  <si>
    <t xml:space="preserve">Шетохин Дмитрий </t>
  </si>
  <si>
    <t>Шашерин Артем</t>
  </si>
  <si>
    <t>Open (08.11.1984)/30</t>
  </si>
  <si>
    <t>80,80</t>
  </si>
  <si>
    <t>210,0</t>
  </si>
  <si>
    <t>220,0</t>
  </si>
  <si>
    <t xml:space="preserve">Рассохин Алесандр </t>
  </si>
  <si>
    <t>Шураев Максим</t>
  </si>
  <si>
    <t>Open (28.02.1990)/25</t>
  </si>
  <si>
    <t>79,80</t>
  </si>
  <si>
    <t>170,0</t>
  </si>
  <si>
    <t xml:space="preserve">Кутумов Антон </t>
  </si>
  <si>
    <t>Петров Игорь</t>
  </si>
  <si>
    <t>Open (14.12.1978)/36</t>
  </si>
  <si>
    <t>81,10</t>
  </si>
  <si>
    <t xml:space="preserve">Грязовец/Вологодская область </t>
  </si>
  <si>
    <t>155,0</t>
  </si>
  <si>
    <t>Бовинов Вячеслав</t>
  </si>
  <si>
    <t>Open (16.06.1980)/34</t>
  </si>
  <si>
    <t>77,20</t>
  </si>
  <si>
    <t>Якушевич Алексей</t>
  </si>
  <si>
    <t>Juniors 20-23 (02.07.1991)/23</t>
  </si>
  <si>
    <t>88,50</t>
  </si>
  <si>
    <t>232,5</t>
  </si>
  <si>
    <t>162,5</t>
  </si>
  <si>
    <t>277,5</t>
  </si>
  <si>
    <t>282,5</t>
  </si>
  <si>
    <t>Open (02.07.1991)/23</t>
  </si>
  <si>
    <t>Губанов Юрий</t>
  </si>
  <si>
    <t>Open (06.03.1987)/28</t>
  </si>
  <si>
    <t>89,00</t>
  </si>
  <si>
    <t>217,5</t>
  </si>
  <si>
    <t>Молодцов Александр</t>
  </si>
  <si>
    <t>Open (21.10.1978)/36</t>
  </si>
  <si>
    <t>89,60</t>
  </si>
  <si>
    <t>142,5</t>
  </si>
  <si>
    <t xml:space="preserve">Малюков Алексей </t>
  </si>
  <si>
    <t>Иванов Андрей</t>
  </si>
  <si>
    <t>Open (08.06.1988)/26</t>
  </si>
  <si>
    <t>87,40</t>
  </si>
  <si>
    <t>117,5</t>
  </si>
  <si>
    <t>Винницкий Егор</t>
  </si>
  <si>
    <t>Teen 18-19 (24.05.1996)/19</t>
  </si>
  <si>
    <t>96,00</t>
  </si>
  <si>
    <t>235,0</t>
  </si>
  <si>
    <t xml:space="preserve">Звездин Игорь </t>
  </si>
  <si>
    <t>Шашерин Николай</t>
  </si>
  <si>
    <t>Open (20.01.1987)/28</t>
  </si>
  <si>
    <t>99,80</t>
  </si>
  <si>
    <t>267,5</t>
  </si>
  <si>
    <t>172,5</t>
  </si>
  <si>
    <t>280,0</t>
  </si>
  <si>
    <t>Селяков Олег</t>
  </si>
  <si>
    <t>Open (24.08.1983)/31</t>
  </si>
  <si>
    <t>97,70</t>
  </si>
  <si>
    <t xml:space="preserve">ВМК </t>
  </si>
  <si>
    <t xml:space="preserve">самостоятелно </t>
  </si>
  <si>
    <t xml:space="preserve">67.5 </t>
  </si>
  <si>
    <t>222,5</t>
  </si>
  <si>
    <t xml:space="preserve">60 </t>
  </si>
  <si>
    <t xml:space="preserve">Юноши </t>
  </si>
  <si>
    <t xml:space="preserve">Юноши 13 - 15 </t>
  </si>
  <si>
    <t>305,0</t>
  </si>
  <si>
    <t>677,5</t>
  </si>
  <si>
    <t>663,2725</t>
  </si>
  <si>
    <t>715,0</t>
  </si>
  <si>
    <t>654,7970</t>
  </si>
  <si>
    <t>627,5</t>
  </si>
  <si>
    <t>612,4400</t>
  </si>
  <si>
    <t>545,0</t>
  </si>
  <si>
    <t>569,8520</t>
  </si>
  <si>
    <t>535,0</t>
  </si>
  <si>
    <t>565,1740</t>
  </si>
  <si>
    <t xml:space="preserve">75 </t>
  </si>
  <si>
    <t>505,0</t>
  </si>
  <si>
    <t>564,0850</t>
  </si>
  <si>
    <t>580,0</t>
  </si>
  <si>
    <t>536,0360</t>
  </si>
  <si>
    <t>510,0</t>
  </si>
  <si>
    <t>531,8280</t>
  </si>
  <si>
    <t>537,5</t>
  </si>
  <si>
    <t>522,0200</t>
  </si>
  <si>
    <t>512,5</t>
  </si>
  <si>
    <t>506,0425</t>
  </si>
  <si>
    <t>395,0</t>
  </si>
  <si>
    <t>429,6020</t>
  </si>
  <si>
    <t>Смирнов Сергей</t>
  </si>
  <si>
    <t>Open (29.06.1988)/26</t>
  </si>
  <si>
    <t>82,50</t>
  </si>
  <si>
    <t>182,5</t>
  </si>
  <si>
    <t>Open (15.05.1990)/25</t>
  </si>
  <si>
    <t>317,5</t>
  </si>
  <si>
    <t>322,5</t>
  </si>
  <si>
    <t xml:space="preserve">Комиссаров Иван </t>
  </si>
  <si>
    <t>ВЕСОВАЯ КАТЕГОРИЯ   125</t>
  </si>
  <si>
    <t>Воронов Никита</t>
  </si>
  <si>
    <t>Open (05.02.1987)/28</t>
  </si>
  <si>
    <t>115,30</t>
  </si>
  <si>
    <t xml:space="preserve">Тверская </t>
  </si>
  <si>
    <t xml:space="preserve">Тверь/Тверская область </t>
  </si>
  <si>
    <t>202,5</t>
  </si>
  <si>
    <t xml:space="preserve">Николаев Е.Ф. </t>
  </si>
  <si>
    <t xml:space="preserve">125 </t>
  </si>
  <si>
    <t>Трапезникова Наталья</t>
  </si>
  <si>
    <t>Open (12.01.1986)/29</t>
  </si>
  <si>
    <t>67,10</t>
  </si>
  <si>
    <t>Шиловский Евгений</t>
  </si>
  <si>
    <t>Open (09.07.1990)/24</t>
  </si>
  <si>
    <t>81,90</t>
  </si>
  <si>
    <t xml:space="preserve">УССК </t>
  </si>
  <si>
    <t>Тростин Павел</t>
  </si>
  <si>
    <t>Teen 16-17 (01.03.1998)/17</t>
  </si>
  <si>
    <t>96,70</t>
  </si>
  <si>
    <t xml:space="preserve">Хохулин Сергей </t>
  </si>
  <si>
    <t>Шарапов Роман</t>
  </si>
  <si>
    <t>Open (18.03.1987)/28</t>
  </si>
  <si>
    <t>98,40</t>
  </si>
  <si>
    <t>Кудрявцев Анатолий</t>
  </si>
  <si>
    <t>Masters 40-44 (25.08.1972)/42</t>
  </si>
  <si>
    <t xml:space="preserve">Горбунов Андрей </t>
  </si>
  <si>
    <t xml:space="preserve">Юноши 16 - 17 </t>
  </si>
  <si>
    <t xml:space="preserve">Мастера </t>
  </si>
  <si>
    <t xml:space="preserve">Мастера 40 - 44 </t>
  </si>
  <si>
    <t>Корякин Сергей</t>
  </si>
  <si>
    <t>Open (01.07.1976)/38</t>
  </si>
  <si>
    <t xml:space="preserve">Шарья/Костромская область </t>
  </si>
  <si>
    <t>Кокорев Илья</t>
  </si>
  <si>
    <t>Open (19.01.1973)/42</t>
  </si>
  <si>
    <t>79,40</t>
  </si>
  <si>
    <t xml:space="preserve">Ярославль/Ярославская область </t>
  </si>
  <si>
    <t>Masters 40-44 (19.01.1973)/42</t>
  </si>
  <si>
    <t>Извеков Андрей</t>
  </si>
  <si>
    <t>Open (15.10.1981)/33</t>
  </si>
  <si>
    <t>121,50</t>
  </si>
  <si>
    <t xml:space="preserve">Воронеж/Воронежская область </t>
  </si>
  <si>
    <t xml:space="preserve">Ольховский Александр </t>
  </si>
  <si>
    <t>Куванов Владимир</t>
  </si>
  <si>
    <t>Open (12.06.1989)/25</t>
  </si>
  <si>
    <t>88,30</t>
  </si>
  <si>
    <t xml:space="preserve">Парнас </t>
  </si>
  <si>
    <t xml:space="preserve">Погодин Игорь </t>
  </si>
  <si>
    <t>ВЕСОВАЯ КАТЕГОРИЯ   56</t>
  </si>
  <si>
    <t>Блинникова Анна</t>
  </si>
  <si>
    <t>Juniors 20-23 (19.04.1994)/21</t>
  </si>
  <si>
    <t>55,00</t>
  </si>
  <si>
    <t>45,0</t>
  </si>
  <si>
    <t xml:space="preserve">Ходаков Сергей </t>
  </si>
  <si>
    <t>Гунина Ксения</t>
  </si>
  <si>
    <t>Open (09.06.1986)/28</t>
  </si>
  <si>
    <t>60,00</t>
  </si>
  <si>
    <t xml:space="preserve">Московский/Московская область </t>
  </si>
  <si>
    <t>67,5</t>
  </si>
  <si>
    <t>70,0</t>
  </si>
  <si>
    <t>Кулагина Анжела</t>
  </si>
  <si>
    <t>Open (04.11.1988)/26</t>
  </si>
  <si>
    <t>64,80</t>
  </si>
  <si>
    <t>Гужвина Юлиана</t>
  </si>
  <si>
    <t>Open (05.07.1986)/28</t>
  </si>
  <si>
    <t>63,20</t>
  </si>
  <si>
    <t>42,5</t>
  </si>
  <si>
    <t xml:space="preserve">Зотин Кирилл </t>
  </si>
  <si>
    <t>Серкова Мария</t>
  </si>
  <si>
    <t>Open (26.03.1982)/33</t>
  </si>
  <si>
    <t>73,20</t>
  </si>
  <si>
    <t>87,5</t>
  </si>
  <si>
    <t xml:space="preserve"> </t>
  </si>
  <si>
    <t>Еремин Максим</t>
  </si>
  <si>
    <t>Teen 13-15 (11.03.2004)/11</t>
  </si>
  <si>
    <t>25,0</t>
  </si>
  <si>
    <t>30,0</t>
  </si>
  <si>
    <t>Маслов Дмитрий</t>
  </si>
  <si>
    <t>Open (23.05.1991)/24</t>
  </si>
  <si>
    <t>58,00</t>
  </si>
  <si>
    <t xml:space="preserve">Коротков Павел </t>
  </si>
  <si>
    <t>Олейник Андрей</t>
  </si>
  <si>
    <t>Open (28.07.1982)/32</t>
  </si>
  <si>
    <t>73,90</t>
  </si>
  <si>
    <t xml:space="preserve">Палестра </t>
  </si>
  <si>
    <t>Папушой Виктор</t>
  </si>
  <si>
    <t>Masters 60-64 (04.04.1953)/62</t>
  </si>
  <si>
    <t>72,40</t>
  </si>
  <si>
    <t>151,0</t>
  </si>
  <si>
    <t>Силушин Павел</t>
  </si>
  <si>
    <t>Open (17.09.1989)/25</t>
  </si>
  <si>
    <t>80,50</t>
  </si>
  <si>
    <t xml:space="preserve">Рязань/Рязанская область </t>
  </si>
  <si>
    <t>Газизов Дамир</t>
  </si>
  <si>
    <t>Open (18.08.1988)/26</t>
  </si>
  <si>
    <t>89,10</t>
  </si>
  <si>
    <t xml:space="preserve">Тула/Тульская область </t>
  </si>
  <si>
    <t>177,5</t>
  </si>
  <si>
    <t xml:space="preserve">Трунов Михаил </t>
  </si>
  <si>
    <t>Егоров Олег</t>
  </si>
  <si>
    <t>Open (23.12.1986)/28</t>
  </si>
  <si>
    <t>86,90</t>
  </si>
  <si>
    <t>Рузанкин Иван</t>
  </si>
  <si>
    <t>Open (02.08.1983)/31</t>
  </si>
  <si>
    <t>88,90</t>
  </si>
  <si>
    <t>Бердин Юрий</t>
  </si>
  <si>
    <t>Open (14.09.1984)/30</t>
  </si>
  <si>
    <t>Павлов Алексей</t>
  </si>
  <si>
    <t>Open (18.01.1978)/37</t>
  </si>
  <si>
    <t>Зотин Кирилл</t>
  </si>
  <si>
    <t>Open (10.08.1981)/33</t>
  </si>
  <si>
    <t>88,00</t>
  </si>
  <si>
    <t xml:space="preserve">Букина Виктория </t>
  </si>
  <si>
    <t>Таранухин Георгий</t>
  </si>
  <si>
    <t>Masters 45-49 (19.01.1968)/47</t>
  </si>
  <si>
    <t>90,00</t>
  </si>
  <si>
    <t xml:space="preserve">Динамит </t>
  </si>
  <si>
    <t>Горислов Алексей</t>
  </si>
  <si>
    <t>Masters 45-49 (10.01.1967)/48</t>
  </si>
  <si>
    <t>Осколков Артем</t>
  </si>
  <si>
    <t>Masters 45-49 (23.04.1970)/45</t>
  </si>
  <si>
    <t>88,80</t>
  </si>
  <si>
    <t xml:space="preserve">Якушевич Алексей </t>
  </si>
  <si>
    <t>Седов Олег</t>
  </si>
  <si>
    <t>Open (24.12.1985)/29</t>
  </si>
  <si>
    <t>97,60</t>
  </si>
  <si>
    <t>Сидорук Алексей</t>
  </si>
  <si>
    <t>Open (24.11.1977)/37</t>
  </si>
  <si>
    <t>99,10</t>
  </si>
  <si>
    <t>Марков Артем</t>
  </si>
  <si>
    <t>Open (03.08.1986)/28</t>
  </si>
  <si>
    <t>96,20</t>
  </si>
  <si>
    <t xml:space="preserve">Рассохин Александр </t>
  </si>
  <si>
    <t>Соловьев Михаил</t>
  </si>
  <si>
    <t>Open (17.08.1985)/29</t>
  </si>
  <si>
    <t>108,00</t>
  </si>
  <si>
    <t>Хохлов Сергей</t>
  </si>
  <si>
    <t>Open (31.07.1979)/35</t>
  </si>
  <si>
    <t>107,50</t>
  </si>
  <si>
    <t xml:space="preserve">Лукоянов/Нижегородская область </t>
  </si>
  <si>
    <t xml:space="preserve">Захаров Вадим </t>
  </si>
  <si>
    <t>Ходаков Сергей</t>
  </si>
  <si>
    <t>Masters 45-49 (08.10.1969)/45</t>
  </si>
  <si>
    <t>Малыгин Дмитрий</t>
  </si>
  <si>
    <t>Masters 45-49 (12.04.1967)/48</t>
  </si>
  <si>
    <t>108,70</t>
  </si>
  <si>
    <t xml:space="preserve">Харовск/Вологодская область </t>
  </si>
  <si>
    <t>Калининский Илья</t>
  </si>
  <si>
    <t>Open (11.04.1989)/26</t>
  </si>
  <si>
    <t>119,30</t>
  </si>
  <si>
    <t>Попов Сергей</t>
  </si>
  <si>
    <t>Open (05.01.1977)/38</t>
  </si>
  <si>
    <t>112,30</t>
  </si>
  <si>
    <t>Хохлов Олег</t>
  </si>
  <si>
    <t>Open (18.04.1981)/34</t>
  </si>
  <si>
    <t>115,20</t>
  </si>
  <si>
    <t>203,2750</t>
  </si>
  <si>
    <t>202,1240</t>
  </si>
  <si>
    <t>193,8800</t>
  </si>
  <si>
    <t>189,5430</t>
  </si>
  <si>
    <t>179,1270</t>
  </si>
  <si>
    <t>178,0000</t>
  </si>
  <si>
    <t>175,5360</t>
  </si>
  <si>
    <t>173,3900</t>
  </si>
  <si>
    <t>172,2720</t>
  </si>
  <si>
    <t>169,2900</t>
  </si>
  <si>
    <t>163,6140</t>
  </si>
  <si>
    <t>163,4800</t>
  </si>
  <si>
    <t>161,3570</t>
  </si>
  <si>
    <t>153,4425</t>
  </si>
  <si>
    <t>153,0360</t>
  </si>
  <si>
    <t>151,1560</t>
  </si>
  <si>
    <t>142,5350</t>
  </si>
  <si>
    <t xml:space="preserve">Мастера 60 - 64 </t>
  </si>
  <si>
    <t>245,5769</t>
  </si>
  <si>
    <t xml:space="preserve">Мастера 45 - 49 </t>
  </si>
  <si>
    <t>174,7251</t>
  </si>
  <si>
    <t>169,9238</t>
  </si>
  <si>
    <t>168,5259</t>
  </si>
  <si>
    <t>155,4384</t>
  </si>
  <si>
    <t>123,6818</t>
  </si>
  <si>
    <t>ВЕСОВАЯ КАТЕГОРИЯ   44</t>
  </si>
  <si>
    <t>Лазарева Анастасия</t>
  </si>
  <si>
    <t>Open (06.09.1987)/27</t>
  </si>
  <si>
    <t>44,00</t>
  </si>
  <si>
    <t>Баженова Елизавета</t>
  </si>
  <si>
    <t>Juniors 20-23 (03.07.1991)/23</t>
  </si>
  <si>
    <t>46,70</t>
  </si>
  <si>
    <t xml:space="preserve">Мокосин Антон </t>
  </si>
  <si>
    <t>Красикова Людмила</t>
  </si>
  <si>
    <t>Open (26.04.1979)/36</t>
  </si>
  <si>
    <t>47,70</t>
  </si>
  <si>
    <t>57,5</t>
  </si>
  <si>
    <t>Голенева Анна</t>
  </si>
  <si>
    <t>Open (27.04.1990)/25</t>
  </si>
  <si>
    <t>52,00</t>
  </si>
  <si>
    <t xml:space="preserve">Шелестов Сергей </t>
  </si>
  <si>
    <t>Шишина Анастасия</t>
  </si>
  <si>
    <t>Open (26.01.1991)/24</t>
  </si>
  <si>
    <t>Макарова Ирина</t>
  </si>
  <si>
    <t>Masters 40-44 (05.09.1974)/40</t>
  </si>
  <si>
    <t>51,20</t>
  </si>
  <si>
    <t>50,0</t>
  </si>
  <si>
    <t xml:space="preserve">Красикова Людмила </t>
  </si>
  <si>
    <t>Скворцова Елена</t>
  </si>
  <si>
    <t>Open (06.12.1982)/32</t>
  </si>
  <si>
    <t>55,10</t>
  </si>
  <si>
    <t xml:space="preserve">Ивашко Анатолий </t>
  </si>
  <si>
    <t>Мишукова Наталья</t>
  </si>
  <si>
    <t>Masters 40-44 (03.03.1972)/43</t>
  </si>
  <si>
    <t>66,50</t>
  </si>
  <si>
    <t xml:space="preserve">Горислов Алексей </t>
  </si>
  <si>
    <t>Пивков Илья</t>
  </si>
  <si>
    <t>Teen 16-17 (15.06.1997)/17</t>
  </si>
  <si>
    <t>59,30</t>
  </si>
  <si>
    <t>92,5</t>
  </si>
  <si>
    <t xml:space="preserve">Горячев Сергей </t>
  </si>
  <si>
    <t>Истомин Алексей</t>
  </si>
  <si>
    <t>Teen 18-19 (04.07.1996)/18</t>
  </si>
  <si>
    <t>56,70</t>
  </si>
  <si>
    <t xml:space="preserve">Небученных Владимир </t>
  </si>
  <si>
    <t>Тонаканян Армен</t>
  </si>
  <si>
    <t>Teen 18-19 (12.10.1996)/18</t>
  </si>
  <si>
    <t>63,60</t>
  </si>
  <si>
    <t xml:space="preserve">Трынова Г.Н. </t>
  </si>
  <si>
    <t>Горячев Григорий</t>
  </si>
  <si>
    <t>Juniors 20-23 (05.08.1994)/20</t>
  </si>
  <si>
    <t>64,10</t>
  </si>
  <si>
    <t>Молчанов Михаил</t>
  </si>
  <si>
    <t>Open (29.04.1987)/28</t>
  </si>
  <si>
    <t>64,40</t>
  </si>
  <si>
    <t>112,5</t>
  </si>
  <si>
    <t>Гуляев Александр</t>
  </si>
  <si>
    <t>Open (06.07.1982)/32</t>
  </si>
  <si>
    <t>66,20</t>
  </si>
  <si>
    <t>Данилов Андрей</t>
  </si>
  <si>
    <t>Open (06.06.1987)/28</t>
  </si>
  <si>
    <t>63,50</t>
  </si>
  <si>
    <t>Тепляков Дмитрий</t>
  </si>
  <si>
    <t>Masters 40-44 (04.03.1974)/41</t>
  </si>
  <si>
    <t>64,50</t>
  </si>
  <si>
    <t xml:space="preserve">Территория спорта </t>
  </si>
  <si>
    <t xml:space="preserve">Коновалов Эдуард </t>
  </si>
  <si>
    <t>Вильчицкий Анатолий</t>
  </si>
  <si>
    <t>Masters 55-59 (24.08.1955)/59</t>
  </si>
  <si>
    <t>65,00</t>
  </si>
  <si>
    <t xml:space="preserve">Степанова Светлана </t>
  </si>
  <si>
    <t xml:space="preserve">Шувалов </t>
  </si>
  <si>
    <t>Teen 18-19 (03.02.1997)/18</t>
  </si>
  <si>
    <t>69,70</t>
  </si>
  <si>
    <t>Богачев Роман</t>
  </si>
  <si>
    <t>Teen 18-19 (07.02.1996)/19</t>
  </si>
  <si>
    <t>73,70</t>
  </si>
  <si>
    <t>Медведев Никита</t>
  </si>
  <si>
    <t>Juniors 20-23 (18.04.1993)/22</t>
  </si>
  <si>
    <t>73,40</t>
  </si>
  <si>
    <t>Гадаев Мовлади</t>
  </si>
  <si>
    <t>Juniors 20-23 (16.10.1991)/23</t>
  </si>
  <si>
    <t>73,60</t>
  </si>
  <si>
    <t>Фетисов Александр</t>
  </si>
  <si>
    <t>Open (30.04.1987)/28</t>
  </si>
  <si>
    <t xml:space="preserve">Шуя/Ивановская область </t>
  </si>
  <si>
    <t>Соков Денис</t>
  </si>
  <si>
    <t>Open (06.12.1985)/29</t>
  </si>
  <si>
    <t>74,20</t>
  </si>
  <si>
    <t>Афанасов Эдуард</t>
  </si>
  <si>
    <t>Open (24.01.1977)/38</t>
  </si>
  <si>
    <t>Голубев Виктор</t>
  </si>
  <si>
    <t>Open (31.03.1986)/29</t>
  </si>
  <si>
    <t>73,10</t>
  </si>
  <si>
    <t>Сидоровский Сергей</t>
  </si>
  <si>
    <t>Masters 40-44 (12.05.1971)/44</t>
  </si>
  <si>
    <t>73,50</t>
  </si>
  <si>
    <t xml:space="preserve">Силушин Павел </t>
  </si>
  <si>
    <t>Лях Иван</t>
  </si>
  <si>
    <t>Teen 18-19 (28.03.1996)/19</t>
  </si>
  <si>
    <t>81,20</t>
  </si>
  <si>
    <t>Осколков Валерий</t>
  </si>
  <si>
    <t>Teen 18-19 (14.07.1995)/19</t>
  </si>
  <si>
    <t>79,30</t>
  </si>
  <si>
    <t xml:space="preserve">Фадеев Александр </t>
  </si>
  <si>
    <t>Силинский Сергей</t>
  </si>
  <si>
    <t>Juniors 20-23 (01.12.1994)/20</t>
  </si>
  <si>
    <t>80,90</t>
  </si>
  <si>
    <t>Булгару Михаил</t>
  </si>
  <si>
    <t>Open (08.02.1987)/28</t>
  </si>
  <si>
    <t>152,5</t>
  </si>
  <si>
    <t>Закутаев Константин</t>
  </si>
  <si>
    <t>Open (23.02.1977)/38</t>
  </si>
  <si>
    <t>80,40</t>
  </si>
  <si>
    <t>Сапетко Александр</t>
  </si>
  <si>
    <t>Open (20.08.1977)/37</t>
  </si>
  <si>
    <t>Токман Михаил</t>
  </si>
  <si>
    <t>Masters 40-44 (14.10.1971)/43</t>
  </si>
  <si>
    <t>79,60</t>
  </si>
  <si>
    <t xml:space="preserve">Нижний Новгород/Нижегородская область </t>
  </si>
  <si>
    <t>Козлов Владимир</t>
  </si>
  <si>
    <t>Masters 60-64 (15.06.1954)/60</t>
  </si>
  <si>
    <t>81,80</t>
  </si>
  <si>
    <t xml:space="preserve">Папушой Виктор </t>
  </si>
  <si>
    <t>Насоновский Павел</t>
  </si>
  <si>
    <t>Juniors 20-23 (15.10.1994)/20</t>
  </si>
  <si>
    <t>Голубенков Владимир</t>
  </si>
  <si>
    <t>Juniors 20-23 (16.08.1994)/20</t>
  </si>
  <si>
    <t>87,80</t>
  </si>
  <si>
    <t>Маслов Владислав</t>
  </si>
  <si>
    <t>Juniors 20-23 (16.09.1994)/20</t>
  </si>
  <si>
    <t>87,30</t>
  </si>
  <si>
    <t>Нелаев Сергей</t>
  </si>
  <si>
    <t>Open (01.03.1982)/33</t>
  </si>
  <si>
    <t>89,50</t>
  </si>
  <si>
    <t>Ляшенко Александр</t>
  </si>
  <si>
    <t>Open (22.01.1977)/38</t>
  </si>
  <si>
    <t xml:space="preserve">Мурманск/Мурманская область </t>
  </si>
  <si>
    <t xml:space="preserve">Кузеев Дамир </t>
  </si>
  <si>
    <t>Патраков Антон</t>
  </si>
  <si>
    <t>Open (05.10.1989)/25</t>
  </si>
  <si>
    <t>Патраков Дмитрий</t>
  </si>
  <si>
    <t>86,20</t>
  </si>
  <si>
    <t>Шутков Александр</t>
  </si>
  <si>
    <t>Open (11.03.1988)/27</t>
  </si>
  <si>
    <t>89,80</t>
  </si>
  <si>
    <t>Попов Станислав</t>
  </si>
  <si>
    <t>Open (06.08.1976)/38</t>
  </si>
  <si>
    <t>88,40</t>
  </si>
  <si>
    <t xml:space="preserve">Симон Евгений </t>
  </si>
  <si>
    <t>Горбунов Андрей</t>
  </si>
  <si>
    <t>Open (21.07.1982)/32</t>
  </si>
  <si>
    <t>Шамов Сергей</t>
  </si>
  <si>
    <t>Masters 40-44 (21.08.1973)/41</t>
  </si>
  <si>
    <t>89,20</t>
  </si>
  <si>
    <t>Васильев Сергей</t>
  </si>
  <si>
    <t>Masters 50-54 (08.11.1961)/53</t>
  </si>
  <si>
    <t>87,20</t>
  </si>
  <si>
    <t>Часовенный Евгений</t>
  </si>
  <si>
    <t>Masters 55-59 (30.10.1957)/57</t>
  </si>
  <si>
    <t>86,00</t>
  </si>
  <si>
    <t xml:space="preserve">Няндома/Архангельская область </t>
  </si>
  <si>
    <t>Литовский Евгений</t>
  </si>
  <si>
    <t>Open (30.07.1980)/34</t>
  </si>
  <si>
    <t>99,00</t>
  </si>
  <si>
    <t>Канин Михаил</t>
  </si>
  <si>
    <t>Open (06.07.1978)/36</t>
  </si>
  <si>
    <t>96,80</t>
  </si>
  <si>
    <t>Open (26.03.1973)/42</t>
  </si>
  <si>
    <t>98,90</t>
  </si>
  <si>
    <t>Канев Егор</t>
  </si>
  <si>
    <t>Open (29.11.1985)/29</t>
  </si>
  <si>
    <t>99,20</t>
  </si>
  <si>
    <t>Симон Евгений</t>
  </si>
  <si>
    <t>Open (24.03.1983)/32</t>
  </si>
  <si>
    <t>93,80</t>
  </si>
  <si>
    <t>Буянов Евгений</t>
  </si>
  <si>
    <t>Open (17.10.1983)/31</t>
  </si>
  <si>
    <t>Masters 40-44 (26.03.1973)/42</t>
  </si>
  <si>
    <t>Звездин Игорь</t>
  </si>
  <si>
    <t>Masters 55-59 (02.08.1958)/56</t>
  </si>
  <si>
    <t>99,90</t>
  </si>
  <si>
    <t>Ляхов Василий</t>
  </si>
  <si>
    <t>Masters 65-69 (30.05.1948)/67</t>
  </si>
  <si>
    <t>95,60</t>
  </si>
  <si>
    <t>Бурков Алексей</t>
  </si>
  <si>
    <t>Juniors 20-23 (04.05.1993)/22</t>
  </si>
  <si>
    <t>102,40</t>
  </si>
  <si>
    <t>Мацкевич Алексей</t>
  </si>
  <si>
    <t>Open (18.10.1974)/40</t>
  </si>
  <si>
    <t>103,30</t>
  </si>
  <si>
    <t>207,5</t>
  </si>
  <si>
    <t>Фаворский Денис</t>
  </si>
  <si>
    <t>Open (16.07.1971)/43</t>
  </si>
  <si>
    <t>108,60</t>
  </si>
  <si>
    <t xml:space="preserve">Паллада </t>
  </si>
  <si>
    <t>Гейдаров Шамси</t>
  </si>
  <si>
    <t>Masters 40-44 (15.06.1974)/40</t>
  </si>
  <si>
    <t>107,00</t>
  </si>
  <si>
    <t>Masters 40-44 (16.07.1971)/43</t>
  </si>
  <si>
    <t>Тарасов Вадим</t>
  </si>
  <si>
    <t>Masters 50-54 (23.01.1962)/53</t>
  </si>
  <si>
    <t>106,20</t>
  </si>
  <si>
    <t xml:space="preserve">Логунов Анатолий </t>
  </si>
  <si>
    <t>Бобчихин Сергей</t>
  </si>
  <si>
    <t>Open (25.06.1975)/39</t>
  </si>
  <si>
    <t>120,20</t>
  </si>
  <si>
    <t>Логунов Анатолий</t>
  </si>
  <si>
    <t>Masters 60-64 (08.01.1953)/62</t>
  </si>
  <si>
    <t>113,90</t>
  </si>
  <si>
    <t xml:space="preserve">Юноши 18 - 19 </t>
  </si>
  <si>
    <t>186,9120</t>
  </si>
  <si>
    <t>148,5430</t>
  </si>
  <si>
    <t>145,2000</t>
  </si>
  <si>
    <t>140,8590</t>
  </si>
  <si>
    <t>140,6160</t>
  </si>
  <si>
    <t>122,1760</t>
  </si>
  <si>
    <t>119,3430</t>
  </si>
  <si>
    <t>159,0875</t>
  </si>
  <si>
    <t>153,9810</t>
  </si>
  <si>
    <t>151,4960</t>
  </si>
  <si>
    <t>150,5785</t>
  </si>
  <si>
    <t>150,1515</t>
  </si>
  <si>
    <t>138,2870</t>
  </si>
  <si>
    <t>130,8835</t>
  </si>
  <si>
    <t>185,2790</t>
  </si>
  <si>
    <t>179,0145</t>
  </si>
  <si>
    <t>177,1200</t>
  </si>
  <si>
    <t>174,9640</t>
  </si>
  <si>
    <t>167,7175</t>
  </si>
  <si>
    <t>167,0040</t>
  </si>
  <si>
    <t>165,8510</t>
  </si>
  <si>
    <t>160,3800</t>
  </si>
  <si>
    <t>155,2200</t>
  </si>
  <si>
    <t>154,6290</t>
  </si>
  <si>
    <t>153,1090</t>
  </si>
  <si>
    <t>149,4025</t>
  </si>
  <si>
    <t>149,2075</t>
  </si>
  <si>
    <t>149,0840</t>
  </si>
  <si>
    <t>146,9690</t>
  </si>
  <si>
    <t>146,5200</t>
  </si>
  <si>
    <t>142,2000</t>
  </si>
  <si>
    <t>142,1150</t>
  </si>
  <si>
    <t>139,1810</t>
  </si>
  <si>
    <t>133,7730</t>
  </si>
  <si>
    <t>130,9230</t>
  </si>
  <si>
    <t>129,8235</t>
  </si>
  <si>
    <t>128,8470</t>
  </si>
  <si>
    <t>195,3000</t>
  </si>
  <si>
    <t xml:space="preserve">Мастера 65 - 69 </t>
  </si>
  <si>
    <t>171,4603</t>
  </si>
  <si>
    <t xml:space="preserve">Мастера 50 - 54 </t>
  </si>
  <si>
    <t>167,0198</t>
  </si>
  <si>
    <t>163,3125</t>
  </si>
  <si>
    <t xml:space="preserve">Мастера 55 - 59 </t>
  </si>
  <si>
    <t>161,8008</t>
  </si>
  <si>
    <t>160,5458</t>
  </si>
  <si>
    <t>159,1967</t>
  </si>
  <si>
    <t>151,4941</t>
  </si>
  <si>
    <t>149,4100</t>
  </si>
  <si>
    <t>148,6395</t>
  </si>
  <si>
    <t>141,9944</t>
  </si>
  <si>
    <t>134,0100</t>
  </si>
  <si>
    <t>132,4547</t>
  </si>
  <si>
    <t>Короглишвили Роман</t>
  </si>
  <si>
    <t>Juniors 20-23 (17.07.1992)/22</t>
  </si>
  <si>
    <t>91,70</t>
  </si>
  <si>
    <t>Open (17.07.1992)/22</t>
  </si>
  <si>
    <t>Чебыкин Андрей</t>
  </si>
  <si>
    <t>Open (26.03.1976)/39</t>
  </si>
  <si>
    <t>109,80</t>
  </si>
  <si>
    <t>Костылев Алексей</t>
  </si>
  <si>
    <t>Masters 40-44 (04.09.1973)/41</t>
  </si>
  <si>
    <t>110,00</t>
  </si>
  <si>
    <t xml:space="preserve">Петрозаводск/Карелия </t>
  </si>
  <si>
    <t>Juniors 20-23 (23.04.1970)/45</t>
  </si>
  <si>
    <t>66,30</t>
  </si>
  <si>
    <t>Хомутов Андрей</t>
  </si>
  <si>
    <t>Open (02.03.1983)/32</t>
  </si>
  <si>
    <t>74,40</t>
  </si>
  <si>
    <t xml:space="preserve">Карташов Максим </t>
  </si>
  <si>
    <t>Чайка Александр</t>
  </si>
  <si>
    <t>Open (12.12.1986)/28</t>
  </si>
  <si>
    <t>109,20</t>
  </si>
  <si>
    <t>Open (27.06.1975)/39</t>
  </si>
  <si>
    <t>108,40</t>
  </si>
  <si>
    <t>Еремин Юрий</t>
  </si>
  <si>
    <t>Open (23.11.1983)/31</t>
  </si>
  <si>
    <t>Конев Александр</t>
  </si>
  <si>
    <t>Open (11.02.1987)/28</t>
  </si>
  <si>
    <t>57,80</t>
  </si>
  <si>
    <t xml:space="preserve">Балашов Николай </t>
  </si>
  <si>
    <t>Востриков Антон</t>
  </si>
  <si>
    <t>Teen 18-19 (07.06.1995)/19</t>
  </si>
  <si>
    <t>80,0</t>
  </si>
  <si>
    <t>Рубцов Яков</t>
  </si>
  <si>
    <t>Teen 18-19 (26.03.1996)/19</t>
  </si>
  <si>
    <t>79,90</t>
  </si>
  <si>
    <t>Крылов Иван</t>
  </si>
  <si>
    <t>82,10</t>
  </si>
  <si>
    <t>Еремеев Даниил</t>
  </si>
  <si>
    <t>Juniors 20-23 (05.08.1992)/22</t>
  </si>
  <si>
    <t>257,5</t>
  </si>
  <si>
    <t>261,0</t>
  </si>
  <si>
    <t>Моисеев Сергей</t>
  </si>
  <si>
    <t>Open (24.08.1977)/37</t>
  </si>
  <si>
    <t>98,70</t>
  </si>
  <si>
    <t>272,5</t>
  </si>
  <si>
    <t>Угаров Алексей</t>
  </si>
  <si>
    <t>Open (22.10.1987)/27</t>
  </si>
  <si>
    <t>96,60</t>
  </si>
  <si>
    <t>Тарасова Алина</t>
  </si>
  <si>
    <t>Teen 18-19 (19.09.1996)/18</t>
  </si>
  <si>
    <t>51,00</t>
  </si>
  <si>
    <t xml:space="preserve">Силов Семен </t>
  </si>
  <si>
    <t>Александрова Элеонора</t>
  </si>
  <si>
    <t>Juniors 20-23 (24.10.1992)/22</t>
  </si>
  <si>
    <t>Ермолаева Дарья</t>
  </si>
  <si>
    <t>Open (01.04.1993)/22</t>
  </si>
  <si>
    <t>Апанасенко Елизавета</t>
  </si>
  <si>
    <t>Open (23.11.1990)/24</t>
  </si>
  <si>
    <t>58,40</t>
  </si>
  <si>
    <t xml:space="preserve">Ловцова Наталья </t>
  </si>
  <si>
    <t>Белова Виктория</t>
  </si>
  <si>
    <t>Juniors 20-23 (22.10.1992)/22</t>
  </si>
  <si>
    <t>64,20</t>
  </si>
  <si>
    <t>Малинов Артем</t>
  </si>
  <si>
    <t>Teen 13-15 (03.10.2000)/14</t>
  </si>
  <si>
    <t>Букаранов Денис</t>
  </si>
  <si>
    <t>Teen 13-15 (08.07.2001)/13</t>
  </si>
  <si>
    <t>58,70</t>
  </si>
  <si>
    <t>Дьяченко Иван</t>
  </si>
  <si>
    <t>Open (16.05.1986)/29</t>
  </si>
  <si>
    <t>65,50</t>
  </si>
  <si>
    <t>Железнов Илья</t>
  </si>
  <si>
    <t>Teen 16-17 (19.05.1998)/17</t>
  </si>
  <si>
    <t>190,5</t>
  </si>
  <si>
    <t>Шевелев Павел</t>
  </si>
  <si>
    <t>Teen 18-19 (15.03.1996)/19</t>
  </si>
  <si>
    <t>73,00</t>
  </si>
  <si>
    <t>Кяхяри Владимир</t>
  </si>
  <si>
    <t>Open (21.09.1985)/29</t>
  </si>
  <si>
    <t>73,30</t>
  </si>
  <si>
    <t>187,5</t>
  </si>
  <si>
    <t>Игнатов Владимир</t>
  </si>
  <si>
    <t>Juniors 20-23 (27.09.1992)/22</t>
  </si>
  <si>
    <t>Борисенко Тихон</t>
  </si>
  <si>
    <t>Juniors 20-23 (29.09.1994)/20</t>
  </si>
  <si>
    <t>76,60</t>
  </si>
  <si>
    <t>Голубков Сергей</t>
  </si>
  <si>
    <t>Open (14.12.1990)/24</t>
  </si>
  <si>
    <t>78,70</t>
  </si>
  <si>
    <t>Open (26.05.1982)/33</t>
  </si>
  <si>
    <t>Артемьев Сергей</t>
  </si>
  <si>
    <t>Teen 16-17 (20.11.1998)/16</t>
  </si>
  <si>
    <t>92,60</t>
  </si>
  <si>
    <t>Teen 18-19 (20.11.1998)/16</t>
  </si>
  <si>
    <t>Чайка Игорь</t>
  </si>
  <si>
    <t>Juniors 20-23 (09.06.1994)/20</t>
  </si>
  <si>
    <t>96,40</t>
  </si>
  <si>
    <t>Легчилин Роман</t>
  </si>
  <si>
    <t>Open (01.04.1991)/24</t>
  </si>
  <si>
    <t>104,40</t>
  </si>
  <si>
    <t>Старицин Иван</t>
  </si>
  <si>
    <t>Open (01.02.1983)/32</t>
  </si>
  <si>
    <t>104,00</t>
  </si>
  <si>
    <t>Руруа Тариел</t>
  </si>
  <si>
    <t>Open (14.04.1979)/36</t>
  </si>
  <si>
    <t>103,70</t>
  </si>
  <si>
    <t xml:space="preserve">Каширин Алексей </t>
  </si>
  <si>
    <t>263,9250</t>
  </si>
  <si>
    <t>232,2675</t>
  </si>
  <si>
    <t>212,7885</t>
  </si>
  <si>
    <t>210,1340</t>
  </si>
  <si>
    <t>200,3800</t>
  </si>
  <si>
    <t>176,4960</t>
  </si>
  <si>
    <t>171,1080</t>
  </si>
  <si>
    <t>276,5675</t>
  </si>
  <si>
    <t>326,1450</t>
  </si>
  <si>
    <t>247,3350</t>
  </si>
  <si>
    <t>240,1550</t>
  </si>
  <si>
    <t>235,9000</t>
  </si>
  <si>
    <t>235,3120</t>
  </si>
  <si>
    <t>222,9975</t>
  </si>
  <si>
    <t>208,4515</t>
  </si>
  <si>
    <t>207,5060</t>
  </si>
  <si>
    <t>175,5760</t>
  </si>
  <si>
    <t>Open (19.01.1968)/47</t>
  </si>
  <si>
    <t>Лысиков Дмитрий</t>
  </si>
  <si>
    <t>Open (18.02.1987)/28</t>
  </si>
  <si>
    <t>109,30</t>
  </si>
  <si>
    <t>Горбунов Александр</t>
  </si>
  <si>
    <t>Juniors 20-23 (30.05.1992)/23</t>
  </si>
  <si>
    <t>88,70</t>
  </si>
  <si>
    <t xml:space="preserve">Газпром </t>
  </si>
  <si>
    <t xml:space="preserve">Легчилин Роман </t>
  </si>
  <si>
    <t>Серова Оксана</t>
  </si>
  <si>
    <t>Open (12.06.1988)/26</t>
  </si>
  <si>
    <t>52,30</t>
  </si>
  <si>
    <t xml:space="preserve">Смирнов Всеволод </t>
  </si>
  <si>
    <t>Чемпионат России GPA/IPO Присед в бинтах ДК
30 - 31.Май.2015</t>
  </si>
  <si>
    <t>Великий Устюг</t>
  </si>
  <si>
    <t>Чемпионат России GPA/IPO Жим лежа в многослойной экипировке
30 - 31 мая 2015 г.</t>
  </si>
  <si>
    <t>Беляев Сергей</t>
  </si>
  <si>
    <t>0</t>
  </si>
  <si>
    <t>Шувалов Дмитрий</t>
  </si>
  <si>
    <t>Осколков Игорь</t>
  </si>
  <si>
    <t>Чемпионат России GPA/IPO Пауэрлифтинг в многослойной экипировке
30 - 31 мая 2015 г.</t>
  </si>
  <si>
    <t>1</t>
  </si>
  <si>
    <t>2</t>
  </si>
  <si>
    <t>3</t>
  </si>
  <si>
    <t>Чемпионат России GPA/IPO Пауэрлифтинг без экипировки
Вологда, 30 - 31 мая 2015 года</t>
  </si>
  <si>
    <t>Reshel</t>
  </si>
  <si>
    <t>Чемпионат России GPA/IPO Пауэрлифтинг без экипировки ДК
Вологда, 30 - 31 мая 2015 года</t>
  </si>
  <si>
    <t>Город/область</t>
  </si>
  <si>
    <t xml:space="preserve">Reshel </t>
  </si>
  <si>
    <t xml:space="preserve">Санкт-Петербург/Ленинградская область </t>
  </si>
  <si>
    <t>Длужневский Сергей</t>
  </si>
  <si>
    <t>Бурнашов Василий, Длужневский Сергей</t>
  </si>
  <si>
    <t>Колесов Захар</t>
  </si>
  <si>
    <t>Ерохов Андрей</t>
  </si>
  <si>
    <t>Чемпионат России GPA/IPO Пауэрлифтинг в бинтах
Вологда, 30 - 31 мая 2015 года</t>
  </si>
  <si>
    <t xml:space="preserve">Москва/Московская область </t>
  </si>
  <si>
    <t>Чемпионат России GPA/IPO Пауэрлифтинг в бинтах ДК
Вологда, 30 - 31 мая 2015 года</t>
  </si>
  <si>
    <t>Смирнов Олег</t>
  </si>
  <si>
    <t>Чемпионат России GPA/IPO Пауэрлифтинг в однослойной экипировке
Вологда, 30 - 31 мая 2015 года</t>
  </si>
  <si>
    <t>Чемпионат России GPA/IPO Пауэрлифтинг в однослойной экипировке ДК
Вологда, 30 - 31 мая 2015 года</t>
  </si>
  <si>
    <t>Чемпионат России GPA/IPO Жим лежа без экипировки
Вологда, 30 - 31 мая 2015 года</t>
  </si>
  <si>
    <t>Соколов Николай</t>
  </si>
  <si>
    <t xml:space="preserve">Иванов Сергей, Корнилов </t>
  </si>
  <si>
    <t>Барягин Леонид</t>
  </si>
  <si>
    <t>Коновалов Эдуард</t>
  </si>
  <si>
    <t>Длужневского</t>
  </si>
  <si>
    <t xml:space="preserve">Москва/Московская область  </t>
  </si>
  <si>
    <t>Чемпионат России GPA/IPO Жим лежа без экипировки ДК
Вологда, 30 - 31 мая 2015 года</t>
  </si>
  <si>
    <t>Фадеев Александр</t>
  </si>
  <si>
    <t>Вожега/Вологодская область</t>
  </si>
  <si>
    <t xml:space="preserve">Вожега/Вологодская область </t>
  </si>
  <si>
    <t xml:space="preserve">Ухта/Республика Коми </t>
  </si>
  <si>
    <t>Холмогоры/Архангельская область</t>
  </si>
  <si>
    <t xml:space="preserve">Сосногорск/Республика Коми </t>
  </si>
  <si>
    <t xml:space="preserve">Ухта/Република Коми </t>
  </si>
  <si>
    <t xml:space="preserve">Сосногорск/Република Коми </t>
  </si>
  <si>
    <t>Мехеденко Юрий</t>
  </si>
  <si>
    <t>Парнас</t>
  </si>
  <si>
    <t xml:space="preserve">Петрозаводск/Республика Карелия </t>
  </si>
  <si>
    <t>самостоятельно</t>
  </si>
  <si>
    <t>Кронштадт/Ленинградская область</t>
  </si>
  <si>
    <t>Чемпионат России GPA/IPO Жим лежа в однослойной экипировке ДК
Вологда, 30 - 31 мая 2015 года</t>
  </si>
  <si>
    <t>Чемпионат России GPA/IPO Жим лежа в однослойной экипировке
Вологда, 30 - 31 мая 2015 года</t>
  </si>
  <si>
    <t>Чемпионат России GPA/IPO Жим лежа СФО
Вологда, 30 - 31 мая 2015 года</t>
  </si>
  <si>
    <t>Чемпионат России GPA/IPO Становая тяга без экипировки
Вологда, 30 - 31 мая 2015 года</t>
  </si>
  <si>
    <t>Чемпионат России GPA/IPO Становая тяга без экипировки ДК
Вологда, 30 - 31 мая 2015 года</t>
  </si>
  <si>
    <t xml:space="preserve">Длужневский Сергей </t>
  </si>
  <si>
    <t>Чемпионат России GPA/IPO Становая тяга в экипировке
Вологда, 30 - 31 мая 2015 года</t>
  </si>
  <si>
    <t>Чемпионат России GPA/IPO Силовое двоеборье без экипировки
Вологда, 30 - 31 мая 2015 года</t>
  </si>
  <si>
    <t>Чемпионат России GPA/IPO Силовое двоеборье без экипировки ДК
Вологда, 30 - 31 мая 2015 года</t>
  </si>
  <si>
    <t>Чемпионат России GPA/IPO Присед без экипировки ДК
Вологда, 30 - 31 мая 2015 года</t>
  </si>
  <si>
    <t>Чемпионат России GPA/IPO Присед в бинтах ДК
Вологда, 30 - 31 мая 2015 года</t>
  </si>
  <si>
    <t>Вореводин Андрей</t>
  </si>
  <si>
    <t>Смыслова</t>
  </si>
  <si>
    <t>Чемпионат России СПР Пауэрспорт с допинг контролем
Вологда, 30 - 31 мая 2015 года</t>
  </si>
  <si>
    <t>Gloss</t>
  </si>
  <si>
    <t>Жим стоя</t>
  </si>
  <si>
    <t>Teen 13-19 (14.07.1995)/19</t>
  </si>
  <si>
    <t>Санкт-Петербург/Ленинградская область</t>
  </si>
  <si>
    <t>Подъем на бицепс</t>
  </si>
  <si>
    <t>Чемпионат России СПР Пауэрспорт
Вологда, 30 - 31 мая 2015 года</t>
  </si>
  <si>
    <t>Москва/Московская область</t>
  </si>
  <si>
    <t>110.00</t>
  </si>
  <si>
    <t>Чемпионат России СПР Народный жим (1/2 веса)
Вологда, 30 - 31 мая 2015 года</t>
  </si>
  <si>
    <t>Тоннаж</t>
  </si>
  <si>
    <t>Вес</t>
  </si>
  <si>
    <t>Повторы</t>
  </si>
  <si>
    <t>Березина Евгения</t>
  </si>
  <si>
    <t>Open (31.12.1988)/26</t>
  </si>
  <si>
    <t>58,60</t>
  </si>
  <si>
    <t>42</t>
  </si>
  <si>
    <t xml:space="preserve">Ерохов Андрей </t>
  </si>
  <si>
    <t>Чемпионат России СПР Народный жим (1 вес)
Вологда, 30 - 31 мая 2015 года</t>
  </si>
  <si>
    <t>26</t>
  </si>
  <si>
    <t>30</t>
  </si>
  <si>
    <t>Бабатиев Магомед</t>
  </si>
  <si>
    <t>Juniors 20-23 (14.01.1994)/21</t>
  </si>
  <si>
    <t>67,00</t>
  </si>
  <si>
    <t>34</t>
  </si>
  <si>
    <t>Шишенин Никита</t>
  </si>
  <si>
    <t>Juniors 20-23 (03.01.1994)/21</t>
  </si>
  <si>
    <t>70,00</t>
  </si>
  <si>
    <t>52</t>
  </si>
  <si>
    <t>Конев Денис</t>
  </si>
  <si>
    <t>Open (10.08.1989)/25</t>
  </si>
  <si>
    <t>86,60</t>
  </si>
  <si>
    <t xml:space="preserve">Котлас/Архангельская область </t>
  </si>
  <si>
    <t xml:space="preserve">Лахтионов Виталий </t>
  </si>
  <si>
    <t>Савостьянов Руслан</t>
  </si>
  <si>
    <t>Open (22.02.1985)/30</t>
  </si>
  <si>
    <t xml:space="preserve">Обнинск/Калужская область </t>
  </si>
  <si>
    <t>Латышев Сергей</t>
  </si>
  <si>
    <t>Open (27.11.1983)/31</t>
  </si>
  <si>
    <t>85,00</t>
  </si>
  <si>
    <t>Соколов Дмитрий</t>
  </si>
  <si>
    <t>Open (18.10.1975)/39</t>
  </si>
  <si>
    <t>Masters 40-49 (07.08.1974)/40</t>
  </si>
  <si>
    <t>84,10</t>
  </si>
  <si>
    <t>Авангард</t>
  </si>
  <si>
    <t>Open (22.01.1986)/29</t>
  </si>
  <si>
    <t>92,00</t>
  </si>
  <si>
    <t>Вегетарианская Сила</t>
  </si>
  <si>
    <t>31</t>
  </si>
  <si>
    <t>Лахтионов Виталий</t>
  </si>
  <si>
    <t>Open (02.12.1961)/53</t>
  </si>
  <si>
    <t>93,90</t>
  </si>
  <si>
    <t>21</t>
  </si>
  <si>
    <t>Верещагин Алексей</t>
  </si>
  <si>
    <t>Open (24.03.1976)/39</t>
  </si>
  <si>
    <t>107,30</t>
  </si>
  <si>
    <t xml:space="preserve">Верещагина Полина </t>
  </si>
  <si>
    <t xml:space="preserve">Gloss </t>
  </si>
  <si>
    <t>4290,0</t>
  </si>
  <si>
    <t>4495,9199</t>
  </si>
  <si>
    <t>3587,5</t>
  </si>
  <si>
    <t>3563,1050</t>
  </si>
  <si>
    <t>3240,0</t>
  </si>
  <si>
    <t>3169,3681</t>
  </si>
  <si>
    <t>3225,0</t>
  </si>
  <si>
    <t>2876,0550</t>
  </si>
  <si>
    <t>2805,0</t>
  </si>
  <si>
    <t>2821,8301</t>
  </si>
  <si>
    <t>2880,0</t>
  </si>
  <si>
    <t>2806,2720</t>
  </si>
  <si>
    <t>2867,5</t>
  </si>
  <si>
    <t>2735,5950</t>
  </si>
  <si>
    <t>1800,0</t>
  </si>
  <si>
    <t>2707,5600</t>
  </si>
  <si>
    <t>1995,0</t>
  </si>
  <si>
    <t>1880,8860</t>
  </si>
  <si>
    <t>Чемпионат России СПР Народный жим (1/2 веса) Допинг контроль
Вологда, 30 - 31 мая 2015 года</t>
  </si>
  <si>
    <t>Masters 40-49 (05.09.1974)/40</t>
  </si>
  <si>
    <t>27,5</t>
  </si>
  <si>
    <t>33</t>
  </si>
  <si>
    <t>Чемпионат России СПР Народный жим (1 вес) Допинг контроль
Вологда, 30 - 31 мая 2015 года</t>
  </si>
  <si>
    <t>Masters 50-59 (24.08.1955)/59</t>
  </si>
  <si>
    <t>24</t>
  </si>
  <si>
    <t>Шелков Михаил</t>
  </si>
  <si>
    <t>Juniors 20-23 (29.11.1992)/22</t>
  </si>
  <si>
    <t>74,70</t>
  </si>
  <si>
    <t>25</t>
  </si>
  <si>
    <t>1875</t>
  </si>
  <si>
    <t>Эседов Адиль</t>
  </si>
  <si>
    <t>Juniors 20-23 (10.09.1994)/20</t>
  </si>
  <si>
    <t>69,20</t>
  </si>
  <si>
    <t>15</t>
  </si>
  <si>
    <t>1050</t>
  </si>
  <si>
    <t>Masters 40-49 (12.05.1971)/44</t>
  </si>
  <si>
    <t>1800</t>
  </si>
  <si>
    <t>28</t>
  </si>
  <si>
    <t>2450</t>
  </si>
  <si>
    <t>22</t>
  </si>
  <si>
    <t>2200</t>
  </si>
  <si>
    <t>Паллада</t>
  </si>
  <si>
    <t>13</t>
  </si>
  <si>
    <t>1430</t>
  </si>
  <si>
    <t>Masters 40-49 (16.07.1971)/43</t>
  </si>
  <si>
    <t>Чемпионат России WAA «Rolling Thunder»
Вологда, 30 - 31 мая 2015 года</t>
  </si>
  <si>
    <t>Результат</t>
  </si>
  <si>
    <t>ВЕСОВАЯ КАТЕГОРИЯ   70</t>
  </si>
  <si>
    <t>Осокин Александр</t>
  </si>
  <si>
    <t>Open (02.02.1990)/25</t>
  </si>
  <si>
    <t>64,00</t>
  </si>
  <si>
    <t>48.00</t>
  </si>
  <si>
    <t>Бояров Александр</t>
  </si>
  <si>
    <t>Open (21.07.1986)/28</t>
  </si>
  <si>
    <t>93,30</t>
  </si>
  <si>
    <t xml:space="preserve">Брянск/Брянская область </t>
  </si>
  <si>
    <t>63.00</t>
  </si>
  <si>
    <t>68.00</t>
  </si>
  <si>
    <t>Борисов Игорь</t>
  </si>
  <si>
    <t>Master 40+ (10.04.1963)/52</t>
  </si>
  <si>
    <t>109,00</t>
  </si>
  <si>
    <t xml:space="preserve">Навашино/Нижегородская область </t>
  </si>
  <si>
    <t>73.00</t>
  </si>
  <si>
    <t>Зайцев Артем</t>
  </si>
  <si>
    <t>Master 40+ (16.07.1971)/43</t>
  </si>
  <si>
    <t>Богомолов Владимир</t>
  </si>
  <si>
    <t>Open (14.08.1982)/32</t>
  </si>
  <si>
    <t>120,80</t>
  </si>
  <si>
    <t>83.00</t>
  </si>
  <si>
    <t>Чемпионат России WAA «Apollon Axle»
Вологда, 30 - 31 мая 2015 года</t>
  </si>
  <si>
    <t>Созонов Андрей</t>
  </si>
  <si>
    <t>Open (13.12.1990)/24</t>
  </si>
  <si>
    <t xml:space="preserve">СДЮШОР №7 </t>
  </si>
  <si>
    <t>Миронов Станислав</t>
  </si>
  <si>
    <t>Абсолютная категория</t>
  </si>
  <si>
    <t>Open (10.04.1963)/52</t>
  </si>
  <si>
    <t>Чемпионат России WAA «Excalibur»
Вологда, 30 - 31 мая 2015 года</t>
  </si>
  <si>
    <t>Чемпионат России WAA «HUB»
Вологда, 30 - 31 мая 2015 года</t>
  </si>
  <si>
    <t>Лично</t>
  </si>
  <si>
    <t>Евтихова Юлия</t>
  </si>
  <si>
    <t>Open (01.11.1992)/22</t>
  </si>
  <si>
    <t>58,30</t>
  </si>
  <si>
    <t>16,25</t>
  </si>
  <si>
    <t>22,50</t>
  </si>
  <si>
    <t>Саксон Александр</t>
  </si>
  <si>
    <t>Вологда/Вологодская область</t>
  </si>
  <si>
    <t>Open (10.03.1986)/29</t>
  </si>
  <si>
    <t>Возрастная группа
Год рождения/Возраст</t>
  </si>
  <si>
    <t>Соб. вес</t>
  </si>
  <si>
    <t>Город/Область</t>
  </si>
  <si>
    <t>Жим/первое упражнение</t>
  </si>
  <si>
    <t>Жим/второе упражнение</t>
  </si>
  <si>
    <t>Сумма баллов</t>
  </si>
  <si>
    <t>Мужчины - любители с прохождением допинг контроля</t>
  </si>
  <si>
    <t>ВЕСОВАЯ КАТЕГОРИЯ   80</t>
  </si>
  <si>
    <t>Мужчины - облегченная экипировка</t>
  </si>
  <si>
    <t>Лосино - Петровский/Московская область</t>
  </si>
  <si>
    <t>Мужчины - военный жим</t>
  </si>
  <si>
    <t>Кубок России по жимовому двоеборью
Вологда, 30-31 мая 2015 года</t>
  </si>
  <si>
    <t>Шувалов Максим</t>
  </si>
  <si>
    <t>Teen 14-18 (03.02.1997)/18</t>
  </si>
  <si>
    <t>67,70</t>
  </si>
  <si>
    <t>115.0</t>
  </si>
  <si>
    <t>Masters 55-60 (24.08.1955)/59</t>
  </si>
  <si>
    <t>ВЕСОВАЯ КАТЕГОРИЯ  80</t>
  </si>
  <si>
    <t>Juniors 18-24 (14.07.1995)/19</t>
  </si>
  <si>
    <t>Juniors 18-24 (01.12.1994)/20</t>
  </si>
  <si>
    <t>1710.0</t>
  </si>
  <si>
    <t>Кокорев Андрей</t>
  </si>
  <si>
    <t>Open (30.04.1976)/39</t>
  </si>
  <si>
    <t>Скворцов Михаил</t>
  </si>
  <si>
    <t>Masters 45-50 (19.04.1970)/45</t>
  </si>
  <si>
    <t>97,20</t>
  </si>
  <si>
    <t xml:space="preserve">Кронштадт/Ленинградская область </t>
  </si>
  <si>
    <t>145.0</t>
  </si>
  <si>
    <t>Новоселов Александр</t>
  </si>
  <si>
    <t>Open (01.01.1988)/27</t>
  </si>
  <si>
    <t>78,60</t>
  </si>
  <si>
    <t>Леонов Павел</t>
  </si>
  <si>
    <t>Open (08.11.1983)/34</t>
  </si>
  <si>
    <t>89,40</t>
  </si>
  <si>
    <t>Родиков Юрий</t>
  </si>
  <si>
    <t>Masters 40-45 (31.03.1974)/41</t>
  </si>
  <si>
    <t>Смоленск/Смоленская область</t>
  </si>
  <si>
    <t>Главный судья соревнований: Длужневский Сергей/Вологда МК</t>
  </si>
  <si>
    <t>Главный секретарь: Новиков Степан/Вологда МК</t>
  </si>
  <si>
    <t>Помощник главного секретаря: Нечаева Екатерина/Вологда НК, Ермолаева Дарья/Санкт Петербург, Кузнецова Оксана/Санкт Петербург</t>
  </si>
  <si>
    <t>Аппеляционное жюри: Длужневская Эльвира/Вологда МК, Длужневский Сергей/Вологда МК, Новиков Степан/Вологда МК</t>
  </si>
  <si>
    <t>Главный секретарь: Длужневский Сергей/Вологда МК</t>
  </si>
  <si>
    <t>Состав судейской коллегии на Чемпионате России по пауэрлифтингу, его отдельным движениям, народному жиму и Кубке России по жимовому двоеборью
Вологда, 30-31 мая 2015 года</t>
  </si>
  <si>
    <t xml:space="preserve">Боковые судьи на помосте: Лысиков Дмитрий/Санкт Петербург НК, Смирнов Олег/Санкт Петербург НК, Голландцев Дмитрий/Воронеж РК, </t>
  </si>
  <si>
    <t>Трапезникова Наталья/Санкт Петербург РК, Гунина Ксения/Москва РК,Чарикова Ольга/Воронеж РК, Извеков Александр/Воронеж РК</t>
  </si>
  <si>
    <t>Якименков Георгий/Вологда НК, Лысиков Дмитрий/Санкт Петербург НК, Смирнов Олег/Санкт Петербург НК</t>
  </si>
  <si>
    <t>Центральный судья на помосте: Длужневская Эльвира/Вологда НК, Смирнов Олег/Санкт Петербург РК</t>
  </si>
  <si>
    <t>Центральный судья на помосте: Длужневская Эльвира/Вологда МК, Новиков Степан/Вологда МК, Ольховский Александр/Воронеж НК</t>
  </si>
  <si>
    <t>Состав судейской коллегии на Чемпионате России по армлифтингу
Вологда, 30-31 мая 2015 года</t>
  </si>
  <si>
    <t>Команда Длужневского</t>
  </si>
  <si>
    <t>Динамит</t>
  </si>
  <si>
    <t>Вегетарианская сила</t>
  </si>
  <si>
    <t>Тверская команда</t>
  </si>
  <si>
    <t>Командный зачет Чемпионата России по пауэрлифтингу, его отдельным движениям, народному жиму, пауэрспорту и армлифтингу, а также Кубка России по жимовому двоеборью
Вологда, 30-31 мая 2015 года</t>
  </si>
  <si>
    <t>Сокол</t>
  </si>
  <si>
    <t>Команда Смыслова</t>
  </si>
  <si>
    <t>УСКК</t>
  </si>
  <si>
    <t>Газпром</t>
  </si>
  <si>
    <t>ВМК</t>
  </si>
  <si>
    <t>Палестра</t>
  </si>
  <si>
    <t>Территория спорта</t>
  </si>
  <si>
    <t>161.0880</t>
  </si>
  <si>
    <t>193,1250</t>
  </si>
  <si>
    <t>DQ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</si>
</sst>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9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 Cyr"/>
      <family val="0"/>
    </font>
    <font>
      <sz val="10"/>
      <color indexed="21"/>
      <name val="Arial Cyr"/>
      <family val="0"/>
    </font>
    <font>
      <strike/>
      <sz val="10"/>
      <color indexed="21"/>
      <name val="Arial Cyr"/>
      <family val="0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 Cyr"/>
      <family val="0"/>
    </font>
    <font>
      <sz val="10"/>
      <color rgb="FF00B050"/>
      <name val="Arial Cyr"/>
      <family val="0"/>
    </font>
    <font>
      <strike/>
      <sz val="10"/>
      <color rgb="FF00B050"/>
      <name val="Arial Cyr"/>
      <family val="0"/>
    </font>
    <font>
      <sz val="10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8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8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8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2" fillId="0" borderId="11" xfId="0" applyNumberFormat="1" applyFont="1" applyBorder="1" applyAlignment="1">
      <alignment/>
    </xf>
    <xf numFmtId="49" fontId="53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52" fillId="0" borderId="12" xfId="0" applyNumberFormat="1" applyFont="1" applyBorder="1" applyAlignment="1">
      <alignment/>
    </xf>
    <xf numFmtId="49" fontId="52" fillId="0" borderId="14" xfId="0" applyNumberFormat="1" applyFont="1" applyBorder="1" applyAlignment="1">
      <alignment/>
    </xf>
    <xf numFmtId="49" fontId="52" fillId="0" borderId="13" xfId="0" applyNumberFormat="1" applyFont="1" applyBorder="1" applyAlignment="1">
      <alignment/>
    </xf>
    <xf numFmtId="49" fontId="53" fillId="0" borderId="12" xfId="0" applyNumberFormat="1" applyFont="1" applyBorder="1" applyAlignment="1">
      <alignment/>
    </xf>
    <xf numFmtId="49" fontId="53" fillId="0" borderId="14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54" fillId="0" borderId="11" xfId="0" applyNumberFormat="1" applyFont="1" applyBorder="1" applyAlignment="1">
      <alignment/>
    </xf>
    <xf numFmtId="49" fontId="54" fillId="0" borderId="14" xfId="0" applyNumberFormat="1" applyFont="1" applyBorder="1" applyAlignment="1">
      <alignment/>
    </xf>
    <xf numFmtId="49" fontId="53" fillId="0" borderId="0" xfId="0" applyNumberFormat="1" applyFont="1" applyAlignment="1">
      <alignment/>
    </xf>
    <xf numFmtId="49" fontId="54" fillId="0" borderId="13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49" fontId="52" fillId="0" borderId="12" xfId="0" applyNumberFormat="1" applyFont="1" applyFill="1" applyBorder="1" applyAlignment="1">
      <alignment horizontal="center"/>
    </xf>
    <xf numFmtId="49" fontId="52" fillId="0" borderId="13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53" fillId="0" borderId="12" xfId="0" applyNumberFormat="1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/>
    </xf>
    <xf numFmtId="49" fontId="0" fillId="0" borderId="16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77" fontId="52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/>
    </xf>
    <xf numFmtId="172" fontId="52" fillId="0" borderId="11" xfId="0" applyNumberFormat="1" applyFont="1" applyBorder="1" applyAlignment="1">
      <alignment/>
    </xf>
    <xf numFmtId="172" fontId="0" fillId="0" borderId="11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right"/>
    </xf>
    <xf numFmtId="177" fontId="52" fillId="0" borderId="0" xfId="0" applyNumberFormat="1" applyFont="1" applyBorder="1" applyAlignment="1">
      <alignment/>
    </xf>
    <xf numFmtId="172" fontId="5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0" fontId="56" fillId="0" borderId="11" xfId="0" applyFont="1" applyBorder="1" applyAlignment="1">
      <alignment horizontal="center"/>
    </xf>
    <xf numFmtId="49" fontId="0" fillId="0" borderId="0" xfId="0" applyNumberFormat="1" applyBorder="1" applyAlignment="1">
      <alignment horizontal="left" indent="1"/>
    </xf>
    <xf numFmtId="49" fontId="0" fillId="0" borderId="0" xfId="0" applyNumberFormat="1" applyBorder="1" applyAlignment="1">
      <alignment horizontal="center"/>
    </xf>
    <xf numFmtId="0" fontId="57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172" fontId="0" fillId="0" borderId="16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workbookViewId="0" topLeftCell="A1">
      <selection activeCell="A1" sqref="A1:IV4"/>
    </sheetView>
  </sheetViews>
  <sheetFormatPr defaultColWidth="8.75390625" defaultRowHeight="12.75"/>
  <sheetData>
    <row r="1" spans="1:21" s="1" customFormat="1" ht="15" customHeight="1">
      <c r="A1" s="129" t="s">
        <v>853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</row>
    <row r="2" spans="1:21" s="1" customFormat="1" ht="81.7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4"/>
    </row>
    <row r="3" spans="1:21" s="2" customFormat="1" ht="12.75" customHeight="1">
      <c r="A3" s="135" t="s">
        <v>0</v>
      </c>
      <c r="B3" s="137" t="s">
        <v>10</v>
      </c>
      <c r="C3" s="125" t="s">
        <v>11</v>
      </c>
      <c r="D3" s="125" t="s">
        <v>12</v>
      </c>
      <c r="E3" s="125" t="s">
        <v>7</v>
      </c>
      <c r="F3" s="125" t="s">
        <v>9</v>
      </c>
      <c r="G3" s="125" t="s">
        <v>1</v>
      </c>
      <c r="H3" s="125"/>
      <c r="I3" s="125"/>
      <c r="J3" s="125"/>
      <c r="K3" s="125" t="s">
        <v>2</v>
      </c>
      <c r="L3" s="125"/>
      <c r="M3" s="125"/>
      <c r="N3" s="125"/>
      <c r="O3" s="125" t="s">
        <v>3</v>
      </c>
      <c r="P3" s="125"/>
      <c r="Q3" s="125"/>
      <c r="R3" s="125"/>
      <c r="S3" s="125" t="s">
        <v>4</v>
      </c>
      <c r="T3" s="125" t="s">
        <v>6</v>
      </c>
      <c r="U3" s="127" t="s">
        <v>5</v>
      </c>
    </row>
    <row r="4" spans="1:21" s="2" customFormat="1" ht="33.75" customHeight="1" thickBot="1">
      <c r="A4" s="136"/>
      <c r="B4" s="126"/>
      <c r="C4" s="126"/>
      <c r="D4" s="126"/>
      <c r="E4" s="126"/>
      <c r="F4" s="126"/>
      <c r="G4" s="3">
        <v>1</v>
      </c>
      <c r="H4" s="3">
        <v>2</v>
      </c>
      <c r="I4" s="3">
        <v>3</v>
      </c>
      <c r="J4" s="3" t="s">
        <v>8</v>
      </c>
      <c r="K4" s="3">
        <v>1</v>
      </c>
      <c r="L4" s="3">
        <v>2</v>
      </c>
      <c r="M4" s="3">
        <v>3</v>
      </c>
      <c r="N4" s="3" t="s">
        <v>8</v>
      </c>
      <c r="O4" s="3">
        <v>1</v>
      </c>
      <c r="P4" s="3">
        <v>2</v>
      </c>
      <c r="Q4" s="3">
        <v>3</v>
      </c>
      <c r="R4" s="3" t="s">
        <v>8</v>
      </c>
      <c r="S4" s="126"/>
      <c r="T4" s="126"/>
      <c r="U4" s="128"/>
    </row>
  </sheetData>
  <sheetProtection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4">
      <selection activeCell="B14" sqref="B14:M14"/>
    </sheetView>
  </sheetViews>
  <sheetFormatPr defaultColWidth="8.75390625" defaultRowHeight="12.75"/>
  <cols>
    <col min="1" max="1" width="5.125" style="35" customWidth="1"/>
    <col min="2" max="2" width="31.875" style="18" bestFit="1" customWidth="1"/>
    <col min="3" max="3" width="26.875" style="18" bestFit="1" customWidth="1"/>
    <col min="4" max="4" width="13.375" style="18" bestFit="1" customWidth="1"/>
    <col min="5" max="5" width="8.375" style="18" bestFit="1" customWidth="1"/>
    <col min="6" max="6" width="22.75390625" style="18" bestFit="1" customWidth="1"/>
    <col min="7" max="7" width="37.125" style="18" customWidth="1"/>
    <col min="8" max="11" width="5.625" style="18" bestFit="1" customWidth="1"/>
    <col min="12" max="12" width="7.875" style="37" bestFit="1" customWidth="1"/>
    <col min="13" max="13" width="8.625" style="18" bestFit="1" customWidth="1"/>
    <col min="14" max="14" width="37.375" style="18" customWidth="1"/>
  </cols>
  <sheetData>
    <row r="1" spans="1:14" s="1" customFormat="1" ht="15" customHeight="1">
      <c r="A1" s="34"/>
      <c r="B1" s="129" t="s">
        <v>904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2:14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3</v>
      </c>
      <c r="I3" s="125"/>
      <c r="J3" s="125"/>
      <c r="K3" s="125"/>
      <c r="L3" s="125" t="s">
        <v>4</v>
      </c>
      <c r="M3" s="125" t="s">
        <v>6</v>
      </c>
      <c r="N3" s="127" t="s">
        <v>5</v>
      </c>
    </row>
    <row r="4" spans="2:14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126"/>
      <c r="M4" s="126"/>
      <c r="N4" s="128"/>
    </row>
    <row r="5" spans="2:13" ht="15.75">
      <c r="B5" s="139" t="s">
        <v>13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35">
        <v>1</v>
      </c>
      <c r="B6" s="19" t="s">
        <v>14</v>
      </c>
      <c r="C6" s="19" t="s">
        <v>15</v>
      </c>
      <c r="D6" s="19" t="s">
        <v>16</v>
      </c>
      <c r="E6" s="19" t="str">
        <f>"2,0972"</f>
        <v>2,0972</v>
      </c>
      <c r="F6" s="19" t="s">
        <v>17</v>
      </c>
      <c r="G6" s="19" t="s">
        <v>18</v>
      </c>
      <c r="H6" s="39" t="s">
        <v>24</v>
      </c>
      <c r="I6" s="20"/>
      <c r="J6" s="20"/>
      <c r="K6" s="20"/>
      <c r="L6" s="74">
        <v>160</v>
      </c>
      <c r="M6" s="19" t="str">
        <f>"335,5520"</f>
        <v>335,5520</v>
      </c>
      <c r="N6" s="19" t="s">
        <v>871</v>
      </c>
    </row>
    <row r="8" spans="2:13" ht="15.75">
      <c r="B8" s="140" t="s">
        <v>27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4" ht="12.75">
      <c r="A9" s="35">
        <v>1</v>
      </c>
      <c r="B9" s="19" t="s">
        <v>748</v>
      </c>
      <c r="C9" s="19" t="s">
        <v>749</v>
      </c>
      <c r="D9" s="19" t="s">
        <v>750</v>
      </c>
      <c r="E9" s="19" t="str">
        <f>"1,0552"</f>
        <v>1,0552</v>
      </c>
      <c r="F9" s="19" t="s">
        <v>31</v>
      </c>
      <c r="G9" s="19" t="s">
        <v>869</v>
      </c>
      <c r="H9" s="39" t="s">
        <v>59</v>
      </c>
      <c r="I9" s="39" t="s">
        <v>189</v>
      </c>
      <c r="J9" s="39" t="s">
        <v>228</v>
      </c>
      <c r="K9" s="20"/>
      <c r="L9" s="74">
        <v>235</v>
      </c>
      <c r="M9" s="19" t="str">
        <f>"247,9720"</f>
        <v>247,9720</v>
      </c>
      <c r="N9" s="19" t="s">
        <v>89</v>
      </c>
    </row>
    <row r="11" spans="2:13" ht="15.75">
      <c r="B11" s="140" t="s">
        <v>66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4" ht="12.75">
      <c r="A12" s="35">
        <v>1</v>
      </c>
      <c r="B12" s="19" t="s">
        <v>67</v>
      </c>
      <c r="C12" s="19" t="s">
        <v>68</v>
      </c>
      <c r="D12" s="19" t="s">
        <v>69</v>
      </c>
      <c r="E12" s="19" t="str">
        <f>"0,9916"</f>
        <v>0,9916</v>
      </c>
      <c r="F12" s="19" t="s">
        <v>17</v>
      </c>
      <c r="G12" s="19" t="s">
        <v>18</v>
      </c>
      <c r="H12" s="39" t="s">
        <v>74</v>
      </c>
      <c r="I12" s="39" t="s">
        <v>75</v>
      </c>
      <c r="J12" s="20"/>
      <c r="K12" s="20"/>
      <c r="L12" s="74">
        <v>307.5</v>
      </c>
      <c r="M12" s="19" t="str">
        <f>"304,9170"</f>
        <v>304,9170</v>
      </c>
      <c r="N12" s="19" t="s">
        <v>870</v>
      </c>
    </row>
    <row r="14" spans="2:13" ht="15.75">
      <c r="B14" s="140" t="s">
        <v>77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</row>
    <row r="15" spans="1:14" ht="12.75">
      <c r="A15" s="35">
        <v>1</v>
      </c>
      <c r="B15" s="21" t="s">
        <v>753</v>
      </c>
      <c r="C15" s="21" t="s">
        <v>754</v>
      </c>
      <c r="D15" s="21" t="s">
        <v>634</v>
      </c>
      <c r="E15" s="21" t="str">
        <f>"0,9154"</f>
        <v>0,9154</v>
      </c>
      <c r="F15" s="21" t="s">
        <v>31</v>
      </c>
      <c r="G15" s="21" t="s">
        <v>32</v>
      </c>
      <c r="H15" s="45" t="s">
        <v>83</v>
      </c>
      <c r="I15" s="45" t="s">
        <v>94</v>
      </c>
      <c r="J15" s="45" t="s">
        <v>755</v>
      </c>
      <c r="K15" s="42" t="s">
        <v>756</v>
      </c>
      <c r="L15" s="75">
        <v>257.5</v>
      </c>
      <c r="M15" s="21" t="str">
        <f>"235,7155"</f>
        <v>235,7155</v>
      </c>
      <c r="N15" s="21" t="s">
        <v>89</v>
      </c>
    </row>
    <row r="16" spans="1:14" ht="12.75">
      <c r="A16" s="35">
        <v>1</v>
      </c>
      <c r="B16" s="19" t="s">
        <v>757</v>
      </c>
      <c r="C16" s="19" t="s">
        <v>758</v>
      </c>
      <c r="D16" s="19" t="s">
        <v>759</v>
      </c>
      <c r="E16" s="19" t="str">
        <f>"0,9202"</f>
        <v>0,9202</v>
      </c>
      <c r="F16" s="19" t="s">
        <v>854</v>
      </c>
      <c r="G16" s="19" t="s">
        <v>82</v>
      </c>
      <c r="H16" s="39" t="s">
        <v>84</v>
      </c>
      <c r="I16" s="38" t="s">
        <v>760</v>
      </c>
      <c r="J16" s="38" t="s">
        <v>760</v>
      </c>
      <c r="K16" s="20"/>
      <c r="L16" s="74">
        <v>260</v>
      </c>
      <c r="M16" s="19" t="str">
        <f>"239,2520"</f>
        <v>239,2520</v>
      </c>
      <c r="N16" s="19" t="s">
        <v>870</v>
      </c>
    </row>
    <row r="17" spans="1:14" ht="12.75">
      <c r="A17" s="35">
        <v>2</v>
      </c>
      <c r="B17" s="23" t="s">
        <v>761</v>
      </c>
      <c r="C17" s="23" t="s">
        <v>762</v>
      </c>
      <c r="D17" s="23" t="s">
        <v>763</v>
      </c>
      <c r="E17" s="23" t="str">
        <f>"0,9286"</f>
        <v>0,9286</v>
      </c>
      <c r="F17" s="23" t="s">
        <v>31</v>
      </c>
      <c r="G17" s="23" t="s">
        <v>32</v>
      </c>
      <c r="H17" s="47" t="s">
        <v>228</v>
      </c>
      <c r="I17" s="47" t="s">
        <v>83</v>
      </c>
      <c r="J17" s="47" t="s">
        <v>51</v>
      </c>
      <c r="K17" s="24"/>
      <c r="L17" s="77">
        <v>255</v>
      </c>
      <c r="M17" s="23" t="str">
        <f>"236,7930"</f>
        <v>236,7930</v>
      </c>
      <c r="N17" s="23" t="s">
        <v>89</v>
      </c>
    </row>
    <row r="19" spans="2:13" ht="15.75">
      <c r="B19" s="140" t="s">
        <v>96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</row>
    <row r="20" spans="1:14" ht="12.75">
      <c r="A20" s="35">
        <v>1</v>
      </c>
      <c r="B20" s="19" t="s">
        <v>724</v>
      </c>
      <c r="C20" s="19" t="s">
        <v>725</v>
      </c>
      <c r="D20" s="19" t="s">
        <v>726</v>
      </c>
      <c r="E20" s="19" t="str">
        <f>"0,8850"</f>
        <v>0,8850</v>
      </c>
      <c r="F20" s="19" t="s">
        <v>31</v>
      </c>
      <c r="G20" s="19" t="s">
        <v>898</v>
      </c>
      <c r="H20" s="39" t="s">
        <v>102</v>
      </c>
      <c r="I20" s="38" t="s">
        <v>74</v>
      </c>
      <c r="J20" s="20"/>
      <c r="K20" s="20"/>
      <c r="L20" s="74">
        <v>270</v>
      </c>
      <c r="M20" s="19" t="str">
        <f>"240,1447"</f>
        <v>240,1447</v>
      </c>
      <c r="N20" s="19" t="s">
        <v>899</v>
      </c>
    </row>
  </sheetData>
  <sheetProtection/>
  <mergeCells count="16">
    <mergeCell ref="B11:M11"/>
    <mergeCell ref="B14:M14"/>
    <mergeCell ref="B19:M19"/>
    <mergeCell ref="L3:L4"/>
    <mergeCell ref="M3:M4"/>
    <mergeCell ref="N3:N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9">
      <selection activeCell="L14" sqref="L14"/>
    </sheetView>
  </sheetViews>
  <sheetFormatPr defaultColWidth="8.75390625" defaultRowHeight="12.75"/>
  <cols>
    <col min="1" max="1" width="3.125" style="0" customWidth="1"/>
    <col min="2" max="2" width="22.375" style="0" customWidth="1"/>
    <col min="3" max="3" width="28.25390625" style="0" customWidth="1"/>
    <col min="4" max="4" width="15.25390625" style="0" customWidth="1"/>
    <col min="5" max="5" width="8.75390625" style="0" customWidth="1"/>
    <col min="6" max="6" width="24.625" style="0" customWidth="1"/>
    <col min="7" max="7" width="28.875" style="0" customWidth="1"/>
    <col min="8" max="8" width="8.75390625" style="0" customWidth="1"/>
    <col min="9" max="9" width="10.375" style="0" customWidth="1"/>
    <col min="10" max="11" width="8.75390625" style="0" customWidth="1"/>
    <col min="12" max="12" width="26.75390625" style="0" customWidth="1"/>
  </cols>
  <sheetData>
    <row r="1" spans="1:12" ht="12.75">
      <c r="A1" s="34"/>
      <c r="B1" s="129" t="s">
        <v>923</v>
      </c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ht="57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13.5">
      <c r="A3" s="2"/>
      <c r="B3" s="135" t="s">
        <v>0</v>
      </c>
      <c r="C3" s="137" t="s">
        <v>10</v>
      </c>
      <c r="D3" s="125" t="s">
        <v>11</v>
      </c>
      <c r="E3" s="125" t="s">
        <v>915</v>
      </c>
      <c r="F3" s="125" t="s">
        <v>7</v>
      </c>
      <c r="G3" s="125" t="s">
        <v>867</v>
      </c>
      <c r="H3" s="125" t="s">
        <v>2</v>
      </c>
      <c r="I3" s="125"/>
      <c r="J3" s="125" t="s">
        <v>924</v>
      </c>
      <c r="K3" s="125" t="s">
        <v>6</v>
      </c>
      <c r="L3" s="127" t="s">
        <v>5</v>
      </c>
    </row>
    <row r="4" spans="1:12" ht="15" thickBot="1">
      <c r="A4" s="2"/>
      <c r="B4" s="136"/>
      <c r="C4" s="126"/>
      <c r="D4" s="126"/>
      <c r="E4" s="126"/>
      <c r="F4" s="126"/>
      <c r="G4" s="126"/>
      <c r="H4" s="3" t="s">
        <v>925</v>
      </c>
      <c r="I4" s="3" t="s">
        <v>926</v>
      </c>
      <c r="J4" s="126"/>
      <c r="K4" s="126"/>
      <c r="L4" s="128"/>
    </row>
    <row r="5" spans="1:12" ht="15.75">
      <c r="A5" s="35"/>
      <c r="B5" s="139" t="s">
        <v>142</v>
      </c>
      <c r="C5" s="139"/>
      <c r="D5" s="139"/>
      <c r="E5" s="139"/>
      <c r="F5" s="139"/>
      <c r="G5" s="139"/>
      <c r="H5" s="139"/>
      <c r="I5" s="139"/>
      <c r="J5" s="139"/>
      <c r="K5" s="139"/>
      <c r="L5" s="18"/>
    </row>
    <row r="6" spans="1:12" ht="12.75">
      <c r="A6" s="35">
        <v>1</v>
      </c>
      <c r="B6" s="19" t="s">
        <v>927</v>
      </c>
      <c r="C6" s="19" t="s">
        <v>928</v>
      </c>
      <c r="D6" s="19" t="s">
        <v>929</v>
      </c>
      <c r="E6" s="19" t="str">
        <f>"1,8186"</f>
        <v>1,8186</v>
      </c>
      <c r="F6" s="19" t="s">
        <v>146</v>
      </c>
      <c r="G6" s="19" t="s">
        <v>147</v>
      </c>
      <c r="H6" s="79" t="s">
        <v>353</v>
      </c>
      <c r="I6" s="79" t="s">
        <v>930</v>
      </c>
      <c r="J6" s="79">
        <v>1260</v>
      </c>
      <c r="K6" s="19" t="str">
        <f>"2291,4361"</f>
        <v>2291,4361</v>
      </c>
      <c r="L6" s="19" t="s">
        <v>931</v>
      </c>
    </row>
    <row r="8" ht="13.5" thickBot="1"/>
    <row r="9" spans="1:12" ht="12.75">
      <c r="A9" s="34"/>
      <c r="B9" s="129" t="s">
        <v>932</v>
      </c>
      <c r="C9" s="130"/>
      <c r="D9" s="130"/>
      <c r="E9" s="130"/>
      <c r="F9" s="130"/>
      <c r="G9" s="130"/>
      <c r="H9" s="130"/>
      <c r="I9" s="130"/>
      <c r="J9" s="130"/>
      <c r="K9" s="130"/>
      <c r="L9" s="131"/>
    </row>
    <row r="10" spans="1:12" ht="64.5" customHeight="1" thickBot="1">
      <c r="A10" s="34"/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34"/>
    </row>
    <row r="11" spans="1:12" ht="13.5">
      <c r="A11" s="2"/>
      <c r="B11" s="135" t="s">
        <v>0</v>
      </c>
      <c r="C11" s="137" t="s">
        <v>10</v>
      </c>
      <c r="D11" s="125" t="s">
        <v>11</v>
      </c>
      <c r="E11" s="125" t="s">
        <v>915</v>
      </c>
      <c r="F11" s="125" t="s">
        <v>7</v>
      </c>
      <c r="G11" s="125" t="s">
        <v>867</v>
      </c>
      <c r="H11" s="125" t="s">
        <v>2</v>
      </c>
      <c r="I11" s="125"/>
      <c r="J11" s="125" t="s">
        <v>924</v>
      </c>
      <c r="K11" s="125" t="s">
        <v>6</v>
      </c>
      <c r="L11" s="127" t="s">
        <v>5</v>
      </c>
    </row>
    <row r="12" spans="1:12" ht="15" thickBot="1">
      <c r="A12" s="2"/>
      <c r="B12" s="136"/>
      <c r="C12" s="126"/>
      <c r="D12" s="126"/>
      <c r="E12" s="126"/>
      <c r="F12" s="126"/>
      <c r="G12" s="126"/>
      <c r="H12" s="3" t="s">
        <v>925</v>
      </c>
      <c r="I12" s="3" t="s">
        <v>926</v>
      </c>
      <c r="J12" s="126"/>
      <c r="K12" s="126"/>
      <c r="L12" s="128"/>
    </row>
    <row r="13" spans="1:12" ht="15.75">
      <c r="A13" s="35"/>
      <c r="B13" s="139" t="s">
        <v>161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8"/>
    </row>
    <row r="14" spans="1:12" ht="12.75">
      <c r="A14" s="35">
        <v>1</v>
      </c>
      <c r="B14" s="19" t="s">
        <v>337</v>
      </c>
      <c r="C14" s="19" t="s">
        <v>338</v>
      </c>
      <c r="D14" s="19" t="s">
        <v>339</v>
      </c>
      <c r="E14" s="19" t="str">
        <f>"1,6850"</f>
        <v>1,6850</v>
      </c>
      <c r="F14" s="19" t="s">
        <v>31</v>
      </c>
      <c r="G14" s="19" t="s">
        <v>875</v>
      </c>
      <c r="H14" s="79" t="s">
        <v>138</v>
      </c>
      <c r="I14" s="79" t="s">
        <v>933</v>
      </c>
      <c r="J14" s="79">
        <v>1690</v>
      </c>
      <c r="K14" s="19" t="str">
        <f>"2847,6499"</f>
        <v>2847,6499</v>
      </c>
      <c r="L14" s="19" t="s">
        <v>882</v>
      </c>
    </row>
    <row r="15" spans="1:12" ht="12.75">
      <c r="A15" s="35"/>
      <c r="B15" s="18"/>
      <c r="C15" s="18"/>
      <c r="D15" s="18"/>
      <c r="E15" s="18"/>
      <c r="F15" s="18"/>
      <c r="G15" s="18"/>
      <c r="H15" s="73"/>
      <c r="I15" s="73"/>
      <c r="J15" s="73"/>
      <c r="K15" s="18"/>
      <c r="L15" s="18"/>
    </row>
    <row r="16" spans="1:12" ht="15.75">
      <c r="A16" s="35"/>
      <c r="B16" s="140" t="s">
        <v>142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8"/>
    </row>
    <row r="17" spans="1:12" ht="12.75">
      <c r="A17" s="35">
        <v>1</v>
      </c>
      <c r="B17" s="19" t="s">
        <v>741</v>
      </c>
      <c r="C17" s="19" t="s">
        <v>742</v>
      </c>
      <c r="D17" s="19" t="s">
        <v>743</v>
      </c>
      <c r="E17" s="19" t="str">
        <f>"1,5042"</f>
        <v>1,5042</v>
      </c>
      <c r="F17" s="19" t="s">
        <v>31</v>
      </c>
      <c r="G17" s="19" t="s">
        <v>32</v>
      </c>
      <c r="H17" s="79" t="s">
        <v>150</v>
      </c>
      <c r="I17" s="79" t="s">
        <v>934</v>
      </c>
      <c r="J17" s="79">
        <v>1800</v>
      </c>
      <c r="K17" s="19" t="str">
        <f>"2707,5600"</f>
        <v>2707,5600</v>
      </c>
      <c r="L17" s="19" t="s">
        <v>744</v>
      </c>
    </row>
    <row r="18" spans="1:12" ht="12.75">
      <c r="A18" s="35"/>
      <c r="B18" s="18"/>
      <c r="C18" s="18"/>
      <c r="D18" s="18"/>
      <c r="E18" s="18"/>
      <c r="F18" s="18"/>
      <c r="G18" s="18"/>
      <c r="H18" s="73"/>
      <c r="I18" s="73"/>
      <c r="J18" s="73"/>
      <c r="K18" s="18"/>
      <c r="L18" s="18"/>
    </row>
    <row r="19" spans="1:12" ht="15.75">
      <c r="A19" s="35"/>
      <c r="B19" s="140" t="s">
        <v>161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8"/>
    </row>
    <row r="20" spans="1:12" ht="12.75">
      <c r="A20" s="35">
        <v>1</v>
      </c>
      <c r="B20" s="19" t="s">
        <v>935</v>
      </c>
      <c r="C20" s="19" t="s">
        <v>936</v>
      </c>
      <c r="D20" s="19" t="s">
        <v>937</v>
      </c>
      <c r="E20" s="19" t="str">
        <f>"1,2460"</f>
        <v>1,2460</v>
      </c>
      <c r="F20" s="19" t="s">
        <v>31</v>
      </c>
      <c r="G20" s="19" t="s">
        <v>32</v>
      </c>
      <c r="H20" s="79" t="s">
        <v>335</v>
      </c>
      <c r="I20" s="79" t="s">
        <v>938</v>
      </c>
      <c r="J20" s="79">
        <v>2295</v>
      </c>
      <c r="K20" s="19" t="str">
        <f>"2859,5701"</f>
        <v>2859,5701</v>
      </c>
      <c r="L20" s="19" t="s">
        <v>89</v>
      </c>
    </row>
    <row r="21" spans="1:12" ht="12.75">
      <c r="A21" s="35"/>
      <c r="B21" s="18"/>
      <c r="C21" s="18"/>
      <c r="D21" s="18"/>
      <c r="E21" s="18"/>
      <c r="F21" s="18"/>
      <c r="G21" s="18"/>
      <c r="H21" s="73"/>
      <c r="I21" s="73"/>
      <c r="J21" s="73"/>
      <c r="K21" s="18"/>
      <c r="L21" s="18"/>
    </row>
    <row r="22" spans="1:12" ht="15.75">
      <c r="A22" s="35"/>
      <c r="B22" s="140" t="s">
        <v>177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8"/>
    </row>
    <row r="23" spans="1:12" ht="12.75">
      <c r="A23" s="35">
        <v>1</v>
      </c>
      <c r="B23" s="19" t="s">
        <v>939</v>
      </c>
      <c r="C23" s="19" t="s">
        <v>940</v>
      </c>
      <c r="D23" s="19" t="s">
        <v>941</v>
      </c>
      <c r="E23" s="19" t="str">
        <f>"1,1940"</f>
        <v>1,1940</v>
      </c>
      <c r="F23" s="19" t="s">
        <v>31</v>
      </c>
      <c r="G23" s="19" t="s">
        <v>32</v>
      </c>
      <c r="H23" s="79" t="s">
        <v>336</v>
      </c>
      <c r="I23" s="79" t="s">
        <v>933</v>
      </c>
      <c r="J23" s="79">
        <v>1820</v>
      </c>
      <c r="K23" s="19" t="str">
        <f>"2173,0800"</f>
        <v>2173,0800</v>
      </c>
      <c r="L23" s="19" t="s">
        <v>744</v>
      </c>
    </row>
    <row r="24" spans="1:12" ht="12.75">
      <c r="A24" s="35"/>
      <c r="B24" s="18"/>
      <c r="C24" s="18"/>
      <c r="D24" s="18"/>
      <c r="E24" s="18"/>
      <c r="F24" s="18"/>
      <c r="G24" s="18"/>
      <c r="H24" s="73"/>
      <c r="I24" s="73"/>
      <c r="J24" s="73"/>
      <c r="K24" s="18"/>
      <c r="L24" s="18"/>
    </row>
    <row r="25" spans="1:12" ht="15.75">
      <c r="A25" s="35"/>
      <c r="B25" s="140" t="s">
        <v>27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8"/>
    </row>
    <row r="26" spans="1:12" ht="12.75">
      <c r="A26" s="35">
        <v>1</v>
      </c>
      <c r="B26" s="19" t="s">
        <v>366</v>
      </c>
      <c r="C26" s="19" t="s">
        <v>367</v>
      </c>
      <c r="D26" s="19" t="s">
        <v>368</v>
      </c>
      <c r="E26" s="19" t="str">
        <f>"1,0480"</f>
        <v>1,0480</v>
      </c>
      <c r="F26" s="19" t="s">
        <v>31</v>
      </c>
      <c r="G26" s="19" t="s">
        <v>369</v>
      </c>
      <c r="H26" s="79" t="s">
        <v>156</v>
      </c>
      <c r="I26" s="79" t="s">
        <v>942</v>
      </c>
      <c r="J26" s="79">
        <v>4290</v>
      </c>
      <c r="K26" s="19" t="str">
        <f>"4495,9199"</f>
        <v>4495,9199</v>
      </c>
      <c r="L26" s="19" t="s">
        <v>883</v>
      </c>
    </row>
    <row r="27" spans="1:12" ht="12.75">
      <c r="A27" s="35"/>
      <c r="B27" s="18"/>
      <c r="C27" s="18"/>
      <c r="D27" s="18"/>
      <c r="E27" s="18"/>
      <c r="F27" s="18"/>
      <c r="G27" s="18"/>
      <c r="H27" s="73"/>
      <c r="I27" s="73"/>
      <c r="J27" s="73"/>
      <c r="K27" s="18"/>
      <c r="L27" s="18"/>
    </row>
    <row r="28" spans="1:12" ht="15.75">
      <c r="A28" s="35"/>
      <c r="B28" s="140" t="s">
        <v>66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8"/>
    </row>
    <row r="29" spans="1:12" ht="12.75">
      <c r="A29" s="35">
        <v>1</v>
      </c>
      <c r="B29" s="21" t="s">
        <v>943</v>
      </c>
      <c r="C29" s="21" t="s">
        <v>944</v>
      </c>
      <c r="D29" s="21" t="s">
        <v>945</v>
      </c>
      <c r="E29" s="21" t="str">
        <f>"0,9932"</f>
        <v>0,9932</v>
      </c>
      <c r="F29" s="21" t="s">
        <v>31</v>
      </c>
      <c r="G29" s="21" t="s">
        <v>946</v>
      </c>
      <c r="H29" s="80" t="s">
        <v>348</v>
      </c>
      <c r="I29" s="81">
        <v>41</v>
      </c>
      <c r="J29" s="80">
        <v>3587.5</v>
      </c>
      <c r="K29" s="21" t="str">
        <f>"3563,1050"</f>
        <v>3563,1050</v>
      </c>
      <c r="L29" s="21" t="s">
        <v>947</v>
      </c>
    </row>
    <row r="30" spans="1:12" ht="12.75">
      <c r="A30" s="35">
        <v>2</v>
      </c>
      <c r="B30" s="19" t="s">
        <v>948</v>
      </c>
      <c r="C30" s="19" t="s">
        <v>949</v>
      </c>
      <c r="D30" s="19" t="s">
        <v>846</v>
      </c>
      <c r="E30" s="19" t="str">
        <f>"0,9782"</f>
        <v>0,9782</v>
      </c>
      <c r="F30" s="19" t="s">
        <v>31</v>
      </c>
      <c r="G30" s="19" t="s">
        <v>950</v>
      </c>
      <c r="H30" s="79" t="s">
        <v>34</v>
      </c>
      <c r="I30" s="82">
        <v>36</v>
      </c>
      <c r="J30" s="79">
        <v>3240</v>
      </c>
      <c r="K30" s="19" t="str">
        <f>"3169,3681"</f>
        <v>3169,3681</v>
      </c>
      <c r="L30" s="19" t="s">
        <v>89</v>
      </c>
    </row>
    <row r="31" spans="1:12" ht="12.75">
      <c r="A31" s="35">
        <v>3</v>
      </c>
      <c r="B31" s="25" t="s">
        <v>951</v>
      </c>
      <c r="C31" s="25" t="s">
        <v>952</v>
      </c>
      <c r="D31" s="25" t="s">
        <v>953</v>
      </c>
      <c r="E31" s="25" t="str">
        <f>"1,0060"</f>
        <v>1,0060</v>
      </c>
      <c r="F31" s="25" t="s">
        <v>31</v>
      </c>
      <c r="G31" s="25" t="s">
        <v>32</v>
      </c>
      <c r="H31" s="83" t="s">
        <v>165</v>
      </c>
      <c r="I31" s="84">
        <v>33</v>
      </c>
      <c r="J31" s="83">
        <v>2805</v>
      </c>
      <c r="K31" s="25" t="str">
        <f>"2821,8301"</f>
        <v>2821,8301</v>
      </c>
      <c r="L31" s="25" t="s">
        <v>89</v>
      </c>
    </row>
    <row r="32" spans="1:12" ht="12.75">
      <c r="A32" s="35">
        <v>4</v>
      </c>
      <c r="B32" s="19" t="s">
        <v>954</v>
      </c>
      <c r="C32" s="19" t="s">
        <v>955</v>
      </c>
      <c r="D32" s="19" t="s">
        <v>607</v>
      </c>
      <c r="E32" s="19" t="str">
        <f>"0,9744"</f>
        <v>0,9744</v>
      </c>
      <c r="F32" s="19" t="s">
        <v>43</v>
      </c>
      <c r="G32" s="19" t="s">
        <v>44</v>
      </c>
      <c r="H32" s="79" t="s">
        <v>34</v>
      </c>
      <c r="I32" s="82">
        <v>32</v>
      </c>
      <c r="J32" s="79">
        <v>2880</v>
      </c>
      <c r="K32" s="19" t="str">
        <f>"2806,2720"</f>
        <v>2806,2720</v>
      </c>
      <c r="L32" s="19" t="s">
        <v>53</v>
      </c>
    </row>
    <row r="33" spans="1:12" ht="12.75">
      <c r="A33" s="35">
        <v>5</v>
      </c>
      <c r="B33" s="23" t="s">
        <v>873</v>
      </c>
      <c r="C33" s="23" t="s">
        <v>956</v>
      </c>
      <c r="D33" s="23" t="s">
        <v>957</v>
      </c>
      <c r="E33" s="23" t="str">
        <f>"1,0142"</f>
        <v>1,0142</v>
      </c>
      <c r="F33" s="23" t="s">
        <v>958</v>
      </c>
      <c r="G33" s="23" t="s">
        <v>147</v>
      </c>
      <c r="H33" s="85" t="s">
        <v>165</v>
      </c>
      <c r="I33" s="86">
        <v>33</v>
      </c>
      <c r="J33" s="85">
        <v>2805</v>
      </c>
      <c r="K33" s="23" t="str">
        <f>"2844,8309"</f>
        <v>2844,8309</v>
      </c>
      <c r="L33" s="23" t="s">
        <v>89</v>
      </c>
    </row>
    <row r="34" spans="1:12" ht="12.75">
      <c r="A34" s="35"/>
      <c r="B34" s="18"/>
      <c r="C34" s="18"/>
      <c r="D34" s="18"/>
      <c r="E34" s="18"/>
      <c r="F34" s="18"/>
      <c r="G34" s="18"/>
      <c r="H34" s="73"/>
      <c r="I34" s="73"/>
      <c r="J34" s="73"/>
      <c r="K34" s="18"/>
      <c r="L34" s="18"/>
    </row>
    <row r="35" spans="1:12" ht="15.75">
      <c r="A35" s="35"/>
      <c r="B35" s="140" t="s">
        <v>77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8"/>
    </row>
    <row r="36" spans="1:12" ht="12.75">
      <c r="A36" s="35">
        <v>1</v>
      </c>
      <c r="B36" s="21" t="s">
        <v>877</v>
      </c>
      <c r="C36" s="21" t="s">
        <v>959</v>
      </c>
      <c r="D36" s="21" t="s">
        <v>960</v>
      </c>
      <c r="E36" s="21" t="str">
        <f>"0,9540"</f>
        <v>0,9540</v>
      </c>
      <c r="F36" s="21" t="s">
        <v>961</v>
      </c>
      <c r="G36" s="21" t="s">
        <v>869</v>
      </c>
      <c r="H36" s="80" t="s">
        <v>492</v>
      </c>
      <c r="I36" s="80" t="s">
        <v>962</v>
      </c>
      <c r="J36" s="80">
        <v>2867.5</v>
      </c>
      <c r="K36" s="21" t="str">
        <f>"2735,5950"</f>
        <v>2735,5950</v>
      </c>
      <c r="L36" s="21" t="s">
        <v>89</v>
      </c>
    </row>
    <row r="37" spans="1:12" ht="12.75">
      <c r="A37" s="35">
        <v>2</v>
      </c>
      <c r="B37" s="19" t="s">
        <v>963</v>
      </c>
      <c r="C37" s="19" t="s">
        <v>964</v>
      </c>
      <c r="D37" s="19" t="s">
        <v>965</v>
      </c>
      <c r="E37" s="19" t="str">
        <f>"0,9428"</f>
        <v>0,9428</v>
      </c>
      <c r="F37" s="19" t="s">
        <v>31</v>
      </c>
      <c r="G37" s="19" t="s">
        <v>946</v>
      </c>
      <c r="H37" s="79" t="s">
        <v>159</v>
      </c>
      <c r="I37" s="79" t="s">
        <v>966</v>
      </c>
      <c r="J37" s="79">
        <v>1995</v>
      </c>
      <c r="K37" s="19" t="str">
        <f>"1880,8860"</f>
        <v>1880,8860</v>
      </c>
      <c r="L37" s="19" t="s">
        <v>89</v>
      </c>
    </row>
    <row r="38" spans="1:12" ht="12.75">
      <c r="A38" s="35"/>
      <c r="B38" s="18"/>
      <c r="C38" s="18"/>
      <c r="D38" s="18"/>
      <c r="E38" s="18"/>
      <c r="F38" s="18"/>
      <c r="G38" s="18"/>
      <c r="H38" s="73"/>
      <c r="I38" s="73"/>
      <c r="J38" s="73"/>
      <c r="K38" s="18"/>
      <c r="L38" s="18"/>
    </row>
    <row r="39" spans="1:12" ht="15.75">
      <c r="A39" s="35"/>
      <c r="B39" s="140" t="s">
        <v>96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8"/>
    </row>
    <row r="40" spans="1:12" ht="12.75">
      <c r="A40" s="35">
        <v>1</v>
      </c>
      <c r="B40" s="19" t="s">
        <v>967</v>
      </c>
      <c r="C40" s="19" t="s">
        <v>968</v>
      </c>
      <c r="D40" s="19" t="s">
        <v>969</v>
      </c>
      <c r="E40" s="19" t="str">
        <f>"0,8918"</f>
        <v>0,8918</v>
      </c>
      <c r="F40" s="19" t="s">
        <v>31</v>
      </c>
      <c r="G40" s="19" t="s">
        <v>946</v>
      </c>
      <c r="H40" s="79" t="s">
        <v>171</v>
      </c>
      <c r="I40" s="79" t="s">
        <v>934</v>
      </c>
      <c r="J40" s="79">
        <v>3225</v>
      </c>
      <c r="K40" s="19" t="str">
        <f>"2876,0550"</f>
        <v>2876,0550</v>
      </c>
      <c r="L40" s="19" t="s">
        <v>970</v>
      </c>
    </row>
    <row r="41" spans="1:12" ht="12.75">
      <c r="A41" s="35"/>
      <c r="B41" s="18"/>
      <c r="C41" s="18"/>
      <c r="D41" s="18"/>
      <c r="E41" s="18"/>
      <c r="F41" s="18"/>
      <c r="G41" s="18"/>
      <c r="H41" s="73"/>
      <c r="I41" s="73"/>
      <c r="J41" s="73"/>
      <c r="K41" s="18"/>
      <c r="L41" s="18"/>
    </row>
    <row r="42" spans="1:12" ht="12.75">
      <c r="A42" s="35"/>
      <c r="B42" s="18"/>
      <c r="C42" s="18"/>
      <c r="D42" s="18"/>
      <c r="E42" s="18"/>
      <c r="F42" s="18"/>
      <c r="G42" s="18"/>
      <c r="H42" s="73"/>
      <c r="I42" s="73"/>
      <c r="J42" s="73"/>
      <c r="K42" s="18"/>
      <c r="L42" s="18"/>
    </row>
    <row r="43" spans="1:12" ht="18">
      <c r="A43" s="35"/>
      <c r="B43" s="28" t="s">
        <v>106</v>
      </c>
      <c r="C43" s="28"/>
      <c r="D43" s="18"/>
      <c r="E43" s="18"/>
      <c r="F43" s="18"/>
      <c r="G43" s="18"/>
      <c r="H43" s="73"/>
      <c r="I43" s="73"/>
      <c r="J43" s="73"/>
      <c r="K43" s="18"/>
      <c r="L43" s="18"/>
    </row>
    <row r="44" spans="1:12" ht="15.75">
      <c r="A44" s="35"/>
      <c r="B44" s="29" t="s">
        <v>113</v>
      </c>
      <c r="C44" s="29"/>
      <c r="D44" s="18"/>
      <c r="E44" s="18"/>
      <c r="F44" s="18"/>
      <c r="G44" s="18"/>
      <c r="H44" s="73"/>
      <c r="I44" s="73"/>
      <c r="J44" s="73"/>
      <c r="K44" s="18"/>
      <c r="L44" s="18"/>
    </row>
    <row r="45" spans="1:12" ht="13.5">
      <c r="A45" s="35"/>
      <c r="B45" s="88" t="s">
        <v>107</v>
      </c>
      <c r="C45" s="32"/>
      <c r="D45" s="18"/>
      <c r="E45" s="18"/>
      <c r="F45" s="18"/>
      <c r="G45" s="18"/>
      <c r="H45" s="73"/>
      <c r="I45" s="73"/>
      <c r="J45" s="73"/>
      <c r="K45" s="18"/>
      <c r="L45" s="18"/>
    </row>
    <row r="46" spans="1:12" ht="13.5">
      <c r="A46" s="35"/>
      <c r="B46" s="33" t="s">
        <v>108</v>
      </c>
      <c r="C46" s="33" t="s">
        <v>109</v>
      </c>
      <c r="D46" s="33" t="s">
        <v>110</v>
      </c>
      <c r="E46" s="33" t="s">
        <v>111</v>
      </c>
      <c r="F46" s="33" t="s">
        <v>971</v>
      </c>
      <c r="G46" s="18"/>
      <c r="H46" s="73"/>
      <c r="I46" s="73"/>
      <c r="J46" s="73"/>
      <c r="K46" s="18"/>
      <c r="L46" s="18"/>
    </row>
    <row r="47" spans="1:12" ht="12.75">
      <c r="A47" s="35">
        <v>1</v>
      </c>
      <c r="B47" s="87" t="s">
        <v>366</v>
      </c>
      <c r="C47" s="73" t="s">
        <v>107</v>
      </c>
      <c r="D47" s="73" t="s">
        <v>116</v>
      </c>
      <c r="E47" s="73" t="s">
        <v>972</v>
      </c>
      <c r="F47" s="37" t="s">
        <v>973</v>
      </c>
      <c r="G47" s="18"/>
      <c r="H47" s="73"/>
      <c r="I47" s="73"/>
      <c r="J47" s="73"/>
      <c r="K47" s="18"/>
      <c r="L47" s="18"/>
    </row>
    <row r="48" spans="1:12" ht="12.75">
      <c r="A48" s="35">
        <v>2</v>
      </c>
      <c r="B48" s="87" t="s">
        <v>943</v>
      </c>
      <c r="C48" s="73" t="s">
        <v>107</v>
      </c>
      <c r="D48" s="73" t="s">
        <v>117</v>
      </c>
      <c r="E48" s="73" t="s">
        <v>974</v>
      </c>
      <c r="F48" s="37" t="s">
        <v>975</v>
      </c>
      <c r="G48" s="18"/>
      <c r="H48" s="73"/>
      <c r="I48" s="73"/>
      <c r="J48" s="73"/>
      <c r="K48" s="18"/>
      <c r="L48" s="18"/>
    </row>
    <row r="49" spans="1:12" ht="12.75">
      <c r="A49" s="35">
        <v>3</v>
      </c>
      <c r="B49" s="87" t="s">
        <v>948</v>
      </c>
      <c r="C49" s="73" t="s">
        <v>107</v>
      </c>
      <c r="D49" s="73" t="s">
        <v>117</v>
      </c>
      <c r="E49" s="73" t="s">
        <v>976</v>
      </c>
      <c r="F49" s="37" t="s">
        <v>977</v>
      </c>
      <c r="G49" s="18"/>
      <c r="H49" s="73"/>
      <c r="I49" s="73"/>
      <c r="J49" s="73"/>
      <c r="K49" s="18"/>
      <c r="L49" s="18"/>
    </row>
    <row r="50" spans="1:12" ht="12.75">
      <c r="A50" s="35"/>
      <c r="B50" s="87" t="s">
        <v>967</v>
      </c>
      <c r="C50" s="73" t="s">
        <v>107</v>
      </c>
      <c r="D50" s="73" t="s">
        <v>125</v>
      </c>
      <c r="E50" s="73" t="s">
        <v>978</v>
      </c>
      <c r="F50" s="37" t="s">
        <v>979</v>
      </c>
      <c r="G50" s="18"/>
      <c r="H50" s="73"/>
      <c r="I50" s="73"/>
      <c r="J50" s="73"/>
      <c r="K50" s="18"/>
      <c r="L50" s="18"/>
    </row>
    <row r="51" spans="1:12" ht="12.75">
      <c r="A51" s="35"/>
      <c r="B51" s="87" t="s">
        <v>951</v>
      </c>
      <c r="C51" s="73" t="s">
        <v>107</v>
      </c>
      <c r="D51" s="73" t="s">
        <v>117</v>
      </c>
      <c r="E51" s="73" t="s">
        <v>980</v>
      </c>
      <c r="F51" s="37" t="s">
        <v>981</v>
      </c>
      <c r="G51" s="18"/>
      <c r="H51" s="73"/>
      <c r="I51" s="73"/>
      <c r="J51" s="73"/>
      <c r="K51" s="18"/>
      <c r="L51" s="18"/>
    </row>
    <row r="52" spans="1:12" ht="12.75">
      <c r="A52" s="35"/>
      <c r="B52" s="87" t="s">
        <v>954</v>
      </c>
      <c r="C52" s="73" t="s">
        <v>107</v>
      </c>
      <c r="D52" s="73" t="s">
        <v>117</v>
      </c>
      <c r="E52" s="73" t="s">
        <v>982</v>
      </c>
      <c r="F52" s="37" t="s">
        <v>983</v>
      </c>
      <c r="G52" s="18"/>
      <c r="H52" s="73"/>
      <c r="I52" s="73"/>
      <c r="J52" s="73"/>
      <c r="K52" s="18"/>
      <c r="L52" s="18"/>
    </row>
    <row r="53" spans="1:12" ht="12.75">
      <c r="A53" s="35"/>
      <c r="B53" s="87" t="s">
        <v>877</v>
      </c>
      <c r="C53" s="73" t="s">
        <v>107</v>
      </c>
      <c r="D53" s="73" t="s">
        <v>120</v>
      </c>
      <c r="E53" s="73" t="s">
        <v>984</v>
      </c>
      <c r="F53" s="37" t="s">
        <v>985</v>
      </c>
      <c r="G53" s="18"/>
      <c r="H53" s="73"/>
      <c r="I53" s="73"/>
      <c r="J53" s="73"/>
      <c r="K53" s="18"/>
      <c r="L53" s="18"/>
    </row>
    <row r="54" spans="1:12" ht="12.75">
      <c r="A54" s="35"/>
      <c r="B54" s="87" t="s">
        <v>741</v>
      </c>
      <c r="C54" s="73" t="s">
        <v>107</v>
      </c>
      <c r="D54" s="73" t="s">
        <v>243</v>
      </c>
      <c r="E54" s="73" t="s">
        <v>986</v>
      </c>
      <c r="F54" s="37" t="s">
        <v>987</v>
      </c>
      <c r="G54" s="18"/>
      <c r="H54" s="73"/>
      <c r="I54" s="73"/>
      <c r="J54" s="73"/>
      <c r="K54" s="18"/>
      <c r="L54" s="18"/>
    </row>
    <row r="55" spans="1:12" ht="12.75">
      <c r="A55" s="35"/>
      <c r="B55" s="87" t="s">
        <v>963</v>
      </c>
      <c r="C55" s="73" t="s">
        <v>107</v>
      </c>
      <c r="D55" s="73" t="s">
        <v>120</v>
      </c>
      <c r="E55" s="73" t="s">
        <v>988</v>
      </c>
      <c r="F55" s="37" t="s">
        <v>989</v>
      </c>
      <c r="G55" s="18"/>
      <c r="H55" s="73"/>
      <c r="I55" s="73"/>
      <c r="J55" s="73"/>
      <c r="K55" s="18"/>
      <c r="L55" s="18"/>
    </row>
    <row r="56" spans="1:12" ht="12.75">
      <c r="A56" s="35"/>
      <c r="B56" s="18"/>
      <c r="C56" s="18"/>
      <c r="D56" s="18"/>
      <c r="E56" s="18"/>
      <c r="F56" s="18"/>
      <c r="G56" s="18"/>
      <c r="H56" s="73"/>
      <c r="I56" s="73"/>
      <c r="J56" s="73"/>
      <c r="K56" s="18"/>
      <c r="L56" s="18"/>
    </row>
    <row r="57" spans="1:12" ht="12.75">
      <c r="A57" s="35"/>
      <c r="B57" s="18"/>
      <c r="C57" s="18"/>
      <c r="D57" s="18"/>
      <c r="E57" s="18"/>
      <c r="F57" s="18"/>
      <c r="G57" s="18"/>
      <c r="H57" s="73"/>
      <c r="I57" s="73"/>
      <c r="J57" s="73"/>
      <c r="K57" s="18"/>
      <c r="L57" s="18"/>
    </row>
    <row r="58" spans="1:12" ht="12.75">
      <c r="A58" s="35"/>
      <c r="B58" s="18"/>
      <c r="C58" s="18"/>
      <c r="D58" s="18"/>
      <c r="E58" s="18"/>
      <c r="F58" s="18"/>
      <c r="G58" s="18"/>
      <c r="H58" s="73"/>
      <c r="I58" s="73"/>
      <c r="J58" s="73"/>
      <c r="K58" s="18"/>
      <c r="L58" s="18"/>
    </row>
    <row r="59" spans="1:12" ht="12.75">
      <c r="A59" s="35"/>
      <c r="B59" s="18"/>
      <c r="C59" s="18"/>
      <c r="D59" s="18"/>
      <c r="E59" s="18"/>
      <c r="F59" s="18"/>
      <c r="G59" s="18"/>
      <c r="H59" s="73"/>
      <c r="I59" s="73"/>
      <c r="J59" s="73"/>
      <c r="K59" s="18"/>
      <c r="L59" s="18"/>
    </row>
    <row r="60" spans="1:12" ht="12.75">
      <c r="A60" s="35"/>
      <c r="B60" s="18"/>
      <c r="C60" s="18"/>
      <c r="D60" s="18"/>
      <c r="E60" s="18"/>
      <c r="F60" s="18"/>
      <c r="G60" s="18"/>
      <c r="H60" s="73"/>
      <c r="I60" s="73"/>
      <c r="J60" s="73"/>
      <c r="K60" s="18"/>
      <c r="L60" s="18"/>
    </row>
    <row r="61" spans="1:12" ht="12.75">
      <c r="A61" s="35"/>
      <c r="B61" s="18"/>
      <c r="C61" s="18"/>
      <c r="D61" s="18"/>
      <c r="E61" s="18"/>
      <c r="F61" s="18"/>
      <c r="G61" s="18"/>
      <c r="H61" s="73"/>
      <c r="I61" s="73"/>
      <c r="J61" s="73"/>
      <c r="K61" s="18"/>
      <c r="L61" s="18"/>
    </row>
    <row r="62" spans="1:12" ht="12.75">
      <c r="A62" s="35"/>
      <c r="B62" s="18"/>
      <c r="C62" s="18"/>
      <c r="D62" s="18"/>
      <c r="E62" s="18"/>
      <c r="F62" s="18"/>
      <c r="G62" s="18"/>
      <c r="H62" s="73"/>
      <c r="I62" s="73"/>
      <c r="J62" s="73"/>
      <c r="K62" s="18"/>
      <c r="L62" s="18"/>
    </row>
    <row r="63" spans="1:12" ht="12.75">
      <c r="A63" s="35"/>
      <c r="B63" s="18"/>
      <c r="C63" s="18"/>
      <c r="D63" s="18"/>
      <c r="E63" s="18"/>
      <c r="F63" s="18"/>
      <c r="G63" s="18"/>
      <c r="H63" s="73"/>
      <c r="I63" s="73"/>
      <c r="J63" s="73"/>
      <c r="K63" s="18"/>
      <c r="L63" s="18"/>
    </row>
    <row r="64" spans="1:12" ht="12.75">
      <c r="A64" s="35"/>
      <c r="B64" s="18"/>
      <c r="C64" s="18"/>
      <c r="D64" s="18"/>
      <c r="E64" s="18"/>
      <c r="F64" s="18"/>
      <c r="G64" s="18"/>
      <c r="H64" s="73"/>
      <c r="I64" s="73"/>
      <c r="J64" s="73"/>
      <c r="K64" s="18"/>
      <c r="L64" s="18"/>
    </row>
    <row r="65" spans="1:12" ht="12.75">
      <c r="A65" s="35"/>
      <c r="B65" s="18"/>
      <c r="C65" s="18"/>
      <c r="D65" s="18"/>
      <c r="E65" s="18"/>
      <c r="F65" s="18"/>
      <c r="G65" s="18"/>
      <c r="H65" s="73"/>
      <c r="I65" s="73"/>
      <c r="J65" s="73"/>
      <c r="K65" s="18"/>
      <c r="L65" s="18"/>
    </row>
    <row r="66" spans="1:12" ht="12.75">
      <c r="A66" s="35"/>
      <c r="B66" s="18"/>
      <c r="C66" s="18"/>
      <c r="D66" s="18"/>
      <c r="E66" s="18"/>
      <c r="F66" s="18"/>
      <c r="G66" s="18"/>
      <c r="H66" s="73"/>
      <c r="I66" s="73"/>
      <c r="J66" s="73"/>
      <c r="K66" s="18"/>
      <c r="L66" s="18"/>
    </row>
    <row r="67" spans="1:12" ht="12.75">
      <c r="A67" s="35"/>
      <c r="B67" s="18"/>
      <c r="C67" s="18"/>
      <c r="D67" s="18"/>
      <c r="E67" s="18"/>
      <c r="F67" s="18"/>
      <c r="G67" s="18"/>
      <c r="H67" s="73"/>
      <c r="I67" s="73"/>
      <c r="J67" s="73"/>
      <c r="K67" s="18"/>
      <c r="L67" s="18"/>
    </row>
    <row r="68" spans="1:12" ht="12.75">
      <c r="A68" s="35"/>
      <c r="B68" s="18"/>
      <c r="C68" s="18"/>
      <c r="D68" s="18"/>
      <c r="E68" s="18"/>
      <c r="F68" s="18"/>
      <c r="G68" s="18"/>
      <c r="H68" s="73"/>
      <c r="I68" s="73"/>
      <c r="J68" s="73"/>
      <c r="K68" s="18"/>
      <c r="L68" s="18"/>
    </row>
    <row r="69" spans="1:12" ht="12.75">
      <c r="A69" s="35"/>
      <c r="B69" s="18"/>
      <c r="C69" s="18"/>
      <c r="D69" s="18"/>
      <c r="E69" s="18"/>
      <c r="F69" s="18"/>
      <c r="G69" s="18"/>
      <c r="H69" s="73"/>
      <c r="I69" s="73"/>
      <c r="J69" s="73"/>
      <c r="K69" s="18"/>
      <c r="L69" s="18"/>
    </row>
  </sheetData>
  <sheetProtection/>
  <mergeCells count="31">
    <mergeCell ref="B11:B12"/>
    <mergeCell ref="C11:C12"/>
    <mergeCell ref="K3:K4"/>
    <mergeCell ref="H11:I11"/>
    <mergeCell ref="G11:G12"/>
    <mergeCell ref="L3:L4"/>
    <mergeCell ref="F3:F4"/>
    <mergeCell ref="G3:G4"/>
    <mergeCell ref="H3:I3"/>
    <mergeCell ref="B5:K5"/>
    <mergeCell ref="B9:L10"/>
    <mergeCell ref="L11:L12"/>
    <mergeCell ref="B13:K13"/>
    <mergeCell ref="B16:K16"/>
    <mergeCell ref="B19:K19"/>
    <mergeCell ref="B1:L2"/>
    <mergeCell ref="B3:B4"/>
    <mergeCell ref="C3:C4"/>
    <mergeCell ref="D3:D4"/>
    <mergeCell ref="E3:E4"/>
    <mergeCell ref="J3:J4"/>
    <mergeCell ref="B25:K25"/>
    <mergeCell ref="B28:K28"/>
    <mergeCell ref="B35:K35"/>
    <mergeCell ref="B39:K39"/>
    <mergeCell ref="J11:J12"/>
    <mergeCell ref="K11:K12"/>
    <mergeCell ref="E11:E12"/>
    <mergeCell ref="F11:F12"/>
    <mergeCell ref="D11:D12"/>
    <mergeCell ref="B22:K22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0">
      <selection activeCell="C28" sqref="C28:E29"/>
    </sheetView>
  </sheetViews>
  <sheetFormatPr defaultColWidth="8.75390625" defaultRowHeight="12.75"/>
  <cols>
    <col min="1" max="1" width="3.75390625" style="0" customWidth="1"/>
    <col min="2" max="2" width="20.00390625" style="0" customWidth="1"/>
    <col min="3" max="3" width="28.125" style="0" customWidth="1"/>
    <col min="4" max="4" width="15.375" style="0" customWidth="1"/>
    <col min="5" max="5" width="8.75390625" style="0" customWidth="1"/>
    <col min="6" max="6" width="21.625" style="0" customWidth="1"/>
    <col min="7" max="7" width="29.375" style="0" customWidth="1"/>
    <col min="8" max="10" width="8.75390625" style="0" customWidth="1"/>
    <col min="11" max="11" width="14.75390625" style="0" customWidth="1"/>
    <col min="12" max="12" width="22.125" style="0" customWidth="1"/>
  </cols>
  <sheetData>
    <row r="1" spans="1:12" ht="12.75">
      <c r="A1" s="34"/>
      <c r="B1" s="129" t="s">
        <v>990</v>
      </c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ht="58.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13.5">
      <c r="A3" s="2"/>
      <c r="B3" s="135" t="s">
        <v>0</v>
      </c>
      <c r="C3" s="137" t="s">
        <v>10</v>
      </c>
      <c r="D3" s="125" t="s">
        <v>11</v>
      </c>
      <c r="E3" s="125" t="s">
        <v>915</v>
      </c>
      <c r="F3" s="125" t="s">
        <v>7</v>
      </c>
      <c r="G3" s="125" t="s">
        <v>867</v>
      </c>
      <c r="H3" s="125" t="s">
        <v>2</v>
      </c>
      <c r="I3" s="125"/>
      <c r="J3" s="125" t="s">
        <v>924</v>
      </c>
      <c r="K3" s="125" t="s">
        <v>6</v>
      </c>
      <c r="L3" s="127" t="s">
        <v>5</v>
      </c>
    </row>
    <row r="4" spans="1:12" ht="15" thickBot="1">
      <c r="A4" s="2"/>
      <c r="B4" s="136"/>
      <c r="C4" s="126"/>
      <c r="D4" s="126"/>
      <c r="E4" s="126"/>
      <c r="F4" s="126"/>
      <c r="G4" s="126"/>
      <c r="H4" s="3" t="s">
        <v>925</v>
      </c>
      <c r="I4" s="3" t="s">
        <v>926</v>
      </c>
      <c r="J4" s="126"/>
      <c r="K4" s="126"/>
      <c r="L4" s="128"/>
    </row>
    <row r="5" spans="1:12" ht="15.75">
      <c r="A5" s="35"/>
      <c r="B5" s="139" t="s">
        <v>13</v>
      </c>
      <c r="C5" s="139"/>
      <c r="D5" s="139"/>
      <c r="E5" s="139"/>
      <c r="F5" s="139"/>
      <c r="G5" s="139"/>
      <c r="H5" s="139"/>
      <c r="I5" s="139"/>
      <c r="J5" s="139"/>
      <c r="K5" s="139"/>
      <c r="L5" s="18"/>
    </row>
    <row r="6" spans="1:12" ht="12.75">
      <c r="A6" s="35">
        <v>1</v>
      </c>
      <c r="B6" s="19" t="s">
        <v>476</v>
      </c>
      <c r="C6" s="19" t="s">
        <v>991</v>
      </c>
      <c r="D6" s="19" t="s">
        <v>478</v>
      </c>
      <c r="E6" s="19" t="str">
        <f>"2,1216"</f>
        <v>2,1216</v>
      </c>
      <c r="F6" s="19" t="s">
        <v>31</v>
      </c>
      <c r="G6" s="19" t="s">
        <v>32</v>
      </c>
      <c r="H6" s="79" t="s">
        <v>992</v>
      </c>
      <c r="I6" s="79" t="s">
        <v>993</v>
      </c>
      <c r="J6" s="79">
        <v>907.5</v>
      </c>
      <c r="K6" s="19" t="str">
        <f>"1925,3519"</f>
        <v>1925,3519</v>
      </c>
      <c r="L6" s="19" t="s">
        <v>480</v>
      </c>
    </row>
    <row r="8" ht="13.5" thickBot="1"/>
    <row r="9" spans="1:12" ht="12.75">
      <c r="A9" s="34"/>
      <c r="B9" s="129" t="s">
        <v>994</v>
      </c>
      <c r="C9" s="130"/>
      <c r="D9" s="130"/>
      <c r="E9" s="130"/>
      <c r="F9" s="130"/>
      <c r="G9" s="130"/>
      <c r="H9" s="130"/>
      <c r="I9" s="130"/>
      <c r="J9" s="130"/>
      <c r="K9" s="130"/>
      <c r="L9" s="131"/>
    </row>
    <row r="10" spans="1:12" ht="61.5" customHeight="1" thickBot="1">
      <c r="A10" s="34"/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34"/>
    </row>
    <row r="11" spans="1:12" ht="13.5">
      <c r="A11" s="2"/>
      <c r="B11" s="143" t="s">
        <v>0</v>
      </c>
      <c r="C11" s="137" t="s">
        <v>10</v>
      </c>
      <c r="D11" s="125" t="s">
        <v>11</v>
      </c>
      <c r="E11" s="125" t="s">
        <v>915</v>
      </c>
      <c r="F11" s="125" t="s">
        <v>7</v>
      </c>
      <c r="G11" s="125" t="s">
        <v>867</v>
      </c>
      <c r="H11" s="125" t="s">
        <v>2</v>
      </c>
      <c r="I11" s="125"/>
      <c r="J11" s="125" t="s">
        <v>924</v>
      </c>
      <c r="K11" s="125" t="s">
        <v>6</v>
      </c>
      <c r="L11" s="127" t="s">
        <v>5</v>
      </c>
    </row>
    <row r="12" spans="1:12" ht="15" thickBot="1">
      <c r="A12" s="2"/>
      <c r="B12" s="144"/>
      <c r="C12" s="126"/>
      <c r="D12" s="126"/>
      <c r="E12" s="126"/>
      <c r="F12" s="126"/>
      <c r="G12" s="126"/>
      <c r="H12" s="3" t="s">
        <v>925</v>
      </c>
      <c r="I12" s="3" t="s">
        <v>926</v>
      </c>
      <c r="J12" s="126"/>
      <c r="K12" s="126"/>
      <c r="L12" s="128"/>
    </row>
    <row r="13" spans="1:12" ht="15.75">
      <c r="A13" s="34"/>
      <c r="B13" s="141" t="s">
        <v>161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4"/>
    </row>
    <row r="14" spans="1:12" ht="12.75">
      <c r="A14" s="34" t="s">
        <v>861</v>
      </c>
      <c r="B14" s="54" t="s">
        <v>520</v>
      </c>
      <c r="C14" s="6" t="s">
        <v>995</v>
      </c>
      <c r="D14" s="6" t="s">
        <v>522</v>
      </c>
      <c r="E14" s="6" t="str">
        <f>"1,2900"</f>
        <v>1,2900</v>
      </c>
      <c r="F14" s="6" t="s">
        <v>323</v>
      </c>
      <c r="G14" s="6" t="s">
        <v>32</v>
      </c>
      <c r="H14" s="5" t="s">
        <v>138</v>
      </c>
      <c r="I14" s="5" t="s">
        <v>996</v>
      </c>
      <c r="J14" s="89">
        <v>1560</v>
      </c>
      <c r="K14" s="5" t="str">
        <f>"2646,3059"</f>
        <v>2646,3059</v>
      </c>
      <c r="L14" s="6" t="s">
        <v>523</v>
      </c>
    </row>
    <row r="15" spans="1:12" ht="12.75">
      <c r="A15" s="34"/>
      <c r="B15" s="57"/>
      <c r="C15" s="1"/>
      <c r="D15" s="1"/>
      <c r="E15" s="1"/>
      <c r="F15" s="4"/>
      <c r="G15" s="4"/>
      <c r="H15" s="1"/>
      <c r="I15" s="1"/>
      <c r="J15" s="90"/>
      <c r="K15" s="1"/>
      <c r="L15" s="4"/>
    </row>
    <row r="16" spans="1:12" ht="15.75">
      <c r="A16" s="34"/>
      <c r="B16" s="142" t="s">
        <v>177</v>
      </c>
      <c r="C16" s="140"/>
      <c r="D16" s="140"/>
      <c r="E16" s="140"/>
      <c r="F16" s="140"/>
      <c r="G16" s="140"/>
      <c r="H16" s="140"/>
      <c r="I16" s="140"/>
      <c r="J16" s="140"/>
      <c r="K16" s="140"/>
      <c r="L16" s="4"/>
    </row>
    <row r="17" spans="1:12" ht="12.75">
      <c r="A17" s="34" t="s">
        <v>861</v>
      </c>
      <c r="B17" s="55" t="s">
        <v>997</v>
      </c>
      <c r="C17" s="9" t="s">
        <v>998</v>
      </c>
      <c r="D17" s="9" t="s">
        <v>999</v>
      </c>
      <c r="E17" s="9" t="str">
        <f>"1,1208"</f>
        <v>1,1208</v>
      </c>
      <c r="F17" s="9" t="s">
        <v>136</v>
      </c>
      <c r="G17" s="21" t="s">
        <v>869</v>
      </c>
      <c r="H17" s="8" t="s">
        <v>155</v>
      </c>
      <c r="I17" s="8" t="s">
        <v>1000</v>
      </c>
      <c r="J17" s="91" t="s">
        <v>1001</v>
      </c>
      <c r="K17" s="8" t="str">
        <f>"2101,5000"</f>
        <v>2101,5000</v>
      </c>
      <c r="L17" s="9" t="s">
        <v>141</v>
      </c>
    </row>
    <row r="18" spans="1:12" ht="12.75">
      <c r="A18" s="34" t="s">
        <v>862</v>
      </c>
      <c r="B18" s="54" t="s">
        <v>1002</v>
      </c>
      <c r="C18" s="6" t="s">
        <v>1003</v>
      </c>
      <c r="D18" s="6" t="s">
        <v>1004</v>
      </c>
      <c r="E18" s="6" t="str">
        <f>"1,2068"</f>
        <v>1,2068</v>
      </c>
      <c r="F18" s="6" t="s">
        <v>31</v>
      </c>
      <c r="G18" s="6" t="s">
        <v>32</v>
      </c>
      <c r="H18" s="5" t="s">
        <v>336</v>
      </c>
      <c r="I18" s="5" t="s">
        <v>1005</v>
      </c>
      <c r="J18" s="92" t="s">
        <v>1006</v>
      </c>
      <c r="K18" s="5" t="str">
        <f>"1267,1400"</f>
        <v>1267,1400</v>
      </c>
      <c r="L18" s="6" t="s">
        <v>89</v>
      </c>
    </row>
    <row r="19" spans="1:12" ht="12.75">
      <c r="A19" s="34" t="s">
        <v>861</v>
      </c>
      <c r="B19" s="56" t="s">
        <v>547</v>
      </c>
      <c r="C19" s="12" t="s">
        <v>1007</v>
      </c>
      <c r="D19" s="12" t="s">
        <v>360</v>
      </c>
      <c r="E19" s="12" t="str">
        <f>"1,1336"</f>
        <v>1,1336</v>
      </c>
      <c r="F19" s="12" t="s">
        <v>31</v>
      </c>
      <c r="G19" s="12" t="s">
        <v>369</v>
      </c>
      <c r="H19" s="11" t="s">
        <v>155</v>
      </c>
      <c r="I19" s="11" t="s">
        <v>996</v>
      </c>
      <c r="J19" s="93" t="s">
        <v>1008</v>
      </c>
      <c r="K19" s="11" t="str">
        <f>"2128,2206"</f>
        <v>2128,2206</v>
      </c>
      <c r="L19" s="12" t="s">
        <v>550</v>
      </c>
    </row>
    <row r="20" spans="1:12" ht="12.75">
      <c r="A20" s="34"/>
      <c r="B20" s="57"/>
      <c r="C20" s="1"/>
      <c r="D20" s="1"/>
      <c r="E20" s="1"/>
      <c r="F20" s="4"/>
      <c r="G20" s="4"/>
      <c r="H20" s="1"/>
      <c r="I20" s="1"/>
      <c r="J20" s="90"/>
      <c r="K20" s="1"/>
      <c r="L20" s="4"/>
    </row>
    <row r="21" spans="1:12" ht="15.75">
      <c r="A21" s="34"/>
      <c r="B21" s="142" t="s">
        <v>66</v>
      </c>
      <c r="C21" s="140"/>
      <c r="D21" s="140"/>
      <c r="E21" s="140"/>
      <c r="F21" s="140"/>
      <c r="G21" s="140"/>
      <c r="H21" s="140"/>
      <c r="I21" s="140"/>
      <c r="J21" s="140"/>
      <c r="K21" s="140"/>
      <c r="L21" s="4"/>
    </row>
    <row r="22" spans="1:12" ht="12.75">
      <c r="A22" s="34" t="s">
        <v>861</v>
      </c>
      <c r="B22" s="54" t="s">
        <v>588</v>
      </c>
      <c r="C22" s="6" t="s">
        <v>589</v>
      </c>
      <c r="D22" s="6" t="s">
        <v>584</v>
      </c>
      <c r="E22" s="6" t="str">
        <f>"0,9878"</f>
        <v>0,9878</v>
      </c>
      <c r="F22" s="6" t="s">
        <v>31</v>
      </c>
      <c r="G22" s="6" t="s">
        <v>590</v>
      </c>
      <c r="H22" s="5" t="s">
        <v>348</v>
      </c>
      <c r="I22" s="5" t="s">
        <v>1009</v>
      </c>
      <c r="J22" s="92" t="s">
        <v>1010</v>
      </c>
      <c r="K22" s="5" t="str">
        <f>"2420,1100"</f>
        <v>2420,1100</v>
      </c>
      <c r="L22" s="6" t="s">
        <v>591</v>
      </c>
    </row>
    <row r="23" spans="1:12" ht="12.75">
      <c r="A23" s="34"/>
      <c r="B23" s="57"/>
      <c r="C23" s="1"/>
      <c r="D23" s="1"/>
      <c r="E23" s="1"/>
      <c r="F23" s="4"/>
      <c r="G23" s="4"/>
      <c r="H23" s="1"/>
      <c r="I23" s="1"/>
      <c r="J23" s="90"/>
      <c r="K23" s="1"/>
      <c r="L23" s="4"/>
    </row>
    <row r="24" spans="1:12" ht="15.75">
      <c r="A24" s="34"/>
      <c r="B24" s="142" t="s">
        <v>77</v>
      </c>
      <c r="C24" s="140"/>
      <c r="D24" s="140"/>
      <c r="E24" s="140"/>
      <c r="F24" s="140"/>
      <c r="G24" s="140"/>
      <c r="H24" s="140"/>
      <c r="I24" s="140"/>
      <c r="J24" s="140"/>
      <c r="K24" s="140"/>
      <c r="L24" s="4"/>
    </row>
    <row r="25" spans="1:12" ht="12.75">
      <c r="A25" s="34" t="s">
        <v>861</v>
      </c>
      <c r="B25" s="54" t="s">
        <v>629</v>
      </c>
      <c r="C25" s="6" t="s">
        <v>630</v>
      </c>
      <c r="D25" s="6" t="s">
        <v>232</v>
      </c>
      <c r="E25" s="6" t="str">
        <f>"0,9158"</f>
        <v>0,9158</v>
      </c>
      <c r="F25" s="6" t="s">
        <v>31</v>
      </c>
      <c r="G25" s="6" t="s">
        <v>590</v>
      </c>
      <c r="H25" s="5" t="s">
        <v>148</v>
      </c>
      <c r="I25" s="5" t="s">
        <v>1011</v>
      </c>
      <c r="J25" s="92" t="s">
        <v>1012</v>
      </c>
      <c r="K25" s="5" t="str">
        <f>"2014,7599"</f>
        <v>2014,7599</v>
      </c>
      <c r="L25" s="6" t="s">
        <v>591</v>
      </c>
    </row>
    <row r="26" spans="1:12" ht="12.75">
      <c r="A26" s="34"/>
      <c r="B26" s="57"/>
      <c r="C26" s="1"/>
      <c r="D26" s="1"/>
      <c r="E26" s="1"/>
      <c r="F26" s="4"/>
      <c r="G26" s="4"/>
      <c r="H26" s="1"/>
      <c r="I26" s="1"/>
      <c r="J26" s="90"/>
      <c r="K26" s="1"/>
      <c r="L26" s="4"/>
    </row>
    <row r="27" spans="1:12" ht="15.75">
      <c r="A27" s="34"/>
      <c r="B27" s="142" t="s">
        <v>96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4"/>
    </row>
    <row r="28" spans="1:12" ht="12.75">
      <c r="A28" s="34" t="s">
        <v>861</v>
      </c>
      <c r="B28" s="55" t="s">
        <v>645</v>
      </c>
      <c r="C28" s="9" t="s">
        <v>646</v>
      </c>
      <c r="D28" s="9" t="s">
        <v>647</v>
      </c>
      <c r="E28" s="9" t="str">
        <f>"0,8886"</f>
        <v>0,8886</v>
      </c>
      <c r="F28" s="9" t="s">
        <v>1013</v>
      </c>
      <c r="G28" s="19" t="s">
        <v>875</v>
      </c>
      <c r="H28" s="8" t="s">
        <v>151</v>
      </c>
      <c r="I28" s="8" t="s">
        <v>1014</v>
      </c>
      <c r="J28" s="91" t="s">
        <v>1015</v>
      </c>
      <c r="K28" s="8" t="str">
        <f>"1270,6980"</f>
        <v>1270,6980</v>
      </c>
      <c r="L28" s="9" t="s">
        <v>89</v>
      </c>
    </row>
    <row r="29" spans="1:12" ht="12.75">
      <c r="A29" s="34" t="s">
        <v>861</v>
      </c>
      <c r="B29" s="54" t="s">
        <v>645</v>
      </c>
      <c r="C29" s="6" t="s">
        <v>1016</v>
      </c>
      <c r="D29" s="6" t="s">
        <v>647</v>
      </c>
      <c r="E29" s="6" t="str">
        <f>"0,8886"</f>
        <v>0,8886</v>
      </c>
      <c r="F29" s="6" t="s">
        <v>1013</v>
      </c>
      <c r="G29" s="19" t="s">
        <v>875</v>
      </c>
      <c r="H29" s="5" t="s">
        <v>151</v>
      </c>
      <c r="I29" s="5" t="s">
        <v>1014</v>
      </c>
      <c r="J29" s="92" t="s">
        <v>1015</v>
      </c>
      <c r="K29" s="5" t="str">
        <f>"1310,0896"</f>
        <v>1310,0896</v>
      </c>
      <c r="L29" s="6" t="s">
        <v>89</v>
      </c>
    </row>
    <row r="30" spans="1:12" ht="12.75">
      <c r="A30" s="34"/>
      <c r="B30" s="57"/>
      <c r="C30" s="1"/>
      <c r="D30" s="1"/>
      <c r="E30" s="1"/>
      <c r="F30" s="4"/>
      <c r="G30" s="4"/>
      <c r="H30" s="1"/>
      <c r="I30" s="1"/>
      <c r="J30" s="90"/>
      <c r="K30" s="1"/>
      <c r="L30" s="4"/>
    </row>
    <row r="31" spans="1:12" ht="12.75">
      <c r="A31" s="34"/>
      <c r="B31" s="57"/>
      <c r="C31" s="1"/>
      <c r="D31" s="1"/>
      <c r="E31" s="1"/>
      <c r="F31" s="4"/>
      <c r="G31" s="4"/>
      <c r="H31" s="1"/>
      <c r="I31" s="1"/>
      <c r="J31" s="90"/>
      <c r="K31" s="1"/>
      <c r="L31" s="4"/>
    </row>
    <row r="32" spans="1:12" ht="12.75">
      <c r="A32" s="34"/>
      <c r="B32" s="57"/>
      <c r="C32" s="1"/>
      <c r="D32" s="1"/>
      <c r="E32" s="1"/>
      <c r="F32" s="4"/>
      <c r="G32" s="4"/>
      <c r="H32" s="1"/>
      <c r="I32" s="1"/>
      <c r="J32" s="90"/>
      <c r="K32" s="1"/>
      <c r="L32" s="4"/>
    </row>
  </sheetData>
  <sheetProtection/>
  <mergeCells count="28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B5:K5"/>
    <mergeCell ref="B9:L10"/>
    <mergeCell ref="B11:B12"/>
    <mergeCell ref="C11:C12"/>
    <mergeCell ref="D11:D12"/>
    <mergeCell ref="E11:E12"/>
    <mergeCell ref="F11:F12"/>
    <mergeCell ref="G11:G12"/>
    <mergeCell ref="H11:I11"/>
    <mergeCell ref="B24:K24"/>
    <mergeCell ref="B27:K27"/>
    <mergeCell ref="J11:J12"/>
    <mergeCell ref="K11:K12"/>
    <mergeCell ref="L11:L12"/>
    <mergeCell ref="B13:K13"/>
    <mergeCell ref="B16:K16"/>
    <mergeCell ref="B21:K21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7">
      <selection activeCell="P14" sqref="P14"/>
    </sheetView>
  </sheetViews>
  <sheetFormatPr defaultColWidth="8.75390625" defaultRowHeight="12.75"/>
  <cols>
    <col min="1" max="1" width="4.125" style="0" customWidth="1"/>
    <col min="2" max="2" width="23.875" style="0" customWidth="1"/>
    <col min="3" max="3" width="26.875" style="0" customWidth="1"/>
    <col min="4" max="4" width="11.875" style="0" customWidth="1"/>
    <col min="5" max="5" width="15.375" style="0" customWidth="1"/>
    <col min="6" max="6" width="38.375" style="0" customWidth="1"/>
    <col min="7" max="9" width="8.75390625" style="0" customWidth="1"/>
    <col min="10" max="10" width="10.75390625" style="0" customWidth="1"/>
    <col min="11" max="11" width="8.75390625" style="0" customWidth="1"/>
    <col min="12" max="12" width="11.75390625" style="0" customWidth="1"/>
    <col min="13" max="13" width="8.75390625" style="0" customWidth="1"/>
    <col min="14" max="14" width="7.125" style="0" customWidth="1"/>
    <col min="15" max="15" width="17.00390625" style="0" customWidth="1"/>
    <col min="16" max="16" width="21.25390625" style="0" customWidth="1"/>
  </cols>
  <sheetData>
    <row r="1" spans="1:16" ht="12.75">
      <c r="A1" s="34"/>
      <c r="B1" s="129" t="s">
        <v>1070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2" spans="1:16" ht="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1:16" ht="13.5">
      <c r="A3" s="2"/>
      <c r="B3" s="135" t="s">
        <v>0</v>
      </c>
      <c r="C3" s="137" t="s">
        <v>1059</v>
      </c>
      <c r="D3" s="125" t="s">
        <v>1060</v>
      </c>
      <c r="E3" s="145" t="s">
        <v>7</v>
      </c>
      <c r="F3" s="145" t="s">
        <v>1061</v>
      </c>
      <c r="G3" s="147" t="s">
        <v>1062</v>
      </c>
      <c r="H3" s="148"/>
      <c r="I3" s="148"/>
      <c r="J3" s="149"/>
      <c r="K3" s="147" t="s">
        <v>1063</v>
      </c>
      <c r="L3" s="148"/>
      <c r="M3" s="148"/>
      <c r="N3" s="149"/>
      <c r="O3" s="145" t="s">
        <v>1064</v>
      </c>
      <c r="P3" s="127" t="s">
        <v>5</v>
      </c>
    </row>
    <row r="4" spans="1:16" ht="15" thickBot="1">
      <c r="A4" s="2"/>
      <c r="B4" s="136"/>
      <c r="C4" s="126"/>
      <c r="D4" s="126"/>
      <c r="E4" s="146"/>
      <c r="F4" s="146"/>
      <c r="G4" s="3">
        <v>1</v>
      </c>
      <c r="H4" s="3">
        <v>2</v>
      </c>
      <c r="I4" s="3">
        <v>3</v>
      </c>
      <c r="J4" s="3" t="s">
        <v>1018</v>
      </c>
      <c r="K4" s="3" t="s">
        <v>925</v>
      </c>
      <c r="L4" s="3" t="s">
        <v>1018</v>
      </c>
      <c r="M4" s="152" t="s">
        <v>924</v>
      </c>
      <c r="N4" s="153"/>
      <c r="O4" s="146"/>
      <c r="P4" s="128"/>
    </row>
    <row r="5" spans="2:19" ht="15.75">
      <c r="B5" s="154" t="s">
        <v>1065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2:19" ht="15.75">
      <c r="B6" s="142" t="s">
        <v>1019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</row>
    <row r="7" spans="1:16" ht="12.75">
      <c r="A7" s="102">
        <v>1</v>
      </c>
      <c r="B7" s="19" t="s">
        <v>1071</v>
      </c>
      <c r="C7" s="19" t="s">
        <v>1072</v>
      </c>
      <c r="D7" s="19" t="s">
        <v>1073</v>
      </c>
      <c r="E7" s="19" t="s">
        <v>1050</v>
      </c>
      <c r="F7" s="19" t="s">
        <v>869</v>
      </c>
      <c r="G7" s="103">
        <v>115</v>
      </c>
      <c r="H7" s="109">
        <v>120</v>
      </c>
      <c r="I7" s="109">
        <v>120</v>
      </c>
      <c r="J7" s="110" t="s">
        <v>1074</v>
      </c>
      <c r="K7" s="103">
        <v>70</v>
      </c>
      <c r="L7" s="104">
        <v>28</v>
      </c>
      <c r="M7" s="150">
        <v>1960</v>
      </c>
      <c r="N7" s="151"/>
      <c r="O7" s="105">
        <v>40</v>
      </c>
      <c r="P7" s="104" t="s">
        <v>888</v>
      </c>
    </row>
    <row r="8" spans="1:16" ht="12.75">
      <c r="A8" s="102">
        <v>1</v>
      </c>
      <c r="B8" s="19" t="s">
        <v>520</v>
      </c>
      <c r="C8" s="19" t="s">
        <v>1075</v>
      </c>
      <c r="D8" s="19" t="s">
        <v>522</v>
      </c>
      <c r="E8" s="19" t="s">
        <v>897</v>
      </c>
      <c r="F8" s="19" t="s">
        <v>1057</v>
      </c>
      <c r="G8" s="103">
        <v>90</v>
      </c>
      <c r="H8" s="103">
        <v>95</v>
      </c>
      <c r="I8" s="103">
        <v>97.5</v>
      </c>
      <c r="J8" s="103">
        <v>97.5</v>
      </c>
      <c r="K8" s="103">
        <v>70</v>
      </c>
      <c r="L8" s="104">
        <v>19</v>
      </c>
      <c r="M8" s="150">
        <v>1330</v>
      </c>
      <c r="N8" s="151"/>
      <c r="O8" s="105">
        <v>40</v>
      </c>
      <c r="P8" s="104" t="s">
        <v>899</v>
      </c>
    </row>
    <row r="9" spans="1:16" ht="12.75">
      <c r="A9" s="102"/>
      <c r="B9" s="111"/>
      <c r="C9" s="111"/>
      <c r="D9" s="111"/>
      <c r="E9" s="111"/>
      <c r="F9" s="111"/>
      <c r="G9" s="112"/>
      <c r="H9" s="112"/>
      <c r="I9" s="112"/>
      <c r="J9" s="112"/>
      <c r="K9" s="112"/>
      <c r="L9" s="113"/>
      <c r="M9" s="114"/>
      <c r="N9" s="114"/>
      <c r="O9" s="113"/>
      <c r="P9" s="113"/>
    </row>
    <row r="10" spans="2:19" ht="15.75">
      <c r="B10" s="142" t="s">
        <v>1076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</row>
    <row r="11" spans="1:16" ht="12.75">
      <c r="A11" s="102">
        <v>1</v>
      </c>
      <c r="B11" s="19" t="s">
        <v>554</v>
      </c>
      <c r="C11" s="19" t="s">
        <v>1077</v>
      </c>
      <c r="D11" s="19" t="s">
        <v>556</v>
      </c>
      <c r="E11" s="19" t="s">
        <v>1050</v>
      </c>
      <c r="F11" s="19" t="s">
        <v>869</v>
      </c>
      <c r="G11" s="103">
        <v>110</v>
      </c>
      <c r="H11" s="103">
        <v>115</v>
      </c>
      <c r="I11" s="106">
        <v>122.5</v>
      </c>
      <c r="J11" s="103">
        <v>115</v>
      </c>
      <c r="K11" s="103">
        <v>80</v>
      </c>
      <c r="L11" s="104">
        <v>13</v>
      </c>
      <c r="M11" s="150">
        <v>1040</v>
      </c>
      <c r="N11" s="151"/>
      <c r="O11" s="105">
        <v>40</v>
      </c>
      <c r="P11" s="107" t="s">
        <v>888</v>
      </c>
    </row>
    <row r="12" spans="1:16" ht="12.75">
      <c r="A12" s="102"/>
      <c r="B12" s="111"/>
      <c r="C12" s="111"/>
      <c r="D12" s="111"/>
      <c r="E12" s="111"/>
      <c r="F12" s="111"/>
      <c r="G12" s="112"/>
      <c r="H12" s="112"/>
      <c r="I12" s="115"/>
      <c r="J12" s="112"/>
      <c r="K12" s="112"/>
      <c r="L12" s="113"/>
      <c r="M12" s="114"/>
      <c r="N12" s="114"/>
      <c r="O12" s="113"/>
      <c r="P12" s="113"/>
    </row>
    <row r="13" spans="1:19" ht="14.25" customHeight="1">
      <c r="A13" s="102"/>
      <c r="B13" s="142" t="s">
        <v>66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</row>
    <row r="14" spans="1:16" ht="14.25" customHeight="1">
      <c r="A14" s="102">
        <v>1</v>
      </c>
      <c r="B14" s="19" t="s">
        <v>558</v>
      </c>
      <c r="C14" s="19" t="s">
        <v>1078</v>
      </c>
      <c r="D14" s="19" t="s">
        <v>560</v>
      </c>
      <c r="E14" s="19" t="s">
        <v>1050</v>
      </c>
      <c r="F14" s="19" t="s">
        <v>869</v>
      </c>
      <c r="G14" s="103">
        <v>130</v>
      </c>
      <c r="H14" s="103">
        <v>145</v>
      </c>
      <c r="I14" s="103">
        <v>150</v>
      </c>
      <c r="J14" s="103">
        <v>150</v>
      </c>
      <c r="K14" s="103">
        <v>90</v>
      </c>
      <c r="L14" s="104">
        <v>19</v>
      </c>
      <c r="M14" s="150" t="s">
        <v>1079</v>
      </c>
      <c r="N14" s="151"/>
      <c r="O14" s="105">
        <v>40</v>
      </c>
      <c r="P14" s="19" t="s">
        <v>888</v>
      </c>
    </row>
    <row r="15" spans="1:16" ht="14.25" customHeight="1">
      <c r="A15" s="108">
        <v>1</v>
      </c>
      <c r="B15" s="19" t="s">
        <v>1080</v>
      </c>
      <c r="C15" s="19" t="s">
        <v>1081</v>
      </c>
      <c r="D15" s="19" t="s">
        <v>388</v>
      </c>
      <c r="E15" s="19" t="s">
        <v>1050</v>
      </c>
      <c r="F15" s="19" t="s">
        <v>1057</v>
      </c>
      <c r="G15" s="103">
        <v>120</v>
      </c>
      <c r="H15" s="106">
        <v>132.5</v>
      </c>
      <c r="I15" s="106">
        <v>132.5</v>
      </c>
      <c r="J15" s="103">
        <v>120</v>
      </c>
      <c r="K15" s="103">
        <v>90</v>
      </c>
      <c r="L15" s="104">
        <v>18</v>
      </c>
      <c r="M15" s="150">
        <v>1620</v>
      </c>
      <c r="N15" s="151"/>
      <c r="O15" s="105">
        <v>40</v>
      </c>
      <c r="P15" s="19" t="s">
        <v>899</v>
      </c>
    </row>
    <row r="16" spans="1:16" ht="14.25" customHeight="1">
      <c r="A16" s="108"/>
      <c r="B16" s="111"/>
      <c r="C16" s="111"/>
      <c r="D16" s="111"/>
      <c r="E16" s="111"/>
      <c r="F16" s="111"/>
      <c r="G16" s="112"/>
      <c r="H16" s="115"/>
      <c r="I16" s="115"/>
      <c r="J16" s="112"/>
      <c r="K16" s="112"/>
      <c r="L16" s="113"/>
      <c r="M16" s="114"/>
      <c r="N16" s="114"/>
      <c r="O16" s="113"/>
      <c r="P16" s="111"/>
    </row>
    <row r="17" spans="1:19" ht="15.75">
      <c r="A17" s="102"/>
      <c r="B17" s="142" t="s">
        <v>77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6" ht="12.75">
      <c r="A18" s="102">
        <v>1</v>
      </c>
      <c r="B18" s="19" t="s">
        <v>1082</v>
      </c>
      <c r="C18" s="19" t="s">
        <v>1083</v>
      </c>
      <c r="D18" s="19" t="s">
        <v>1084</v>
      </c>
      <c r="E18" s="19" t="s">
        <v>1116</v>
      </c>
      <c r="F18" s="19" t="s">
        <v>1085</v>
      </c>
      <c r="G18" s="103">
        <v>135</v>
      </c>
      <c r="H18" s="103">
        <v>140</v>
      </c>
      <c r="I18" s="103">
        <v>145</v>
      </c>
      <c r="J18" s="103" t="s">
        <v>1086</v>
      </c>
      <c r="K18" s="103">
        <v>100</v>
      </c>
      <c r="L18" s="104">
        <v>21</v>
      </c>
      <c r="M18" s="150">
        <v>2100</v>
      </c>
      <c r="N18" s="151"/>
      <c r="O18" s="105">
        <v>40</v>
      </c>
      <c r="P18" s="104" t="s">
        <v>813</v>
      </c>
    </row>
    <row r="19" spans="1:16" ht="12.75">
      <c r="A19" s="102"/>
      <c r="B19" s="111"/>
      <c r="C19" s="111"/>
      <c r="D19" s="111"/>
      <c r="E19" s="111"/>
      <c r="F19" s="111"/>
      <c r="G19" s="112"/>
      <c r="H19" s="112"/>
      <c r="I19" s="112"/>
      <c r="J19" s="112"/>
      <c r="K19" s="112"/>
      <c r="L19" s="113"/>
      <c r="M19" s="114"/>
      <c r="N19" s="114"/>
      <c r="O19" s="113"/>
      <c r="P19" s="113"/>
    </row>
    <row r="20" spans="2:19" ht="15.75">
      <c r="B20" s="154" t="s">
        <v>1067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</row>
    <row r="21" spans="1:19" ht="15.75">
      <c r="A21" s="102"/>
      <c r="B21" s="142" t="s">
        <v>1066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</row>
    <row r="22" spans="1:16" ht="12.75">
      <c r="A22" s="102">
        <v>1</v>
      </c>
      <c r="B22" s="19" t="s">
        <v>1087</v>
      </c>
      <c r="C22" s="19" t="s">
        <v>1088</v>
      </c>
      <c r="D22" s="19" t="s">
        <v>1089</v>
      </c>
      <c r="E22" s="19" t="s">
        <v>1050</v>
      </c>
      <c r="F22" s="19" t="s">
        <v>1068</v>
      </c>
      <c r="G22" s="109">
        <v>200</v>
      </c>
      <c r="H22" s="103">
        <v>200</v>
      </c>
      <c r="I22" s="103">
        <v>210</v>
      </c>
      <c r="J22" s="103">
        <v>210</v>
      </c>
      <c r="K22" s="103">
        <v>120</v>
      </c>
      <c r="L22" s="104">
        <v>26</v>
      </c>
      <c r="M22" s="150">
        <v>3120</v>
      </c>
      <c r="N22" s="151"/>
      <c r="O22" s="105">
        <v>40</v>
      </c>
      <c r="P22" s="104" t="s">
        <v>1090</v>
      </c>
    </row>
    <row r="23" spans="1:16" ht="12.75">
      <c r="A23" s="102"/>
      <c r="B23" s="111"/>
      <c r="C23" s="111"/>
      <c r="D23" s="111"/>
      <c r="E23" s="111"/>
      <c r="F23" s="111"/>
      <c r="G23" s="116"/>
      <c r="H23" s="112"/>
      <c r="I23" s="112"/>
      <c r="J23" s="112"/>
      <c r="K23" s="112"/>
      <c r="L23" s="113"/>
      <c r="M23" s="114"/>
      <c r="N23" s="114"/>
      <c r="O23" s="113"/>
      <c r="P23" s="113"/>
    </row>
    <row r="24" spans="2:19" ht="15.75">
      <c r="B24" s="142" t="s">
        <v>66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</row>
    <row r="25" spans="1:16" ht="12.75">
      <c r="A25" s="102">
        <v>1</v>
      </c>
      <c r="B25" s="19" t="s">
        <v>1090</v>
      </c>
      <c r="C25" s="19" t="s">
        <v>1091</v>
      </c>
      <c r="D25" s="19" t="s">
        <v>1092</v>
      </c>
      <c r="E25" s="19" t="s">
        <v>1050</v>
      </c>
      <c r="F25" s="19" t="s">
        <v>1068</v>
      </c>
      <c r="G25" s="103">
        <v>280</v>
      </c>
      <c r="H25" s="103">
        <v>300</v>
      </c>
      <c r="I25" s="109">
        <v>310</v>
      </c>
      <c r="J25" s="103">
        <v>300</v>
      </c>
      <c r="K25" s="103">
        <v>135</v>
      </c>
      <c r="L25" s="104">
        <v>44</v>
      </c>
      <c r="M25" s="150">
        <v>5940</v>
      </c>
      <c r="N25" s="151"/>
      <c r="O25" s="105">
        <v>40</v>
      </c>
      <c r="P25" s="104" t="s">
        <v>899</v>
      </c>
    </row>
    <row r="26" spans="1:16" ht="12.75">
      <c r="A26" s="102"/>
      <c r="B26" s="111"/>
      <c r="C26" s="111"/>
      <c r="D26" s="111"/>
      <c r="E26" s="111"/>
      <c r="F26" s="111"/>
      <c r="G26" s="112"/>
      <c r="H26" s="112"/>
      <c r="I26" s="116"/>
      <c r="J26" s="112"/>
      <c r="K26" s="112"/>
      <c r="L26" s="113"/>
      <c r="M26" s="114"/>
      <c r="N26" s="114"/>
      <c r="O26" s="113"/>
      <c r="P26" s="113"/>
    </row>
    <row r="27" spans="2:19" ht="15.75">
      <c r="B27" s="154" t="s">
        <v>1069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</row>
    <row r="28" spans="1:19" ht="15.75">
      <c r="A28" s="34"/>
      <c r="B28" s="142" t="s">
        <v>96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</row>
    <row r="29" spans="1:16" ht="12.75">
      <c r="A29" s="102">
        <v>1</v>
      </c>
      <c r="B29" s="19" t="s">
        <v>1093</v>
      </c>
      <c r="C29" s="19" t="s">
        <v>1094</v>
      </c>
      <c r="D29" s="19" t="s">
        <v>655</v>
      </c>
      <c r="E29" s="19" t="s">
        <v>1050</v>
      </c>
      <c r="F29" s="19" t="s">
        <v>1095</v>
      </c>
      <c r="G29" s="103">
        <v>190</v>
      </c>
      <c r="H29" s="109">
        <v>200</v>
      </c>
      <c r="I29" s="109">
        <v>200</v>
      </c>
      <c r="J29" s="103">
        <v>190</v>
      </c>
      <c r="K29" s="103">
        <v>100</v>
      </c>
      <c r="L29" s="104">
        <v>34</v>
      </c>
      <c r="M29" s="150">
        <v>3400</v>
      </c>
      <c r="N29" s="151"/>
      <c r="O29" s="105">
        <v>40</v>
      </c>
      <c r="P29" s="104" t="s">
        <v>899</v>
      </c>
    </row>
    <row r="30" spans="1:4" ht="13.5">
      <c r="A30" s="34"/>
      <c r="B30" s="60"/>
      <c r="C30" s="16"/>
      <c r="D30" s="1"/>
    </row>
  </sheetData>
  <sheetProtection/>
  <mergeCells count="30">
    <mergeCell ref="M29:N29"/>
    <mergeCell ref="B27:S27"/>
    <mergeCell ref="B28:S28"/>
    <mergeCell ref="B21:S21"/>
    <mergeCell ref="M22:N22"/>
    <mergeCell ref="B24:S24"/>
    <mergeCell ref="M25:N25"/>
    <mergeCell ref="B20:S20"/>
    <mergeCell ref="B17:S17"/>
    <mergeCell ref="M18:N18"/>
    <mergeCell ref="B13:S13"/>
    <mergeCell ref="M14:N14"/>
    <mergeCell ref="M15:N15"/>
    <mergeCell ref="B6:S6"/>
    <mergeCell ref="M7:N7"/>
    <mergeCell ref="M8:N8"/>
    <mergeCell ref="B10:S10"/>
    <mergeCell ref="M11:N11"/>
    <mergeCell ref="P3:P4"/>
    <mergeCell ref="M4:N4"/>
    <mergeCell ref="B5:S5"/>
    <mergeCell ref="B1:P2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C19" sqref="C19"/>
    </sheetView>
  </sheetViews>
  <sheetFormatPr defaultColWidth="8.75390625" defaultRowHeight="12.75"/>
  <cols>
    <col min="1" max="1" width="5.375" style="35" customWidth="1"/>
    <col min="2" max="2" width="21.625" style="18" customWidth="1"/>
    <col min="3" max="3" width="32.00390625" style="18" customWidth="1"/>
    <col min="4" max="4" width="13.375" style="18" bestFit="1" customWidth="1"/>
    <col min="5" max="5" width="8.375" style="18" bestFit="1" customWidth="1"/>
    <col min="6" max="6" width="22.75390625" style="18" bestFit="1" customWidth="1"/>
    <col min="7" max="7" width="31.75390625" style="18" bestFit="1" customWidth="1"/>
    <col min="8" max="10" width="5.625" style="18" bestFit="1" customWidth="1"/>
    <col min="11" max="11" width="4.625" style="18" bestFit="1" customWidth="1"/>
    <col min="12" max="12" width="7.875" style="37" bestFit="1" customWidth="1"/>
    <col min="13" max="13" width="8.625" style="18" bestFit="1" customWidth="1"/>
    <col min="14" max="14" width="23.25390625" style="18" customWidth="1"/>
  </cols>
  <sheetData>
    <row r="1" spans="1:14" s="1" customFormat="1" ht="15" customHeight="1">
      <c r="A1" s="34"/>
      <c r="B1" s="129" t="s">
        <v>903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2:14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2</v>
      </c>
      <c r="I3" s="125"/>
      <c r="J3" s="125"/>
      <c r="K3" s="125"/>
      <c r="L3" s="125" t="s">
        <v>4</v>
      </c>
      <c r="M3" s="125" t="s">
        <v>6</v>
      </c>
      <c r="N3" s="127" t="s">
        <v>5</v>
      </c>
    </row>
    <row r="4" spans="2:14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126"/>
      <c r="M4" s="126"/>
      <c r="N4" s="128"/>
    </row>
    <row r="5" spans="2:13" ht="15.75">
      <c r="B5" s="139" t="s">
        <v>142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35">
        <v>1</v>
      </c>
      <c r="B6" s="19" t="s">
        <v>741</v>
      </c>
      <c r="C6" s="19" t="s">
        <v>742</v>
      </c>
      <c r="D6" s="19" t="s">
        <v>743</v>
      </c>
      <c r="E6" s="19" t="str">
        <f>"1,5042"</f>
        <v>1,5042</v>
      </c>
      <c r="F6" s="19" t="s">
        <v>31</v>
      </c>
      <c r="G6" s="19" t="s">
        <v>32</v>
      </c>
      <c r="H6" s="39" t="s">
        <v>36</v>
      </c>
      <c r="I6" s="39" t="s">
        <v>151</v>
      </c>
      <c r="J6" s="39" t="s">
        <v>224</v>
      </c>
      <c r="K6" s="20"/>
      <c r="L6" s="74">
        <v>117.5</v>
      </c>
      <c r="M6" s="19" t="str">
        <f>"176,7435"</f>
        <v>176,7435</v>
      </c>
      <c r="N6" s="19" t="s">
        <v>744</v>
      </c>
    </row>
    <row r="8" spans="2:13" ht="15.75">
      <c r="B8" s="140" t="s">
        <v>66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4" ht="12.75">
      <c r="A9" s="35">
        <v>1</v>
      </c>
      <c r="B9" s="19" t="s">
        <v>745</v>
      </c>
      <c r="C9" s="19" t="s">
        <v>746</v>
      </c>
      <c r="D9" s="19" t="s">
        <v>388</v>
      </c>
      <c r="E9" s="19" t="str">
        <f>"0,9830"</f>
        <v>0,9830</v>
      </c>
      <c r="F9" s="19" t="s">
        <v>31</v>
      </c>
      <c r="G9" s="19" t="s">
        <v>32</v>
      </c>
      <c r="H9" s="39" t="s">
        <v>747</v>
      </c>
      <c r="I9" s="39" t="s">
        <v>34</v>
      </c>
      <c r="J9" s="38" t="s">
        <v>148</v>
      </c>
      <c r="K9" s="20"/>
      <c r="L9" s="74">
        <v>90</v>
      </c>
      <c r="M9" s="19" t="str">
        <f>"88,4700"</f>
        <v>88,4700</v>
      </c>
      <c r="N9" s="19" t="s">
        <v>744</v>
      </c>
    </row>
  </sheetData>
  <sheetProtection/>
  <mergeCells count="13">
    <mergeCell ref="F3:F4"/>
    <mergeCell ref="G3:G4"/>
    <mergeCell ref="H3:K3"/>
    <mergeCell ref="L3:L4"/>
    <mergeCell ref="M3:M4"/>
    <mergeCell ref="N3:N4"/>
    <mergeCell ref="B5:M5"/>
    <mergeCell ref="B8:M8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G3" sqref="G3:G4"/>
    </sheetView>
  </sheetViews>
  <sheetFormatPr defaultColWidth="8.75390625" defaultRowHeight="12.75"/>
  <cols>
    <col min="1" max="1" width="4.375" style="35" customWidth="1"/>
    <col min="2" max="2" width="28.875" style="18" customWidth="1"/>
    <col min="3" max="3" width="26.375" style="18" customWidth="1"/>
    <col min="4" max="4" width="13.375" style="18" bestFit="1" customWidth="1"/>
    <col min="5" max="5" width="8.375" style="18" bestFit="1" customWidth="1"/>
    <col min="6" max="6" width="22.75390625" style="18" bestFit="1" customWidth="1"/>
    <col min="7" max="7" width="28.125" style="18" bestFit="1" customWidth="1"/>
    <col min="8" max="10" width="5.625" style="18" bestFit="1" customWidth="1"/>
    <col min="11" max="11" width="4.625" style="18" bestFit="1" customWidth="1"/>
    <col min="12" max="12" width="7.875" style="37" bestFit="1" customWidth="1"/>
    <col min="13" max="13" width="8.625" style="18" bestFit="1" customWidth="1"/>
    <col min="14" max="14" width="16.375" style="18" customWidth="1"/>
  </cols>
  <sheetData>
    <row r="1" spans="1:14" s="1" customFormat="1" ht="15" customHeight="1">
      <c r="A1" s="34"/>
      <c r="B1" s="129" t="s">
        <v>855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2:14" s="2" customFormat="1" ht="12.75" customHeight="1">
      <c r="B3" s="158" t="s">
        <v>0</v>
      </c>
      <c r="C3" s="160" t="s">
        <v>10</v>
      </c>
      <c r="D3" s="145" t="s">
        <v>11</v>
      </c>
      <c r="E3" s="145" t="s">
        <v>12</v>
      </c>
      <c r="F3" s="145" t="s">
        <v>7</v>
      </c>
      <c r="G3" s="145" t="s">
        <v>867</v>
      </c>
      <c r="H3" s="147" t="s">
        <v>2</v>
      </c>
      <c r="I3" s="148"/>
      <c r="J3" s="148"/>
      <c r="K3" s="149"/>
      <c r="L3" s="145" t="s">
        <v>4</v>
      </c>
      <c r="M3" s="145" t="s">
        <v>6</v>
      </c>
      <c r="N3" s="155" t="s">
        <v>5</v>
      </c>
    </row>
    <row r="4" spans="2:14" s="2" customFormat="1" ht="33.75" customHeight="1" thickBot="1">
      <c r="B4" s="159"/>
      <c r="C4" s="146"/>
      <c r="D4" s="146"/>
      <c r="E4" s="146"/>
      <c r="F4" s="146"/>
      <c r="G4" s="146"/>
      <c r="H4" s="3">
        <v>1</v>
      </c>
      <c r="I4" s="3">
        <v>2</v>
      </c>
      <c r="J4" s="3">
        <v>3</v>
      </c>
      <c r="K4" s="3" t="s">
        <v>8</v>
      </c>
      <c r="L4" s="146"/>
      <c r="M4" s="146"/>
      <c r="N4" s="156"/>
    </row>
    <row r="5" spans="2:13" ht="15.75">
      <c r="B5" s="157" t="s">
        <v>27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4" ht="12.75">
      <c r="A6" s="35">
        <v>1</v>
      </c>
      <c r="B6" s="19" t="s">
        <v>739</v>
      </c>
      <c r="C6" s="19" t="s">
        <v>740</v>
      </c>
      <c r="D6" s="19" t="s">
        <v>560</v>
      </c>
      <c r="E6" s="19" t="str">
        <f>"1,0448"</f>
        <v>1,0448</v>
      </c>
      <c r="F6" s="19" t="s">
        <v>31</v>
      </c>
      <c r="G6" s="19" t="s">
        <v>32</v>
      </c>
      <c r="H6" s="39" t="s">
        <v>644</v>
      </c>
      <c r="I6" s="39" t="s">
        <v>62</v>
      </c>
      <c r="J6" s="39" t="s">
        <v>63</v>
      </c>
      <c r="K6" s="20"/>
      <c r="L6" s="74">
        <v>225</v>
      </c>
      <c r="M6" s="19" t="str">
        <f>"235,0800"</f>
        <v>235,0800</v>
      </c>
      <c r="N6" s="19" t="s">
        <v>89</v>
      </c>
    </row>
    <row r="8" ht="12.75">
      <c r="B8" s="52"/>
    </row>
  </sheetData>
  <sheetProtection/>
  <mergeCells count="1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G3" sqref="G3:G4"/>
    </sheetView>
  </sheetViews>
  <sheetFormatPr defaultColWidth="8.75390625" defaultRowHeight="12.75"/>
  <cols>
    <col min="1" max="1" width="5.00390625" style="35" customWidth="1"/>
    <col min="2" max="2" width="21.25390625" style="18" customWidth="1"/>
    <col min="3" max="3" width="26.00390625" style="18" bestFit="1" customWidth="1"/>
    <col min="4" max="4" width="13.375" style="18" bestFit="1" customWidth="1"/>
    <col min="5" max="5" width="8.375" style="18" bestFit="1" customWidth="1"/>
    <col min="6" max="6" width="22.75390625" style="18" bestFit="1" customWidth="1"/>
    <col min="7" max="7" width="34.00390625" style="18" bestFit="1" customWidth="1"/>
    <col min="8" max="10" width="5.625" style="18" bestFit="1" customWidth="1"/>
    <col min="11" max="11" width="4.625" style="18" bestFit="1" customWidth="1"/>
    <col min="12" max="12" width="7.875" style="37" bestFit="1" customWidth="1"/>
    <col min="13" max="13" width="8.625" style="18" bestFit="1" customWidth="1"/>
    <col min="14" max="14" width="23.625" style="18" customWidth="1"/>
  </cols>
  <sheetData>
    <row r="1" spans="1:14" s="1" customFormat="1" ht="15" customHeight="1">
      <c r="A1" s="34"/>
      <c r="B1" s="129" t="s">
        <v>901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2:14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2</v>
      </c>
      <c r="I3" s="125"/>
      <c r="J3" s="125"/>
      <c r="K3" s="125"/>
      <c r="L3" s="125" t="s">
        <v>4</v>
      </c>
      <c r="M3" s="125" t="s">
        <v>6</v>
      </c>
      <c r="N3" s="127" t="s">
        <v>5</v>
      </c>
    </row>
    <row r="4" spans="2:14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126"/>
      <c r="M4" s="126"/>
      <c r="N4" s="128"/>
    </row>
    <row r="5" spans="2:13" ht="15.75">
      <c r="B5" s="139" t="s">
        <v>161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2:14" ht="12.75">
      <c r="B6" s="19" t="s">
        <v>396</v>
      </c>
      <c r="C6" s="19" t="s">
        <v>728</v>
      </c>
      <c r="D6" s="19" t="s">
        <v>729</v>
      </c>
      <c r="E6" s="19" t="str">
        <f>"1,2618"</f>
        <v>1,2618</v>
      </c>
      <c r="F6" s="19" t="s">
        <v>854</v>
      </c>
      <c r="G6" s="19" t="s">
        <v>82</v>
      </c>
      <c r="H6" s="38" t="s">
        <v>61</v>
      </c>
      <c r="I6" s="38" t="s">
        <v>563</v>
      </c>
      <c r="J6" s="38" t="s">
        <v>563</v>
      </c>
      <c r="K6" s="20"/>
      <c r="L6" s="36">
        <v>0</v>
      </c>
      <c r="M6" s="19" t="str">
        <f>"0,0000"</f>
        <v>0,0000</v>
      </c>
      <c r="N6" s="19" t="s">
        <v>399</v>
      </c>
    </row>
    <row r="8" spans="2:13" ht="15.75">
      <c r="B8" s="140" t="s">
        <v>177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4" ht="12.75">
      <c r="A9" s="35">
        <v>1</v>
      </c>
      <c r="B9" s="19" t="s">
        <v>730</v>
      </c>
      <c r="C9" s="19" t="s">
        <v>731</v>
      </c>
      <c r="D9" s="19" t="s">
        <v>732</v>
      </c>
      <c r="E9" s="19" t="str">
        <f>"1,1256"</f>
        <v>1,1256</v>
      </c>
      <c r="F9" s="19" t="s">
        <v>31</v>
      </c>
      <c r="G9" s="19" t="s">
        <v>32</v>
      </c>
      <c r="H9" s="38" t="s">
        <v>167</v>
      </c>
      <c r="I9" s="38" t="s">
        <v>48</v>
      </c>
      <c r="J9" s="39" t="s">
        <v>48</v>
      </c>
      <c r="K9" s="20"/>
      <c r="L9" s="74">
        <v>147.5</v>
      </c>
      <c r="M9" s="19" t="str">
        <f>"166,0260"</f>
        <v>166,0260</v>
      </c>
      <c r="N9" s="19" t="s">
        <v>733</v>
      </c>
    </row>
    <row r="11" spans="2:13" ht="15.75">
      <c r="B11" s="140" t="s">
        <v>96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4" ht="12.75">
      <c r="A12" s="35">
        <v>1</v>
      </c>
      <c r="B12" s="21" t="s">
        <v>734</v>
      </c>
      <c r="C12" s="21" t="s">
        <v>735</v>
      </c>
      <c r="D12" s="21" t="s">
        <v>736</v>
      </c>
      <c r="E12" s="21" t="str">
        <f>"0,8870"</f>
        <v>0,8870</v>
      </c>
      <c r="F12" s="21" t="s">
        <v>17</v>
      </c>
      <c r="G12" s="21" t="s">
        <v>900</v>
      </c>
      <c r="H12" s="45" t="s">
        <v>33</v>
      </c>
      <c r="I12" s="45" t="s">
        <v>175</v>
      </c>
      <c r="J12" s="45" t="s">
        <v>60</v>
      </c>
      <c r="K12" s="22"/>
      <c r="L12" s="75">
        <v>137.5</v>
      </c>
      <c r="M12" s="21" t="str">
        <f>"121,9625"</f>
        <v>121,9625</v>
      </c>
      <c r="N12" s="21" t="s">
        <v>870</v>
      </c>
    </row>
    <row r="13" spans="2:14" ht="12.75">
      <c r="B13" s="19" t="s">
        <v>856</v>
      </c>
      <c r="C13" s="19" t="s">
        <v>737</v>
      </c>
      <c r="D13" s="19" t="s">
        <v>738</v>
      </c>
      <c r="E13" s="19" t="str">
        <f>"0,8890"</f>
        <v>0,8890</v>
      </c>
      <c r="F13" s="19" t="s">
        <v>31</v>
      </c>
      <c r="G13" s="19" t="s">
        <v>313</v>
      </c>
      <c r="H13" s="38" t="s">
        <v>62</v>
      </c>
      <c r="I13" s="38" t="s">
        <v>62</v>
      </c>
      <c r="J13" s="38" t="s">
        <v>189</v>
      </c>
      <c r="K13" s="20"/>
      <c r="L13" s="36">
        <v>0</v>
      </c>
      <c r="M13" s="19" t="str">
        <f>"0,0000"</f>
        <v>0,0000</v>
      </c>
      <c r="N13" s="19" t="s">
        <v>310</v>
      </c>
    </row>
  </sheetData>
  <sheetProtection/>
  <mergeCells count="14"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G19" sqref="G19"/>
    </sheetView>
  </sheetViews>
  <sheetFormatPr defaultColWidth="8.75390625" defaultRowHeight="12.75"/>
  <cols>
    <col min="1" max="1" width="5.25390625" style="35" customWidth="1"/>
    <col min="2" max="2" width="25.75390625" style="18" customWidth="1"/>
    <col min="3" max="3" width="26.875" style="18" bestFit="1" customWidth="1"/>
    <col min="4" max="4" width="13.375" style="18" bestFit="1" customWidth="1"/>
    <col min="5" max="5" width="8.375" style="18" bestFit="1" customWidth="1"/>
    <col min="6" max="6" width="16.875" style="18" customWidth="1"/>
    <col min="7" max="7" width="34.00390625" style="18" bestFit="1" customWidth="1"/>
    <col min="8" max="10" width="5.625" style="18" bestFit="1" customWidth="1"/>
    <col min="11" max="11" width="4.625" style="18" bestFit="1" customWidth="1"/>
    <col min="12" max="12" width="7.875" style="37" bestFit="1" customWidth="1"/>
    <col min="13" max="13" width="8.625" style="18" bestFit="1" customWidth="1"/>
    <col min="14" max="14" width="24.875" style="18" customWidth="1"/>
  </cols>
  <sheetData>
    <row r="1" spans="1:14" s="1" customFormat="1" ht="15" customHeight="1">
      <c r="A1" s="34"/>
      <c r="B1" s="129" t="s">
        <v>902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2:14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2</v>
      </c>
      <c r="I3" s="125"/>
      <c r="J3" s="125"/>
      <c r="K3" s="125"/>
      <c r="L3" s="125" t="s">
        <v>4</v>
      </c>
      <c r="M3" s="125" t="s">
        <v>6</v>
      </c>
      <c r="N3" s="127" t="s">
        <v>5</v>
      </c>
    </row>
    <row r="4" spans="2:14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126"/>
      <c r="M4" s="126"/>
      <c r="N4" s="128"/>
    </row>
    <row r="5" spans="2:13" ht="15.75">
      <c r="B5" s="139" t="s">
        <v>77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2:14" ht="12.75">
      <c r="B6" s="21" t="s">
        <v>717</v>
      </c>
      <c r="C6" s="21" t="s">
        <v>718</v>
      </c>
      <c r="D6" s="21" t="s">
        <v>719</v>
      </c>
      <c r="E6" s="21" t="str">
        <f>"0,9560"</f>
        <v>0,9560</v>
      </c>
      <c r="F6" s="21" t="s">
        <v>17</v>
      </c>
      <c r="G6" s="21" t="s">
        <v>32</v>
      </c>
      <c r="H6" s="42" t="s">
        <v>51</v>
      </c>
      <c r="I6" s="42" t="s">
        <v>51</v>
      </c>
      <c r="J6" s="42" t="s">
        <v>51</v>
      </c>
      <c r="K6" s="22"/>
      <c r="L6" s="40">
        <v>0</v>
      </c>
      <c r="M6" s="21" t="str">
        <f>"0,0000"</f>
        <v>0,0000</v>
      </c>
      <c r="N6" s="21" t="s">
        <v>870</v>
      </c>
    </row>
    <row r="7" spans="2:14" ht="12.75">
      <c r="B7" s="19" t="s">
        <v>717</v>
      </c>
      <c r="C7" s="19" t="s">
        <v>720</v>
      </c>
      <c r="D7" s="19" t="s">
        <v>719</v>
      </c>
      <c r="E7" s="19" t="str">
        <f>"0,9560"</f>
        <v>0,9560</v>
      </c>
      <c r="F7" s="19" t="s">
        <v>17</v>
      </c>
      <c r="G7" s="19" t="s">
        <v>32</v>
      </c>
      <c r="H7" s="38" t="s">
        <v>51</v>
      </c>
      <c r="I7" s="38" t="s">
        <v>51</v>
      </c>
      <c r="J7" s="38" t="s">
        <v>51</v>
      </c>
      <c r="K7" s="20"/>
      <c r="L7" s="36" t="s">
        <v>857</v>
      </c>
      <c r="M7" s="19" t="str">
        <f>"0,0000"</f>
        <v>0,0000</v>
      </c>
      <c r="N7" s="19" t="s">
        <v>870</v>
      </c>
    </row>
    <row r="9" spans="2:13" ht="15.75">
      <c r="B9" s="140" t="s">
        <v>96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14" ht="12.75">
      <c r="A10" s="35">
        <v>1</v>
      </c>
      <c r="B10" s="21" t="s">
        <v>721</v>
      </c>
      <c r="C10" s="21" t="s">
        <v>722</v>
      </c>
      <c r="D10" s="21" t="s">
        <v>723</v>
      </c>
      <c r="E10" s="21" t="str">
        <f>"0,8850"</f>
        <v>0,8850</v>
      </c>
      <c r="F10" s="21" t="s">
        <v>854</v>
      </c>
      <c r="G10" s="21" t="s">
        <v>82</v>
      </c>
      <c r="H10" s="42" t="s">
        <v>84</v>
      </c>
      <c r="I10" s="45" t="s">
        <v>84</v>
      </c>
      <c r="J10" s="42" t="s">
        <v>235</v>
      </c>
      <c r="K10" s="22"/>
      <c r="L10" s="75">
        <v>260</v>
      </c>
      <c r="M10" s="21" t="str">
        <f>"230,1000"</f>
        <v>230,1000</v>
      </c>
      <c r="N10" s="21" t="s">
        <v>899</v>
      </c>
    </row>
    <row r="11" spans="1:14" ht="12.75">
      <c r="A11" s="35">
        <v>1</v>
      </c>
      <c r="B11" s="19" t="s">
        <v>724</v>
      </c>
      <c r="C11" s="19" t="s">
        <v>725</v>
      </c>
      <c r="D11" s="19" t="s">
        <v>726</v>
      </c>
      <c r="E11" s="19" t="str">
        <f>"0,8850"</f>
        <v>0,8850</v>
      </c>
      <c r="F11" s="19" t="s">
        <v>31</v>
      </c>
      <c r="G11" s="19" t="s">
        <v>898</v>
      </c>
      <c r="H11" s="39" t="s">
        <v>85</v>
      </c>
      <c r="I11" s="38" t="s">
        <v>59</v>
      </c>
      <c r="J11" s="38" t="s">
        <v>59</v>
      </c>
      <c r="K11" s="20"/>
      <c r="L11" s="74">
        <v>180</v>
      </c>
      <c r="M11" s="19" t="str">
        <f>"160,0965"</f>
        <v>160,0965</v>
      </c>
      <c r="N11" s="19" t="s">
        <v>899</v>
      </c>
    </row>
  </sheetData>
  <sheetProtection/>
  <mergeCells count="13">
    <mergeCell ref="F3:F4"/>
    <mergeCell ref="G3:G4"/>
    <mergeCell ref="H3:K3"/>
    <mergeCell ref="L3:L4"/>
    <mergeCell ref="M3:M4"/>
    <mergeCell ref="N3:N4"/>
    <mergeCell ref="B5:M5"/>
    <mergeCell ref="B9:M9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8"/>
  <sheetViews>
    <sheetView workbookViewId="0" topLeftCell="A56">
      <selection activeCell="G161" sqref="G161"/>
    </sheetView>
  </sheetViews>
  <sheetFormatPr defaultColWidth="8.75390625" defaultRowHeight="12.75"/>
  <cols>
    <col min="1" max="1" width="4.875" style="35" customWidth="1"/>
    <col min="2" max="2" width="31.875" style="18" bestFit="1" customWidth="1"/>
    <col min="3" max="3" width="26.875" style="18" bestFit="1" customWidth="1"/>
    <col min="4" max="4" width="13.375" style="18" bestFit="1" customWidth="1"/>
    <col min="5" max="5" width="8.375" style="18" bestFit="1" customWidth="1"/>
    <col min="6" max="6" width="22.75390625" style="18" bestFit="1" customWidth="1"/>
    <col min="7" max="7" width="39.375" style="18" customWidth="1"/>
    <col min="8" max="11" width="5.625" style="18" bestFit="1" customWidth="1"/>
    <col min="12" max="12" width="7.875" style="37" bestFit="1" customWidth="1"/>
    <col min="13" max="13" width="8.625" style="18" bestFit="1" customWidth="1"/>
    <col min="14" max="14" width="24.875" style="18" customWidth="1"/>
  </cols>
  <sheetData>
    <row r="1" spans="1:14" s="1" customFormat="1" ht="15" customHeight="1">
      <c r="A1" s="34"/>
      <c r="B1" s="129" t="s">
        <v>887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2:14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2</v>
      </c>
      <c r="I3" s="125"/>
      <c r="J3" s="125"/>
      <c r="K3" s="125"/>
      <c r="L3" s="125" t="s">
        <v>4</v>
      </c>
      <c r="M3" s="125" t="s">
        <v>6</v>
      </c>
      <c r="N3" s="127" t="s">
        <v>5</v>
      </c>
    </row>
    <row r="4" spans="2:14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126"/>
      <c r="M4" s="126"/>
      <c r="N4" s="128"/>
    </row>
    <row r="5" spans="2:13" ht="15.75">
      <c r="B5" s="139" t="s">
        <v>458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2:14" ht="12.75">
      <c r="B6" s="19" t="s">
        <v>459</v>
      </c>
      <c r="C6" s="19" t="s">
        <v>460</v>
      </c>
      <c r="D6" s="19" t="s">
        <v>461</v>
      </c>
      <c r="E6" s="19" t="str">
        <f>"2,6320"</f>
        <v>2,6320</v>
      </c>
      <c r="F6" s="19" t="s">
        <v>31</v>
      </c>
      <c r="G6" s="19" t="s">
        <v>32</v>
      </c>
      <c r="H6" s="38" t="s">
        <v>157</v>
      </c>
      <c r="I6" s="38" t="s">
        <v>157</v>
      </c>
      <c r="J6" s="38" t="s">
        <v>157</v>
      </c>
      <c r="K6" s="20"/>
      <c r="L6" s="36">
        <v>0</v>
      </c>
      <c r="M6" s="19" t="str">
        <f>"0,0000"</f>
        <v>0,0000</v>
      </c>
      <c r="N6" s="19" t="s">
        <v>89</v>
      </c>
    </row>
    <row r="8" spans="2:13" ht="15.75">
      <c r="B8" s="140" t="s">
        <v>132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4" ht="12.75">
      <c r="A9" s="35">
        <v>1</v>
      </c>
      <c r="B9" s="21" t="s">
        <v>462</v>
      </c>
      <c r="C9" s="21" t="s">
        <v>463</v>
      </c>
      <c r="D9" s="21" t="s">
        <v>464</v>
      </c>
      <c r="E9" s="21" t="str">
        <f>"2,4074"</f>
        <v>2,4074</v>
      </c>
      <c r="F9" s="21" t="s">
        <v>31</v>
      </c>
      <c r="G9" s="21" t="s">
        <v>32</v>
      </c>
      <c r="H9" s="45" t="s">
        <v>343</v>
      </c>
      <c r="I9" s="45" t="s">
        <v>329</v>
      </c>
      <c r="J9" s="42" t="s">
        <v>139</v>
      </c>
      <c r="K9" s="22"/>
      <c r="L9" s="75">
        <v>45</v>
      </c>
      <c r="M9" s="21" t="str">
        <f>"108,3330"</f>
        <v>108,3330</v>
      </c>
      <c r="N9" s="21" t="s">
        <v>465</v>
      </c>
    </row>
    <row r="10" spans="1:14" ht="12.75">
      <c r="A10" s="35">
        <v>1</v>
      </c>
      <c r="B10" s="19" t="s">
        <v>466</v>
      </c>
      <c r="C10" s="19" t="s">
        <v>467</v>
      </c>
      <c r="D10" s="19" t="s">
        <v>468</v>
      </c>
      <c r="E10" s="19" t="str">
        <f>"2,3342"</f>
        <v>2,3342</v>
      </c>
      <c r="F10" s="19" t="s">
        <v>31</v>
      </c>
      <c r="G10" s="19" t="s">
        <v>32</v>
      </c>
      <c r="H10" s="39" t="s">
        <v>137</v>
      </c>
      <c r="I10" s="38" t="s">
        <v>469</v>
      </c>
      <c r="J10" s="39" t="s">
        <v>469</v>
      </c>
      <c r="K10" s="20"/>
      <c r="L10" s="74">
        <v>57.5</v>
      </c>
      <c r="M10" s="19" t="str">
        <f>"134,2165"</f>
        <v>134,2165</v>
      </c>
      <c r="N10" s="19" t="s">
        <v>89</v>
      </c>
    </row>
    <row r="11" spans="1:14" ht="12.75">
      <c r="A11" s="35">
        <v>2</v>
      </c>
      <c r="B11" s="23" t="s">
        <v>133</v>
      </c>
      <c r="C11" s="23" t="s">
        <v>134</v>
      </c>
      <c r="D11" s="23" t="s">
        <v>135</v>
      </c>
      <c r="E11" s="23" t="str">
        <f>"2,3938"</f>
        <v>2,3938</v>
      </c>
      <c r="F11" s="23" t="s">
        <v>136</v>
      </c>
      <c r="G11" s="19" t="s">
        <v>869</v>
      </c>
      <c r="H11" s="47" t="s">
        <v>139</v>
      </c>
      <c r="I11" s="47" t="s">
        <v>140</v>
      </c>
      <c r="J11" s="38" t="s">
        <v>137</v>
      </c>
      <c r="K11" s="24"/>
      <c r="L11" s="77">
        <v>52.5</v>
      </c>
      <c r="M11" s="23" t="str">
        <f>"125,6745"</f>
        <v>125,6745</v>
      </c>
      <c r="N11" s="23" t="s">
        <v>141</v>
      </c>
    </row>
    <row r="13" spans="2:13" ht="15.75">
      <c r="B13" s="140" t="s">
        <v>13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</row>
    <row r="14" spans="1:14" ht="12.75">
      <c r="A14" s="35">
        <v>1</v>
      </c>
      <c r="B14" s="21" t="s">
        <v>470</v>
      </c>
      <c r="C14" s="21" t="s">
        <v>471</v>
      </c>
      <c r="D14" s="21" t="s">
        <v>472</v>
      </c>
      <c r="E14" s="21" t="str">
        <f>"2,0790"</f>
        <v>2,0790</v>
      </c>
      <c r="F14" s="21" t="s">
        <v>31</v>
      </c>
      <c r="G14" s="19" t="s">
        <v>886</v>
      </c>
      <c r="H14" s="45" t="s">
        <v>172</v>
      </c>
      <c r="I14" s="42" t="s">
        <v>138</v>
      </c>
      <c r="J14" s="45" t="s">
        <v>335</v>
      </c>
      <c r="K14" s="22"/>
      <c r="L14" s="75">
        <v>67.5</v>
      </c>
      <c r="M14" s="21" t="str">
        <f>"140,3325"</f>
        <v>140,3325</v>
      </c>
      <c r="N14" s="21" t="s">
        <v>473</v>
      </c>
    </row>
    <row r="15" spans="1:14" ht="12.75">
      <c r="A15" s="35">
        <v>2</v>
      </c>
      <c r="B15" s="19" t="s">
        <v>474</v>
      </c>
      <c r="C15" s="19" t="s">
        <v>475</v>
      </c>
      <c r="D15" s="19" t="s">
        <v>472</v>
      </c>
      <c r="E15" s="19" t="str">
        <f>"2,0790"</f>
        <v>2,0790</v>
      </c>
      <c r="F15" s="19" t="s">
        <v>17</v>
      </c>
      <c r="G15" s="19" t="s">
        <v>44</v>
      </c>
      <c r="H15" s="39" t="s">
        <v>150</v>
      </c>
      <c r="I15" s="39" t="s">
        <v>138</v>
      </c>
      <c r="J15" s="38" t="s">
        <v>335</v>
      </c>
      <c r="K15" s="20"/>
      <c r="L15" s="74">
        <v>65</v>
      </c>
      <c r="M15" s="19" t="str">
        <f>"135,1350"</f>
        <v>135,1350</v>
      </c>
      <c r="N15" s="19" t="s">
        <v>229</v>
      </c>
    </row>
    <row r="16" spans="1:14" ht="12.75">
      <c r="A16" s="35">
        <v>1</v>
      </c>
      <c r="B16" s="23" t="s">
        <v>476</v>
      </c>
      <c r="C16" s="23" t="s">
        <v>477</v>
      </c>
      <c r="D16" s="23" t="s">
        <v>478</v>
      </c>
      <c r="E16" s="23" t="str">
        <f>"2,1216"</f>
        <v>2,1216</v>
      </c>
      <c r="F16" s="23" t="s">
        <v>31</v>
      </c>
      <c r="G16" s="23" t="s">
        <v>32</v>
      </c>
      <c r="H16" s="47" t="s">
        <v>329</v>
      </c>
      <c r="I16" s="47" t="s">
        <v>139</v>
      </c>
      <c r="J16" s="44" t="s">
        <v>479</v>
      </c>
      <c r="K16" s="24"/>
      <c r="L16" s="77">
        <v>47.5</v>
      </c>
      <c r="M16" s="23" t="str">
        <f>"100,7760"</f>
        <v>100,7760</v>
      </c>
      <c r="N16" s="23" t="s">
        <v>480</v>
      </c>
    </row>
    <row r="18" spans="2:13" ht="15.75">
      <c r="B18" s="140" t="s">
        <v>325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4" ht="12.75">
      <c r="A19" s="35">
        <v>1</v>
      </c>
      <c r="B19" s="19" t="s">
        <v>481</v>
      </c>
      <c r="C19" s="19" t="s">
        <v>482</v>
      </c>
      <c r="D19" s="19" t="s">
        <v>483</v>
      </c>
      <c r="E19" s="19" t="str">
        <f>"1,9380"</f>
        <v>1,9380</v>
      </c>
      <c r="F19" s="19" t="s">
        <v>31</v>
      </c>
      <c r="G19" s="19" t="s">
        <v>44</v>
      </c>
      <c r="H19" s="39" t="s">
        <v>343</v>
      </c>
      <c r="I19" s="39" t="s">
        <v>329</v>
      </c>
      <c r="J19" s="38" t="s">
        <v>139</v>
      </c>
      <c r="K19" s="20"/>
      <c r="L19" s="74">
        <v>45</v>
      </c>
      <c r="M19" s="19" t="str">
        <f>"87,2100"</f>
        <v>87,2100</v>
      </c>
      <c r="N19" s="19" t="s">
        <v>484</v>
      </c>
    </row>
    <row r="21" spans="2:13" ht="15.75">
      <c r="B21" s="140" t="s">
        <v>142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</row>
    <row r="22" spans="1:14" ht="12.75">
      <c r="A22" s="35">
        <v>1</v>
      </c>
      <c r="B22" s="19" t="s">
        <v>143</v>
      </c>
      <c r="C22" s="19" t="s">
        <v>144</v>
      </c>
      <c r="D22" s="19" t="s">
        <v>145</v>
      </c>
      <c r="E22" s="19" t="str">
        <f>"1,7878"</f>
        <v>1,7878</v>
      </c>
      <c r="F22" s="19" t="s">
        <v>146</v>
      </c>
      <c r="G22" s="19" t="s">
        <v>147</v>
      </c>
      <c r="H22" s="39" t="s">
        <v>150</v>
      </c>
      <c r="I22" s="38" t="s">
        <v>138</v>
      </c>
      <c r="J22" s="38" t="s">
        <v>335</v>
      </c>
      <c r="K22" s="20"/>
      <c r="L22" s="74">
        <v>60</v>
      </c>
      <c r="M22" s="19" t="str">
        <f>"107,2680"</f>
        <v>107,2680</v>
      </c>
      <c r="N22" s="19" t="s">
        <v>873</v>
      </c>
    </row>
    <row r="24" spans="2:13" ht="15.75">
      <c r="B24" s="140" t="s">
        <v>161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</row>
    <row r="25" spans="1:14" ht="12.75">
      <c r="A25" s="35">
        <v>1</v>
      </c>
      <c r="B25" s="19" t="s">
        <v>485</v>
      </c>
      <c r="C25" s="19" t="s">
        <v>486</v>
      </c>
      <c r="D25" s="19" t="s">
        <v>487</v>
      </c>
      <c r="E25" s="19" t="str">
        <f>"1,6550"</f>
        <v>1,6550</v>
      </c>
      <c r="F25" s="19" t="s">
        <v>361</v>
      </c>
      <c r="G25" s="19" t="s">
        <v>57</v>
      </c>
      <c r="H25" s="39" t="s">
        <v>158</v>
      </c>
      <c r="I25" s="38" t="s">
        <v>329</v>
      </c>
      <c r="J25" s="39" t="s">
        <v>139</v>
      </c>
      <c r="K25" s="20"/>
      <c r="L25" s="74">
        <v>47.5</v>
      </c>
      <c r="M25" s="19" t="str">
        <f>"80,8136"</f>
        <v>80,8136</v>
      </c>
      <c r="N25" s="19" t="s">
        <v>488</v>
      </c>
    </row>
    <row r="27" spans="2:13" ht="15.75">
      <c r="B27" s="140" t="s">
        <v>142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</row>
    <row r="28" spans="1:14" ht="12.75">
      <c r="A28" s="35">
        <v>1</v>
      </c>
      <c r="B28" s="21" t="s">
        <v>489</v>
      </c>
      <c r="C28" s="21" t="s">
        <v>490</v>
      </c>
      <c r="D28" s="21" t="s">
        <v>491</v>
      </c>
      <c r="E28" s="21" t="str">
        <f>"1,4492"</f>
        <v>1,4492</v>
      </c>
      <c r="F28" s="21" t="s">
        <v>31</v>
      </c>
      <c r="G28" s="21" t="s">
        <v>889</v>
      </c>
      <c r="H28" s="45" t="s">
        <v>492</v>
      </c>
      <c r="I28" s="45" t="s">
        <v>35</v>
      </c>
      <c r="J28" s="45" t="s">
        <v>149</v>
      </c>
      <c r="K28" s="22"/>
      <c r="L28" s="75">
        <v>102.5</v>
      </c>
      <c r="M28" s="21" t="str">
        <f>"148,5430"</f>
        <v>148,5430</v>
      </c>
      <c r="N28" s="21" t="s">
        <v>493</v>
      </c>
    </row>
    <row r="29" spans="1:14" ht="12.75">
      <c r="A29" s="35">
        <v>1</v>
      </c>
      <c r="B29" s="19" t="s">
        <v>494</v>
      </c>
      <c r="C29" s="19" t="s">
        <v>495</v>
      </c>
      <c r="D29" s="19" t="s">
        <v>496</v>
      </c>
      <c r="E29" s="19" t="str">
        <f>"1,5576"</f>
        <v>1,5576</v>
      </c>
      <c r="F29" s="19" t="s">
        <v>31</v>
      </c>
      <c r="G29" s="19" t="s">
        <v>890</v>
      </c>
      <c r="H29" s="39" t="s">
        <v>151</v>
      </c>
      <c r="I29" s="39" t="s">
        <v>173</v>
      </c>
      <c r="J29" s="39" t="s">
        <v>19</v>
      </c>
      <c r="K29" s="20"/>
      <c r="L29" s="74">
        <v>120</v>
      </c>
      <c r="M29" s="19" t="str">
        <f>"186,9120"</f>
        <v>186,9120</v>
      </c>
      <c r="N29" s="19" t="s">
        <v>497</v>
      </c>
    </row>
    <row r="31" spans="2:13" ht="15.75">
      <c r="B31" s="140" t="s">
        <v>161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4" ht="12.75">
      <c r="A32" s="35">
        <v>1</v>
      </c>
      <c r="B32" s="21" t="s">
        <v>498</v>
      </c>
      <c r="C32" s="21" t="s">
        <v>499</v>
      </c>
      <c r="D32" s="21" t="s">
        <v>500</v>
      </c>
      <c r="E32" s="21" t="str">
        <f>"1,3200"</f>
        <v>1,3200</v>
      </c>
      <c r="F32" s="21" t="s">
        <v>31</v>
      </c>
      <c r="G32" s="21" t="s">
        <v>199</v>
      </c>
      <c r="H32" s="45" t="s">
        <v>34</v>
      </c>
      <c r="I32" s="45" t="s">
        <v>36</v>
      </c>
      <c r="J32" s="45" t="s">
        <v>151</v>
      </c>
      <c r="K32" s="22"/>
      <c r="L32" s="75">
        <v>110</v>
      </c>
      <c r="M32" s="21" t="str">
        <f>"145,2000"</f>
        <v>145,2000</v>
      </c>
      <c r="N32" s="21" t="s">
        <v>501</v>
      </c>
    </row>
    <row r="33" spans="2:14" ht="12.75">
      <c r="B33" s="19" t="s">
        <v>502</v>
      </c>
      <c r="C33" s="19" t="s">
        <v>503</v>
      </c>
      <c r="D33" s="19" t="s">
        <v>504</v>
      </c>
      <c r="E33" s="19" t="str">
        <f>"1,3090"</f>
        <v>1,3090</v>
      </c>
      <c r="F33" s="19" t="s">
        <v>31</v>
      </c>
      <c r="G33" s="19" t="s">
        <v>44</v>
      </c>
      <c r="H33" s="38" t="s">
        <v>148</v>
      </c>
      <c r="I33" s="38" t="s">
        <v>149</v>
      </c>
      <c r="J33" s="38" t="s">
        <v>149</v>
      </c>
      <c r="K33" s="20"/>
      <c r="L33" s="36">
        <v>0</v>
      </c>
      <c r="M33" s="19" t="str">
        <f>"0,0000"</f>
        <v>0,0000</v>
      </c>
      <c r="N33" s="19" t="s">
        <v>229</v>
      </c>
    </row>
    <row r="34" spans="1:14" ht="12.75">
      <c r="A34" s="35">
        <v>1</v>
      </c>
      <c r="B34" s="25" t="s">
        <v>505</v>
      </c>
      <c r="C34" s="25" t="s">
        <v>506</v>
      </c>
      <c r="D34" s="25" t="s">
        <v>507</v>
      </c>
      <c r="E34" s="25" t="str">
        <f>"1,3024"</f>
        <v>1,3024</v>
      </c>
      <c r="F34" s="25" t="s">
        <v>31</v>
      </c>
      <c r="G34" s="25" t="s">
        <v>182</v>
      </c>
      <c r="H34" s="46" t="s">
        <v>148</v>
      </c>
      <c r="I34" s="46" t="s">
        <v>171</v>
      </c>
      <c r="J34" s="46" t="s">
        <v>508</v>
      </c>
      <c r="K34" s="26"/>
      <c r="L34" s="76">
        <v>112.5</v>
      </c>
      <c r="M34" s="25" t="str">
        <f>"146,5200"</f>
        <v>146,5200</v>
      </c>
      <c r="N34" s="25" t="s">
        <v>184</v>
      </c>
    </row>
    <row r="35" spans="1:14" ht="12.75">
      <c r="A35" s="35">
        <v>2</v>
      </c>
      <c r="B35" s="19" t="s">
        <v>509</v>
      </c>
      <c r="C35" s="19" t="s">
        <v>510</v>
      </c>
      <c r="D35" s="19" t="s">
        <v>511</v>
      </c>
      <c r="E35" s="19" t="str">
        <f>"1,2640"</f>
        <v>1,2640</v>
      </c>
      <c r="F35" s="19" t="s">
        <v>31</v>
      </c>
      <c r="G35" s="19" t="s">
        <v>32</v>
      </c>
      <c r="H35" s="39" t="s">
        <v>148</v>
      </c>
      <c r="I35" s="39" t="s">
        <v>171</v>
      </c>
      <c r="J35" s="39" t="s">
        <v>508</v>
      </c>
      <c r="K35" s="20"/>
      <c r="L35" s="74">
        <v>112.5</v>
      </c>
      <c r="M35" s="19" t="str">
        <f>"142,2000"</f>
        <v>142,2000</v>
      </c>
      <c r="N35" s="19" t="s">
        <v>465</v>
      </c>
    </row>
    <row r="36" spans="1:14" ht="12.75">
      <c r="A36" s="35">
        <v>3</v>
      </c>
      <c r="B36" s="25" t="s">
        <v>512</v>
      </c>
      <c r="C36" s="25" t="s">
        <v>513</v>
      </c>
      <c r="D36" s="25" t="s">
        <v>514</v>
      </c>
      <c r="E36" s="25" t="str">
        <f>"1,3220"</f>
        <v>1,3220</v>
      </c>
      <c r="F36" s="25" t="s">
        <v>31</v>
      </c>
      <c r="G36" s="25" t="s">
        <v>32</v>
      </c>
      <c r="H36" s="43" t="s">
        <v>171</v>
      </c>
      <c r="I36" s="43" t="s">
        <v>171</v>
      </c>
      <c r="J36" s="46" t="s">
        <v>171</v>
      </c>
      <c r="K36" s="26"/>
      <c r="L36" s="76">
        <v>107.5</v>
      </c>
      <c r="M36" s="25" t="str">
        <f>"142,1150"</f>
        <v>142,1150</v>
      </c>
      <c r="N36" s="25" t="s">
        <v>89</v>
      </c>
    </row>
    <row r="37" spans="1:14" ht="12.75">
      <c r="A37" s="35">
        <v>1</v>
      </c>
      <c r="B37" s="19" t="s">
        <v>515</v>
      </c>
      <c r="C37" s="19" t="s">
        <v>516</v>
      </c>
      <c r="D37" s="19" t="s">
        <v>517</v>
      </c>
      <c r="E37" s="19" t="str">
        <f>"1,3000"</f>
        <v>1,3000</v>
      </c>
      <c r="F37" s="19" t="s">
        <v>518</v>
      </c>
      <c r="G37" s="19" t="s">
        <v>44</v>
      </c>
      <c r="H37" s="39" t="s">
        <v>19</v>
      </c>
      <c r="I37" s="39" t="s">
        <v>183</v>
      </c>
      <c r="J37" s="38" t="s">
        <v>174</v>
      </c>
      <c r="K37" s="20"/>
      <c r="L37" s="74">
        <v>125</v>
      </c>
      <c r="M37" s="19" t="str">
        <f>"163,3125"</f>
        <v>163,3125</v>
      </c>
      <c r="N37" s="19" t="s">
        <v>519</v>
      </c>
    </row>
    <row r="38" spans="1:14" ht="12.75">
      <c r="A38" s="35">
        <v>1</v>
      </c>
      <c r="B38" s="23" t="s">
        <v>520</v>
      </c>
      <c r="C38" s="23" t="s">
        <v>521</v>
      </c>
      <c r="D38" s="23" t="s">
        <v>522</v>
      </c>
      <c r="E38" s="23" t="str">
        <f>"1,2900"</f>
        <v>1,2900</v>
      </c>
      <c r="F38" s="23" t="s">
        <v>323</v>
      </c>
      <c r="G38" s="23" t="s">
        <v>32</v>
      </c>
      <c r="H38" s="47" t="s">
        <v>492</v>
      </c>
      <c r="I38" s="44" t="s">
        <v>35</v>
      </c>
      <c r="J38" s="44" t="s">
        <v>35</v>
      </c>
      <c r="K38" s="24"/>
      <c r="L38" s="77">
        <v>92.5</v>
      </c>
      <c r="M38" s="120" t="s">
        <v>1120</v>
      </c>
      <c r="N38" s="23" t="s">
        <v>523</v>
      </c>
    </row>
    <row r="40" spans="2:13" ht="15.75">
      <c r="B40" s="140" t="s">
        <v>177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  <row r="41" spans="1:14" ht="12.75">
      <c r="A41" s="35">
        <v>1</v>
      </c>
      <c r="B41" s="21" t="s">
        <v>858</v>
      </c>
      <c r="C41" s="21" t="s">
        <v>525</v>
      </c>
      <c r="D41" s="21" t="s">
        <v>526</v>
      </c>
      <c r="E41" s="21" t="str">
        <f>"1,1988"</f>
        <v>1,1988</v>
      </c>
      <c r="F41" s="21" t="s">
        <v>31</v>
      </c>
      <c r="G41" s="19" t="s">
        <v>869</v>
      </c>
      <c r="H41" s="42" t="s">
        <v>224</v>
      </c>
      <c r="I41" s="45" t="s">
        <v>224</v>
      </c>
      <c r="J41" s="42" t="s">
        <v>20</v>
      </c>
      <c r="K41" s="22"/>
      <c r="L41" s="75">
        <v>117.5</v>
      </c>
      <c r="M41" s="21" t="str">
        <f>"140,8590"</f>
        <v>140,8590</v>
      </c>
      <c r="N41" s="21" t="s">
        <v>888</v>
      </c>
    </row>
    <row r="42" spans="1:14" ht="12.75">
      <c r="A42" s="35">
        <v>2</v>
      </c>
      <c r="B42" s="19" t="s">
        <v>527</v>
      </c>
      <c r="C42" s="19" t="s">
        <v>528</v>
      </c>
      <c r="D42" s="19" t="s">
        <v>529</v>
      </c>
      <c r="E42" s="19" t="str">
        <f>"1,1366"</f>
        <v>1,1366</v>
      </c>
      <c r="F42" s="19" t="s">
        <v>31</v>
      </c>
      <c r="G42" s="19" t="s">
        <v>890</v>
      </c>
      <c r="H42" s="39" t="s">
        <v>36</v>
      </c>
      <c r="I42" s="38" t="s">
        <v>151</v>
      </c>
      <c r="J42" s="38" t="s">
        <v>151</v>
      </c>
      <c r="K42" s="20"/>
      <c r="L42" s="74">
        <v>105</v>
      </c>
      <c r="M42" s="19" t="str">
        <f>"119,3430"</f>
        <v>119,3430</v>
      </c>
      <c r="N42" s="19" t="s">
        <v>493</v>
      </c>
    </row>
    <row r="43" spans="1:14" ht="12.75">
      <c r="A43" s="35">
        <v>1</v>
      </c>
      <c r="B43" s="25" t="s">
        <v>530</v>
      </c>
      <c r="C43" s="25" t="s">
        <v>531</v>
      </c>
      <c r="D43" s="25" t="s">
        <v>532</v>
      </c>
      <c r="E43" s="25" t="str">
        <f>"1,1406"</f>
        <v>1,1406</v>
      </c>
      <c r="F43" s="25" t="s">
        <v>518</v>
      </c>
      <c r="G43" s="25" t="s">
        <v>44</v>
      </c>
      <c r="H43" s="46" t="s">
        <v>33</v>
      </c>
      <c r="I43" s="46" t="s">
        <v>175</v>
      </c>
      <c r="J43" s="43" t="s">
        <v>60</v>
      </c>
      <c r="K43" s="26"/>
      <c r="L43" s="76">
        <v>135</v>
      </c>
      <c r="M43" s="25" t="str">
        <f>"153,9810"</f>
        <v>153,9810</v>
      </c>
      <c r="N43" s="25" t="s">
        <v>519</v>
      </c>
    </row>
    <row r="44" spans="2:14" ht="12.75">
      <c r="B44" s="19" t="s">
        <v>533</v>
      </c>
      <c r="C44" s="19" t="s">
        <v>534</v>
      </c>
      <c r="D44" s="19" t="s">
        <v>535</v>
      </c>
      <c r="E44" s="19" t="str">
        <f>"1,1378"</f>
        <v>1,1378</v>
      </c>
      <c r="F44" s="19" t="s">
        <v>31</v>
      </c>
      <c r="G44" s="19" t="s">
        <v>32</v>
      </c>
      <c r="H44" s="38" t="s">
        <v>175</v>
      </c>
      <c r="I44" s="38" t="s">
        <v>167</v>
      </c>
      <c r="J44" s="38" t="s">
        <v>167</v>
      </c>
      <c r="K44" s="20"/>
      <c r="L44" s="36">
        <v>0</v>
      </c>
      <c r="M44" s="19" t="str">
        <f>"0,0000"</f>
        <v>0,0000</v>
      </c>
      <c r="N44" s="19" t="s">
        <v>89</v>
      </c>
    </row>
    <row r="45" spans="1:14" ht="12.75">
      <c r="A45" s="35">
        <v>1</v>
      </c>
      <c r="B45" s="25" t="s">
        <v>536</v>
      </c>
      <c r="C45" s="25" t="s">
        <v>537</v>
      </c>
      <c r="D45" s="25" t="s">
        <v>529</v>
      </c>
      <c r="E45" s="25" t="str">
        <f>"1,1366"</f>
        <v>1,1366</v>
      </c>
      <c r="F45" s="25" t="s">
        <v>31</v>
      </c>
      <c r="G45" s="25" t="s">
        <v>538</v>
      </c>
      <c r="H45" s="46" t="s">
        <v>23</v>
      </c>
      <c r="I45" s="46" t="s">
        <v>200</v>
      </c>
      <c r="J45" s="46" t="s">
        <v>49</v>
      </c>
      <c r="K45" s="26"/>
      <c r="L45" s="76">
        <v>157.5</v>
      </c>
      <c r="M45" s="25" t="str">
        <f>"179,0145"</f>
        <v>179,0145</v>
      </c>
      <c r="N45" s="25" t="s">
        <v>89</v>
      </c>
    </row>
    <row r="46" spans="1:14" ht="12.75">
      <c r="A46" s="35">
        <v>2</v>
      </c>
      <c r="B46" s="19" t="s">
        <v>539</v>
      </c>
      <c r="C46" s="19" t="s">
        <v>540</v>
      </c>
      <c r="D46" s="19" t="s">
        <v>541</v>
      </c>
      <c r="E46" s="19" t="str">
        <f>"1,1288"</f>
        <v>1,1288</v>
      </c>
      <c r="F46" s="19" t="s">
        <v>31</v>
      </c>
      <c r="G46" s="19" t="s">
        <v>100</v>
      </c>
      <c r="H46" s="38" t="s">
        <v>19</v>
      </c>
      <c r="I46" s="39" t="s">
        <v>200</v>
      </c>
      <c r="J46" s="38" t="s">
        <v>24</v>
      </c>
      <c r="K46" s="20"/>
      <c r="L46" s="74">
        <v>155</v>
      </c>
      <c r="M46" s="19" t="str">
        <f>"174,9640"</f>
        <v>174,9640</v>
      </c>
      <c r="N46" s="19" t="s">
        <v>89</v>
      </c>
    </row>
    <row r="47" spans="1:14" ht="12.75">
      <c r="A47" s="35">
        <v>3</v>
      </c>
      <c r="B47" s="25" t="s">
        <v>542</v>
      </c>
      <c r="C47" s="25" t="s">
        <v>543</v>
      </c>
      <c r="D47" s="25" t="s">
        <v>347</v>
      </c>
      <c r="E47" s="25" t="str">
        <f>"1,1438"</f>
        <v>1,1438</v>
      </c>
      <c r="F47" s="25" t="s">
        <v>31</v>
      </c>
      <c r="G47" s="25" t="s">
        <v>57</v>
      </c>
      <c r="H47" s="46" t="s">
        <v>33</v>
      </c>
      <c r="I47" s="46" t="s">
        <v>61</v>
      </c>
      <c r="J47" s="43" t="s">
        <v>200</v>
      </c>
      <c r="K47" s="26"/>
      <c r="L47" s="76">
        <v>145</v>
      </c>
      <c r="M47" s="25" t="str">
        <f>"165,8510"</f>
        <v>165,8510</v>
      </c>
      <c r="N47" s="25" t="s">
        <v>89</v>
      </c>
    </row>
    <row r="48" spans="1:14" ht="12.75">
      <c r="A48" s="35">
        <v>4</v>
      </c>
      <c r="B48" s="19" t="s">
        <v>544</v>
      </c>
      <c r="C48" s="19" t="s">
        <v>545</v>
      </c>
      <c r="D48" s="19" t="s">
        <v>546</v>
      </c>
      <c r="E48" s="19" t="str">
        <f>"1,1454"</f>
        <v>1,1454</v>
      </c>
      <c r="F48" s="19" t="s">
        <v>31</v>
      </c>
      <c r="G48" s="19" t="s">
        <v>57</v>
      </c>
      <c r="H48" s="39" t="s">
        <v>19</v>
      </c>
      <c r="I48" s="39" t="s">
        <v>33</v>
      </c>
      <c r="J48" s="39" t="s">
        <v>175</v>
      </c>
      <c r="K48" s="20"/>
      <c r="L48" s="74">
        <v>135</v>
      </c>
      <c r="M48" s="19" t="str">
        <f>"154,6290"</f>
        <v>154,6290</v>
      </c>
      <c r="N48" s="19" t="s">
        <v>89</v>
      </c>
    </row>
    <row r="49" spans="1:14" ht="12.75">
      <c r="A49" s="35">
        <v>1</v>
      </c>
      <c r="B49" s="23" t="s">
        <v>547</v>
      </c>
      <c r="C49" s="23" t="s">
        <v>548</v>
      </c>
      <c r="D49" s="23" t="s">
        <v>549</v>
      </c>
      <c r="E49" s="23" t="str">
        <f>"1,1390"</f>
        <v>1,1390</v>
      </c>
      <c r="F49" s="23" t="s">
        <v>31</v>
      </c>
      <c r="G49" s="23" t="s">
        <v>369</v>
      </c>
      <c r="H49" s="47" t="s">
        <v>19</v>
      </c>
      <c r="I49" s="47" t="s">
        <v>183</v>
      </c>
      <c r="J49" s="44" t="s">
        <v>33</v>
      </c>
      <c r="K49" s="24"/>
      <c r="L49" s="77">
        <v>125</v>
      </c>
      <c r="M49" s="23" t="str">
        <f>"148,6395"</f>
        <v>148,6395</v>
      </c>
      <c r="N49" s="23" t="s">
        <v>550</v>
      </c>
    </row>
    <row r="51" spans="2:13" ht="15.75">
      <c r="B51" s="140" t="s">
        <v>27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</row>
    <row r="52" spans="1:14" ht="12.75">
      <c r="A52" s="35">
        <v>1</v>
      </c>
      <c r="B52" s="19" t="s">
        <v>551</v>
      </c>
      <c r="C52" s="19" t="s">
        <v>552</v>
      </c>
      <c r="D52" s="19" t="s">
        <v>553</v>
      </c>
      <c r="E52" s="19" t="str">
        <f>"1,0416"</f>
        <v>1,0416</v>
      </c>
      <c r="F52" s="19" t="s">
        <v>31</v>
      </c>
      <c r="G52" s="19" t="s">
        <v>869</v>
      </c>
      <c r="H52" s="39" t="s">
        <v>19</v>
      </c>
      <c r="I52" s="39" t="s">
        <v>174</v>
      </c>
      <c r="J52" s="39" t="s">
        <v>175</v>
      </c>
      <c r="K52" s="38" t="s">
        <v>167</v>
      </c>
      <c r="L52" s="74">
        <v>135</v>
      </c>
      <c r="M52" s="19" t="str">
        <f>"140,6160"</f>
        <v>140,6160</v>
      </c>
      <c r="N52" s="19" t="s">
        <v>888</v>
      </c>
    </row>
    <row r="53" spans="1:14" ht="12.75">
      <c r="A53" s="35">
        <v>2</v>
      </c>
      <c r="B53" s="25" t="s">
        <v>554</v>
      </c>
      <c r="C53" s="25" t="s">
        <v>555</v>
      </c>
      <c r="D53" s="25" t="s">
        <v>556</v>
      </c>
      <c r="E53" s="25" t="str">
        <f>"1,0624"</f>
        <v>1,0624</v>
      </c>
      <c r="F53" s="25" t="s">
        <v>31</v>
      </c>
      <c r="G53" s="19" t="s">
        <v>869</v>
      </c>
      <c r="H53" s="46" t="s">
        <v>151</v>
      </c>
      <c r="I53" s="46" t="s">
        <v>173</v>
      </c>
      <c r="J53" s="43" t="s">
        <v>19</v>
      </c>
      <c r="K53" s="26"/>
      <c r="L53" s="76">
        <v>115</v>
      </c>
      <c r="M53" s="25" t="str">
        <f>"122,1760"</f>
        <v>122,1760</v>
      </c>
      <c r="N53" s="25" t="s">
        <v>557</v>
      </c>
    </row>
    <row r="54" spans="1:14" ht="12.75">
      <c r="A54" s="35">
        <v>1</v>
      </c>
      <c r="B54" s="19" t="s">
        <v>558</v>
      </c>
      <c r="C54" s="19" t="s">
        <v>559</v>
      </c>
      <c r="D54" s="19" t="s">
        <v>560</v>
      </c>
      <c r="E54" s="19" t="str">
        <f>"1,0448"</f>
        <v>1,0448</v>
      </c>
      <c r="F54" s="19" t="s">
        <v>31</v>
      </c>
      <c r="G54" s="19" t="s">
        <v>869</v>
      </c>
      <c r="H54" s="39" t="s">
        <v>175</v>
      </c>
      <c r="I54" s="39" t="s">
        <v>61</v>
      </c>
      <c r="J54" s="38" t="s">
        <v>23</v>
      </c>
      <c r="K54" s="20"/>
      <c r="L54" s="74">
        <v>145</v>
      </c>
      <c r="M54" s="19" t="str">
        <f>"151,4960"</f>
        <v>151,4960</v>
      </c>
      <c r="N54" s="19" t="s">
        <v>888</v>
      </c>
    </row>
    <row r="55" spans="1:14" ht="12.75">
      <c r="A55" s="35">
        <v>1</v>
      </c>
      <c r="B55" s="25" t="s">
        <v>561</v>
      </c>
      <c r="C55" s="25" t="s">
        <v>562</v>
      </c>
      <c r="D55" s="25" t="s">
        <v>292</v>
      </c>
      <c r="E55" s="25" t="str">
        <f>"1,0348"</f>
        <v>1,0348</v>
      </c>
      <c r="F55" s="25" t="s">
        <v>31</v>
      </c>
      <c r="G55" s="25" t="s">
        <v>891</v>
      </c>
      <c r="H55" s="43" t="s">
        <v>61</v>
      </c>
      <c r="I55" s="46" t="s">
        <v>23</v>
      </c>
      <c r="J55" s="43" t="s">
        <v>563</v>
      </c>
      <c r="K55" s="26"/>
      <c r="L55" s="76">
        <v>150</v>
      </c>
      <c r="M55" s="25" t="str">
        <f>"155,2200"</f>
        <v>155,2200</v>
      </c>
      <c r="N55" s="25" t="s">
        <v>89</v>
      </c>
    </row>
    <row r="56" spans="1:14" ht="12.75">
      <c r="A56" s="35">
        <v>2</v>
      </c>
      <c r="B56" s="19" t="s">
        <v>564</v>
      </c>
      <c r="C56" s="19" t="s">
        <v>565</v>
      </c>
      <c r="D56" s="19" t="s">
        <v>566</v>
      </c>
      <c r="E56" s="19" t="str">
        <f>"1,0492"</f>
        <v>1,0492</v>
      </c>
      <c r="F56" s="19" t="s">
        <v>854</v>
      </c>
      <c r="G56" s="19" t="s">
        <v>82</v>
      </c>
      <c r="H56" s="39" t="s">
        <v>173</v>
      </c>
      <c r="I56" s="38" t="s">
        <v>174</v>
      </c>
      <c r="J56" s="39" t="s">
        <v>174</v>
      </c>
      <c r="K56" s="20"/>
      <c r="L56" s="74">
        <v>127.5</v>
      </c>
      <c r="M56" s="19" t="str">
        <f>"133,7730"</f>
        <v>133,7730</v>
      </c>
      <c r="N56" s="19" t="s">
        <v>160</v>
      </c>
    </row>
    <row r="57" spans="2:14" ht="12.75">
      <c r="B57" s="25" t="s">
        <v>567</v>
      </c>
      <c r="C57" s="25" t="s">
        <v>568</v>
      </c>
      <c r="D57" s="25" t="s">
        <v>560</v>
      </c>
      <c r="E57" s="25" t="str">
        <f>"1,0448"</f>
        <v>1,0448</v>
      </c>
      <c r="F57" s="25" t="s">
        <v>31</v>
      </c>
      <c r="G57" s="25" t="s">
        <v>891</v>
      </c>
      <c r="H57" s="43" t="s">
        <v>175</v>
      </c>
      <c r="I57" s="26"/>
      <c r="J57" s="26"/>
      <c r="K57" s="26"/>
      <c r="L57" s="41">
        <v>0</v>
      </c>
      <c r="M57" s="25" t="str">
        <f>"0,0000"</f>
        <v>0,0000</v>
      </c>
      <c r="N57" s="25" t="s">
        <v>89</v>
      </c>
    </row>
    <row r="58" spans="1:14" ht="12.75">
      <c r="A58" s="35">
        <v>1</v>
      </c>
      <c r="B58" s="19" t="s">
        <v>569</v>
      </c>
      <c r="C58" s="19" t="s">
        <v>570</v>
      </c>
      <c r="D58" s="19" t="s">
        <v>571</v>
      </c>
      <c r="E58" s="19" t="str">
        <f>"1,0588"</f>
        <v>1,0588</v>
      </c>
      <c r="F58" s="19" t="s">
        <v>31</v>
      </c>
      <c r="G58" s="19" t="s">
        <v>572</v>
      </c>
      <c r="H58" s="39" t="s">
        <v>48</v>
      </c>
      <c r="I58" s="38" t="s">
        <v>563</v>
      </c>
      <c r="J58" s="38" t="s">
        <v>563</v>
      </c>
      <c r="K58" s="20"/>
      <c r="L58" s="74">
        <v>147.5</v>
      </c>
      <c r="M58" s="19" t="str">
        <f>"160,5458"</f>
        <v>160,5458</v>
      </c>
      <c r="N58" s="19" t="s">
        <v>89</v>
      </c>
    </row>
    <row r="59" spans="1:14" ht="12.75">
      <c r="A59" s="35">
        <v>1</v>
      </c>
      <c r="B59" s="23" t="s">
        <v>573</v>
      </c>
      <c r="C59" s="23" t="s">
        <v>574</v>
      </c>
      <c r="D59" s="23" t="s">
        <v>575</v>
      </c>
      <c r="E59" s="23" t="str">
        <f>"1,0356"</f>
        <v>1,0356</v>
      </c>
      <c r="F59" s="23" t="s">
        <v>31</v>
      </c>
      <c r="G59" s="23" t="s">
        <v>44</v>
      </c>
      <c r="H59" s="47" t="s">
        <v>175</v>
      </c>
      <c r="I59" s="44" t="s">
        <v>219</v>
      </c>
      <c r="J59" s="44" t="s">
        <v>219</v>
      </c>
      <c r="K59" s="24"/>
      <c r="L59" s="77">
        <v>135</v>
      </c>
      <c r="M59" s="23" t="s">
        <v>1121</v>
      </c>
      <c r="N59" s="23" t="s">
        <v>576</v>
      </c>
    </row>
    <row r="61" spans="2:13" ht="15.75">
      <c r="B61" s="140" t="s">
        <v>66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</row>
    <row r="62" spans="1:14" ht="12.75">
      <c r="A62" s="35">
        <v>1</v>
      </c>
      <c r="B62" s="21" t="s">
        <v>204</v>
      </c>
      <c r="C62" s="21" t="s">
        <v>205</v>
      </c>
      <c r="D62" s="21" t="s">
        <v>206</v>
      </c>
      <c r="E62" s="21" t="str">
        <f>"0,9790"</f>
        <v>0,9790</v>
      </c>
      <c r="F62" s="21" t="s">
        <v>17</v>
      </c>
      <c r="G62" s="21" t="s">
        <v>32</v>
      </c>
      <c r="H62" s="45" t="s">
        <v>175</v>
      </c>
      <c r="I62" s="45" t="s">
        <v>208</v>
      </c>
      <c r="J62" s="22"/>
      <c r="K62" s="22"/>
      <c r="L62" s="75">
        <v>162.5</v>
      </c>
      <c r="M62" s="21" t="str">
        <f>"159,0875"</f>
        <v>159,0875</v>
      </c>
      <c r="N62" s="21" t="s">
        <v>870</v>
      </c>
    </row>
    <row r="63" spans="1:14" ht="12.75">
      <c r="A63" s="35">
        <v>2</v>
      </c>
      <c r="B63" s="19" t="s">
        <v>577</v>
      </c>
      <c r="C63" s="19" t="s">
        <v>578</v>
      </c>
      <c r="D63" s="19" t="s">
        <v>223</v>
      </c>
      <c r="E63" s="19" t="str">
        <f>"0,9874"</f>
        <v>0,9874</v>
      </c>
      <c r="F63" s="19" t="s">
        <v>81</v>
      </c>
      <c r="G63" s="19" t="s">
        <v>82</v>
      </c>
      <c r="H63" s="39" t="s">
        <v>48</v>
      </c>
      <c r="I63" s="39" t="s">
        <v>563</v>
      </c>
      <c r="J63" s="38" t="s">
        <v>200</v>
      </c>
      <c r="K63" s="20"/>
      <c r="L63" s="74">
        <v>152.5</v>
      </c>
      <c r="M63" s="19" t="str">
        <f>"150,5785"</f>
        <v>150,5785</v>
      </c>
      <c r="N63" s="19" t="s">
        <v>409</v>
      </c>
    </row>
    <row r="64" spans="1:14" ht="12.75">
      <c r="A64" s="35">
        <v>3</v>
      </c>
      <c r="B64" s="25" t="s">
        <v>579</v>
      </c>
      <c r="C64" s="25" t="s">
        <v>580</v>
      </c>
      <c r="D64" s="25" t="s">
        <v>581</v>
      </c>
      <c r="E64" s="25" t="str">
        <f>"0,9846"</f>
        <v>0,9846</v>
      </c>
      <c r="F64" s="25" t="s">
        <v>31</v>
      </c>
      <c r="G64" s="25" t="s">
        <v>538</v>
      </c>
      <c r="H64" s="46" t="s">
        <v>219</v>
      </c>
      <c r="I64" s="46" t="s">
        <v>563</v>
      </c>
      <c r="J64" s="43" t="s">
        <v>200</v>
      </c>
      <c r="K64" s="26"/>
      <c r="L64" s="76">
        <v>152.5</v>
      </c>
      <c r="M64" s="25" t="str">
        <f>"150,1515"</f>
        <v>150,1515</v>
      </c>
      <c r="N64" s="25" t="s">
        <v>89</v>
      </c>
    </row>
    <row r="65" spans="1:14" ht="12.75">
      <c r="A65" s="35">
        <v>4</v>
      </c>
      <c r="B65" s="19" t="s">
        <v>582</v>
      </c>
      <c r="C65" s="19" t="s">
        <v>583</v>
      </c>
      <c r="D65" s="19" t="s">
        <v>584</v>
      </c>
      <c r="E65" s="19" t="str">
        <f>"0,9878"</f>
        <v>0,9878</v>
      </c>
      <c r="F65" s="19" t="s">
        <v>31</v>
      </c>
      <c r="G65" s="19" t="s">
        <v>32</v>
      </c>
      <c r="H65" s="39" t="s">
        <v>166</v>
      </c>
      <c r="I65" s="38" t="s">
        <v>167</v>
      </c>
      <c r="J65" s="38" t="s">
        <v>167</v>
      </c>
      <c r="K65" s="20"/>
      <c r="L65" s="74">
        <v>132.5</v>
      </c>
      <c r="M65" s="19" t="str">
        <f>"130,8835"</f>
        <v>130,8835</v>
      </c>
      <c r="N65" s="19" t="s">
        <v>89</v>
      </c>
    </row>
    <row r="66" spans="1:14" ht="12.75">
      <c r="A66" s="35">
        <v>1</v>
      </c>
      <c r="B66" s="25" t="s">
        <v>585</v>
      </c>
      <c r="C66" s="25" t="s">
        <v>586</v>
      </c>
      <c r="D66" s="25" t="s">
        <v>587</v>
      </c>
      <c r="E66" s="25" t="str">
        <f>"0,9720"</f>
        <v>0,9720</v>
      </c>
      <c r="F66" s="25" t="s">
        <v>81</v>
      </c>
      <c r="G66" s="25" t="s">
        <v>82</v>
      </c>
      <c r="H66" s="46" t="s">
        <v>23</v>
      </c>
      <c r="I66" s="46" t="s">
        <v>24</v>
      </c>
      <c r="J66" s="46" t="s">
        <v>37</v>
      </c>
      <c r="K66" s="26"/>
      <c r="L66" s="76">
        <v>165</v>
      </c>
      <c r="M66" s="25" t="str">
        <f>"160,3800"</f>
        <v>160,3800</v>
      </c>
      <c r="N66" s="25" t="s">
        <v>190</v>
      </c>
    </row>
    <row r="67" spans="1:14" ht="12.75">
      <c r="A67" s="35">
        <v>2</v>
      </c>
      <c r="B67" s="19" t="s">
        <v>204</v>
      </c>
      <c r="C67" s="19" t="s">
        <v>211</v>
      </c>
      <c r="D67" s="19" t="s">
        <v>206</v>
      </c>
      <c r="E67" s="19" t="str">
        <f>"0,9790"</f>
        <v>0,9790</v>
      </c>
      <c r="F67" s="19" t="s">
        <v>17</v>
      </c>
      <c r="G67" s="19" t="s">
        <v>32</v>
      </c>
      <c r="H67" s="39" t="s">
        <v>175</v>
      </c>
      <c r="I67" s="39" t="s">
        <v>208</v>
      </c>
      <c r="J67" s="48"/>
      <c r="K67" s="20"/>
      <c r="L67" s="74">
        <v>162.5</v>
      </c>
      <c r="M67" s="19" t="str">
        <f>"159,0875"</f>
        <v>159,0875</v>
      </c>
      <c r="N67" s="19" t="s">
        <v>870</v>
      </c>
    </row>
    <row r="68" spans="1:14" ht="12.75">
      <c r="A68" s="35">
        <v>3</v>
      </c>
      <c r="B68" s="25" t="s">
        <v>588</v>
      </c>
      <c r="C68" s="25" t="s">
        <v>589</v>
      </c>
      <c r="D68" s="25" t="s">
        <v>584</v>
      </c>
      <c r="E68" s="25" t="str">
        <f>"0,9878"</f>
        <v>0,9878</v>
      </c>
      <c r="F68" s="25" t="s">
        <v>31</v>
      </c>
      <c r="G68" s="25" t="s">
        <v>590</v>
      </c>
      <c r="H68" s="46" t="s">
        <v>61</v>
      </c>
      <c r="I68" s="46" t="s">
        <v>563</v>
      </c>
      <c r="J68" s="46" t="s">
        <v>200</v>
      </c>
      <c r="K68" s="26"/>
      <c r="L68" s="76">
        <v>155</v>
      </c>
      <c r="M68" s="25" t="str">
        <f>"153,1090"</f>
        <v>153,1090</v>
      </c>
      <c r="N68" s="25" t="s">
        <v>591</v>
      </c>
    </row>
    <row r="69" spans="1:14" ht="12.75">
      <c r="A69" s="35">
        <v>4</v>
      </c>
      <c r="B69" s="19" t="s">
        <v>592</v>
      </c>
      <c r="C69" s="19" t="s">
        <v>593</v>
      </c>
      <c r="D69" s="19" t="s">
        <v>398</v>
      </c>
      <c r="E69" s="19" t="str">
        <f>"0,9776"</f>
        <v>0,9776</v>
      </c>
      <c r="F69" s="19" t="s">
        <v>31</v>
      </c>
      <c r="G69" s="19" t="s">
        <v>32</v>
      </c>
      <c r="H69" s="39" t="s">
        <v>219</v>
      </c>
      <c r="I69" s="39" t="s">
        <v>48</v>
      </c>
      <c r="J69" s="39" t="s">
        <v>563</v>
      </c>
      <c r="K69" s="20"/>
      <c r="L69" s="74">
        <v>152.5</v>
      </c>
      <c r="M69" s="19" t="str">
        <f>"149,0840"</f>
        <v>149,0840</v>
      </c>
      <c r="N69" s="19" t="s">
        <v>89</v>
      </c>
    </row>
    <row r="70" spans="1:14" ht="12.75">
      <c r="A70" s="35">
        <v>5</v>
      </c>
      <c r="B70" s="25" t="s">
        <v>594</v>
      </c>
      <c r="C70" s="25" t="s">
        <v>593</v>
      </c>
      <c r="D70" s="25" t="s">
        <v>595</v>
      </c>
      <c r="E70" s="25" t="str">
        <f>"0,9964"</f>
        <v>0,9964</v>
      </c>
      <c r="F70" s="25" t="s">
        <v>31</v>
      </c>
      <c r="G70" s="25" t="s">
        <v>32</v>
      </c>
      <c r="H70" s="43" t="s">
        <v>219</v>
      </c>
      <c r="I70" s="46" t="s">
        <v>219</v>
      </c>
      <c r="J70" s="46" t="s">
        <v>48</v>
      </c>
      <c r="K70" s="26"/>
      <c r="L70" s="76">
        <v>147.5</v>
      </c>
      <c r="M70" s="25" t="str">
        <f>"146,9690"</f>
        <v>146,9690</v>
      </c>
      <c r="N70" s="25" t="s">
        <v>89</v>
      </c>
    </row>
    <row r="71" spans="1:14" ht="12.75">
      <c r="A71" s="35">
        <v>6</v>
      </c>
      <c r="B71" s="19" t="s">
        <v>596</v>
      </c>
      <c r="C71" s="19" t="s">
        <v>597</v>
      </c>
      <c r="D71" s="19" t="s">
        <v>598</v>
      </c>
      <c r="E71" s="19" t="str">
        <f>"0,9698"</f>
        <v>0,9698</v>
      </c>
      <c r="F71" s="19" t="s">
        <v>181</v>
      </c>
      <c r="G71" s="19" t="s">
        <v>182</v>
      </c>
      <c r="H71" s="39" t="s">
        <v>19</v>
      </c>
      <c r="I71" s="39" t="s">
        <v>166</v>
      </c>
      <c r="J71" s="39" t="s">
        <v>175</v>
      </c>
      <c r="K71" s="20"/>
      <c r="L71" s="74">
        <v>135</v>
      </c>
      <c r="M71" s="19" t="str">
        <f>"130,9230"</f>
        <v>130,9230</v>
      </c>
      <c r="N71" s="19" t="s">
        <v>220</v>
      </c>
    </row>
    <row r="72" spans="1:14" ht="12.75">
      <c r="A72" s="35">
        <v>7</v>
      </c>
      <c r="B72" s="25" t="s">
        <v>599</v>
      </c>
      <c r="C72" s="25" t="s">
        <v>600</v>
      </c>
      <c r="D72" s="25" t="s">
        <v>601</v>
      </c>
      <c r="E72" s="25" t="str">
        <f>"0,9798"</f>
        <v>0,9798</v>
      </c>
      <c r="F72" s="25" t="s">
        <v>361</v>
      </c>
      <c r="G72" s="25" t="s">
        <v>57</v>
      </c>
      <c r="H72" s="46" t="s">
        <v>183</v>
      </c>
      <c r="I72" s="43" t="s">
        <v>166</v>
      </c>
      <c r="J72" s="46" t="s">
        <v>166</v>
      </c>
      <c r="K72" s="26"/>
      <c r="L72" s="76">
        <v>132.5</v>
      </c>
      <c r="M72" s="25" t="str">
        <f>"129,8235"</f>
        <v>129,8235</v>
      </c>
      <c r="N72" s="25" t="s">
        <v>602</v>
      </c>
    </row>
    <row r="73" spans="2:14" ht="12.75">
      <c r="B73" s="19" t="s">
        <v>603</v>
      </c>
      <c r="C73" s="19" t="s">
        <v>604</v>
      </c>
      <c r="D73" s="19" t="s">
        <v>581</v>
      </c>
      <c r="E73" s="19" t="str">
        <f>"0,9846"</f>
        <v>0,9846</v>
      </c>
      <c r="F73" s="19" t="s">
        <v>31</v>
      </c>
      <c r="G73" s="19" t="s">
        <v>892</v>
      </c>
      <c r="H73" s="38" t="s">
        <v>194</v>
      </c>
      <c r="I73" s="38" t="s">
        <v>194</v>
      </c>
      <c r="J73" s="38" t="s">
        <v>194</v>
      </c>
      <c r="K73" s="20"/>
      <c r="L73" s="36">
        <v>0</v>
      </c>
      <c r="M73" s="19" t="str">
        <f>"0,0000"</f>
        <v>0,0000</v>
      </c>
      <c r="N73" s="19" t="s">
        <v>89</v>
      </c>
    </row>
    <row r="74" spans="1:14" ht="12.75">
      <c r="A74" s="35">
        <v>1</v>
      </c>
      <c r="B74" s="25" t="s">
        <v>605</v>
      </c>
      <c r="C74" s="25" t="s">
        <v>606</v>
      </c>
      <c r="D74" s="25" t="s">
        <v>607</v>
      </c>
      <c r="E74" s="25" t="str">
        <f>"0,9744"</f>
        <v>0,9744</v>
      </c>
      <c r="F74" s="25" t="s">
        <v>81</v>
      </c>
      <c r="G74" s="25" t="s">
        <v>82</v>
      </c>
      <c r="H74" s="46" t="s">
        <v>61</v>
      </c>
      <c r="I74" s="43" t="s">
        <v>563</v>
      </c>
      <c r="J74" s="43" t="s">
        <v>563</v>
      </c>
      <c r="K74" s="26"/>
      <c r="L74" s="76">
        <v>145</v>
      </c>
      <c r="M74" s="25" t="str">
        <f>"141,9944"</f>
        <v>141,9944</v>
      </c>
      <c r="N74" s="25" t="s">
        <v>190</v>
      </c>
    </row>
    <row r="75" spans="1:14" ht="12.75">
      <c r="A75" s="35">
        <v>1</v>
      </c>
      <c r="B75" s="19" t="s">
        <v>608</v>
      </c>
      <c r="C75" s="19" t="s">
        <v>609</v>
      </c>
      <c r="D75" s="19" t="s">
        <v>610</v>
      </c>
      <c r="E75" s="19" t="str">
        <f>"0,9884"</f>
        <v>0,9884</v>
      </c>
      <c r="F75" s="19" t="s">
        <v>31</v>
      </c>
      <c r="G75" s="19" t="s">
        <v>886</v>
      </c>
      <c r="H75" s="39" t="s">
        <v>166</v>
      </c>
      <c r="I75" s="39" t="s">
        <v>60</v>
      </c>
      <c r="J75" s="39" t="s">
        <v>167</v>
      </c>
      <c r="K75" s="20"/>
      <c r="L75" s="74">
        <v>140</v>
      </c>
      <c r="M75" s="19" t="str">
        <f>"167,0198"</f>
        <v>167,0198</v>
      </c>
      <c r="N75" s="19" t="s">
        <v>89</v>
      </c>
    </row>
    <row r="76" spans="1:14" ht="12.75">
      <c r="A76" s="35">
        <v>1</v>
      </c>
      <c r="B76" s="23" t="s">
        <v>611</v>
      </c>
      <c r="C76" s="23" t="s">
        <v>612</v>
      </c>
      <c r="D76" s="23" t="s">
        <v>613</v>
      </c>
      <c r="E76" s="23" t="str">
        <f>"0,9980"</f>
        <v>0,9980</v>
      </c>
      <c r="F76" s="23" t="s">
        <v>31</v>
      </c>
      <c r="G76" s="23" t="s">
        <v>614</v>
      </c>
      <c r="H76" s="47" t="s">
        <v>19</v>
      </c>
      <c r="I76" s="47" t="s">
        <v>183</v>
      </c>
      <c r="J76" s="44" t="s">
        <v>33</v>
      </c>
      <c r="K76" s="24"/>
      <c r="L76" s="77">
        <v>125</v>
      </c>
      <c r="M76" s="23" t="str">
        <f>"161,8008"</f>
        <v>161,8008</v>
      </c>
      <c r="N76" s="23" t="s">
        <v>89</v>
      </c>
    </row>
    <row r="78" spans="2:13" ht="15.75">
      <c r="B78" s="140" t="s">
        <v>77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</row>
    <row r="79" spans="1:14" ht="12.75">
      <c r="A79" s="35">
        <v>1</v>
      </c>
      <c r="B79" s="21" t="s">
        <v>615</v>
      </c>
      <c r="C79" s="21" t="s">
        <v>616</v>
      </c>
      <c r="D79" s="21" t="s">
        <v>617</v>
      </c>
      <c r="E79" s="21" t="str">
        <f>"0,9190"</f>
        <v>0,9190</v>
      </c>
      <c r="F79" s="21" t="s">
        <v>31</v>
      </c>
      <c r="G79" s="21" t="s">
        <v>893</v>
      </c>
      <c r="H79" s="45" t="s">
        <v>38</v>
      </c>
      <c r="I79" s="45" t="s">
        <v>85</v>
      </c>
      <c r="J79" s="45" t="s">
        <v>273</v>
      </c>
      <c r="K79" s="42" t="s">
        <v>71</v>
      </c>
      <c r="L79" s="75">
        <v>182.5</v>
      </c>
      <c r="M79" s="21" t="str">
        <f>"167,7175"</f>
        <v>167,7175</v>
      </c>
      <c r="N79" s="21" t="s">
        <v>89</v>
      </c>
    </row>
    <row r="80" spans="1:14" ht="12.75">
      <c r="A80" s="35">
        <v>2</v>
      </c>
      <c r="B80" s="19" t="s">
        <v>618</v>
      </c>
      <c r="C80" s="19" t="s">
        <v>619</v>
      </c>
      <c r="D80" s="19" t="s">
        <v>620</v>
      </c>
      <c r="E80" s="19" t="str">
        <f>"0,9278"</f>
        <v>0,9278</v>
      </c>
      <c r="F80" s="19" t="s">
        <v>81</v>
      </c>
      <c r="G80" s="19" t="s">
        <v>82</v>
      </c>
      <c r="H80" s="39" t="s">
        <v>234</v>
      </c>
      <c r="I80" s="39" t="s">
        <v>374</v>
      </c>
      <c r="J80" s="39" t="s">
        <v>85</v>
      </c>
      <c r="K80" s="20"/>
      <c r="L80" s="74">
        <v>180</v>
      </c>
      <c r="M80" s="19" t="str">
        <f>"167,0040"</f>
        <v>167,0040</v>
      </c>
      <c r="N80" s="19" t="s">
        <v>190</v>
      </c>
    </row>
    <row r="81" spans="1:14" ht="12.75">
      <c r="A81" s="35">
        <v>3</v>
      </c>
      <c r="B81" s="25" t="s">
        <v>896</v>
      </c>
      <c r="C81" s="25" t="s">
        <v>621</v>
      </c>
      <c r="D81" s="25" t="s">
        <v>622</v>
      </c>
      <c r="E81" s="25" t="str">
        <f>"0,9194"</f>
        <v>0,9194</v>
      </c>
      <c r="F81" s="25" t="s">
        <v>897</v>
      </c>
      <c r="G81" s="25" t="s">
        <v>32</v>
      </c>
      <c r="H81" s="46" t="s">
        <v>208</v>
      </c>
      <c r="I81" s="43" t="s">
        <v>25</v>
      </c>
      <c r="J81" s="43" t="s">
        <v>25</v>
      </c>
      <c r="K81" s="26"/>
      <c r="L81" s="76">
        <v>162.5</v>
      </c>
      <c r="M81" s="25" t="str">
        <f>"149,4025"</f>
        <v>149,4025</v>
      </c>
      <c r="N81" s="25" t="s">
        <v>89</v>
      </c>
    </row>
    <row r="82" spans="1:14" ht="12.75">
      <c r="A82" s="35">
        <v>4</v>
      </c>
      <c r="B82" s="19" t="s">
        <v>623</v>
      </c>
      <c r="C82" s="19" t="s">
        <v>624</v>
      </c>
      <c r="D82" s="19" t="s">
        <v>625</v>
      </c>
      <c r="E82" s="19" t="str">
        <f>"0,9182"</f>
        <v>0,9182</v>
      </c>
      <c r="F82" s="19" t="s">
        <v>31</v>
      </c>
      <c r="G82" s="19" t="s">
        <v>894</v>
      </c>
      <c r="H82" s="39" t="s">
        <v>208</v>
      </c>
      <c r="I82" s="38" t="s">
        <v>25</v>
      </c>
      <c r="J82" s="38" t="s">
        <v>25</v>
      </c>
      <c r="K82" s="20"/>
      <c r="L82" s="74">
        <v>162.5</v>
      </c>
      <c r="M82" s="19" t="str">
        <f>"149,2075"</f>
        <v>149,2075</v>
      </c>
      <c r="N82" s="19" t="s">
        <v>89</v>
      </c>
    </row>
    <row r="83" spans="1:14" ht="12.75">
      <c r="A83" s="35">
        <v>5</v>
      </c>
      <c r="B83" s="25" t="s">
        <v>626</v>
      </c>
      <c r="C83" s="25" t="s">
        <v>627</v>
      </c>
      <c r="D83" s="25" t="s">
        <v>628</v>
      </c>
      <c r="E83" s="25" t="str">
        <f>"0,9436"</f>
        <v>0,9436</v>
      </c>
      <c r="F83" s="25" t="s">
        <v>361</v>
      </c>
      <c r="G83" s="25" t="s">
        <v>57</v>
      </c>
      <c r="H83" s="46" t="s">
        <v>167</v>
      </c>
      <c r="I83" s="25" t="s">
        <v>48</v>
      </c>
      <c r="J83" s="43" t="s">
        <v>200</v>
      </c>
      <c r="K83" s="26"/>
      <c r="L83" s="76">
        <v>147.5</v>
      </c>
      <c r="M83" s="25" t="str">
        <f>"139,1810"</f>
        <v>139,1810</v>
      </c>
      <c r="N83" s="25" t="s">
        <v>89</v>
      </c>
    </row>
    <row r="84" spans="1:14" ht="12.75">
      <c r="A84" s="35">
        <v>6</v>
      </c>
      <c r="B84" s="19" t="s">
        <v>629</v>
      </c>
      <c r="C84" s="19" t="s">
        <v>630</v>
      </c>
      <c r="D84" s="19" t="s">
        <v>232</v>
      </c>
      <c r="E84" s="19" t="str">
        <f>"0,9158"</f>
        <v>0,9158</v>
      </c>
      <c r="F84" s="19" t="s">
        <v>31</v>
      </c>
      <c r="G84" s="19" t="s">
        <v>590</v>
      </c>
      <c r="H84" s="39" t="s">
        <v>167</v>
      </c>
      <c r="I84" s="38" t="s">
        <v>23</v>
      </c>
      <c r="J84" s="38" t="s">
        <v>23</v>
      </c>
      <c r="K84" s="20"/>
      <c r="L84" s="74">
        <v>140</v>
      </c>
      <c r="M84" s="19" t="str">
        <f>"128,2120"</f>
        <v>128,2120</v>
      </c>
      <c r="N84" s="19" t="s">
        <v>591</v>
      </c>
    </row>
    <row r="85" spans="1:14" ht="12.75">
      <c r="A85" s="35">
        <v>1</v>
      </c>
      <c r="B85" s="25" t="s">
        <v>896</v>
      </c>
      <c r="C85" s="25" t="s">
        <v>631</v>
      </c>
      <c r="D85" s="25" t="s">
        <v>622</v>
      </c>
      <c r="E85" s="25" t="str">
        <f>"0,9194"</f>
        <v>0,9194</v>
      </c>
      <c r="F85" s="25" t="s">
        <v>897</v>
      </c>
      <c r="G85" s="25" t="s">
        <v>32</v>
      </c>
      <c r="H85" s="46" t="s">
        <v>208</v>
      </c>
      <c r="I85" s="43" t="s">
        <v>25</v>
      </c>
      <c r="J85" s="43" t="s">
        <v>25</v>
      </c>
      <c r="K85" s="26"/>
      <c r="L85" s="76">
        <v>162.5</v>
      </c>
      <c r="M85" s="25" t="str">
        <f>"151,4941"</f>
        <v>151,4941</v>
      </c>
      <c r="N85" s="25" t="s">
        <v>89</v>
      </c>
    </row>
    <row r="86" spans="1:14" ht="12.75">
      <c r="A86" s="35">
        <v>1</v>
      </c>
      <c r="B86" s="19" t="s">
        <v>632</v>
      </c>
      <c r="C86" s="19" t="s">
        <v>633</v>
      </c>
      <c r="D86" s="19" t="s">
        <v>634</v>
      </c>
      <c r="E86" s="19" t="str">
        <f>"0,9154"</f>
        <v>0,9154</v>
      </c>
      <c r="F86" s="19" t="s">
        <v>17</v>
      </c>
      <c r="G86" s="19" t="s">
        <v>44</v>
      </c>
      <c r="H86" s="39" t="s">
        <v>148</v>
      </c>
      <c r="I86" s="39" t="s">
        <v>171</v>
      </c>
      <c r="J86" s="39" t="s">
        <v>173</v>
      </c>
      <c r="K86" s="39" t="s">
        <v>224</v>
      </c>
      <c r="L86" s="74">
        <v>115</v>
      </c>
      <c r="M86" s="19" t="str">
        <f>"134,0100"</f>
        <v>134,0100</v>
      </c>
      <c r="N86" s="19" t="s">
        <v>89</v>
      </c>
    </row>
    <row r="87" spans="1:14" ht="12.75">
      <c r="A87" s="35">
        <v>1</v>
      </c>
      <c r="B87" s="23" t="s">
        <v>635</v>
      </c>
      <c r="C87" s="23" t="s">
        <v>636</v>
      </c>
      <c r="D87" s="23" t="s">
        <v>637</v>
      </c>
      <c r="E87" s="23" t="str">
        <f>"0,9336"</f>
        <v>0,9336</v>
      </c>
      <c r="F87" s="23" t="s">
        <v>31</v>
      </c>
      <c r="G87" s="23" t="s">
        <v>44</v>
      </c>
      <c r="H87" s="44" t="s">
        <v>151</v>
      </c>
      <c r="I87" s="47" t="s">
        <v>173</v>
      </c>
      <c r="J87" s="44" t="s">
        <v>19</v>
      </c>
      <c r="K87" s="24"/>
      <c r="L87" s="77">
        <v>115</v>
      </c>
      <c r="M87" s="23" t="str">
        <f>"171,4603"</f>
        <v>171,4603</v>
      </c>
      <c r="N87" s="23" t="s">
        <v>89</v>
      </c>
    </row>
    <row r="89" spans="2:13" ht="15.75">
      <c r="B89" s="140" t="s">
        <v>96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</row>
    <row r="90" spans="1:14" ht="12.75">
      <c r="A90" s="35">
        <v>1</v>
      </c>
      <c r="B90" s="21" t="s">
        <v>638</v>
      </c>
      <c r="C90" s="21" t="s">
        <v>639</v>
      </c>
      <c r="D90" s="21" t="s">
        <v>640</v>
      </c>
      <c r="E90" s="21" t="str">
        <f>"0,9068"</f>
        <v>0,9068</v>
      </c>
      <c r="F90" s="21" t="s">
        <v>17</v>
      </c>
      <c r="G90" s="21" t="s">
        <v>32</v>
      </c>
      <c r="H90" s="45" t="s">
        <v>167</v>
      </c>
      <c r="I90" s="45" t="s">
        <v>48</v>
      </c>
      <c r="J90" s="45" t="s">
        <v>563</v>
      </c>
      <c r="K90" s="22"/>
      <c r="L90" s="75">
        <v>152.5</v>
      </c>
      <c r="M90" s="21" t="str">
        <f>"138,2870"</f>
        <v>138,2870</v>
      </c>
      <c r="N90" s="21" t="s">
        <v>870</v>
      </c>
    </row>
    <row r="91" spans="1:14" ht="12.75">
      <c r="A91" s="35">
        <v>1</v>
      </c>
      <c r="B91" s="19" t="s">
        <v>641</v>
      </c>
      <c r="C91" s="19" t="s">
        <v>642</v>
      </c>
      <c r="D91" s="19" t="s">
        <v>643</v>
      </c>
      <c r="E91" s="19" t="str">
        <f>"0,9038"</f>
        <v>0,9038</v>
      </c>
      <c r="F91" s="19" t="s">
        <v>31</v>
      </c>
      <c r="G91" s="19" t="s">
        <v>895</v>
      </c>
      <c r="H91" s="39" t="s">
        <v>59</v>
      </c>
      <c r="I91" s="39" t="s">
        <v>46</v>
      </c>
      <c r="J91" s="38" t="s">
        <v>644</v>
      </c>
      <c r="K91" s="20"/>
      <c r="L91" s="74">
        <v>205</v>
      </c>
      <c r="M91" s="19" t="str">
        <f>"185,2790"</f>
        <v>185,2790</v>
      </c>
      <c r="N91" s="19" t="s">
        <v>89</v>
      </c>
    </row>
    <row r="92" spans="1:14" ht="12.75">
      <c r="A92" s="35">
        <v>2</v>
      </c>
      <c r="B92" s="25" t="s">
        <v>645</v>
      </c>
      <c r="C92" s="25" t="s">
        <v>646</v>
      </c>
      <c r="D92" s="25" t="s">
        <v>647</v>
      </c>
      <c r="E92" s="25" t="str">
        <f>"0,8886"</f>
        <v>0,8886</v>
      </c>
      <c r="F92" s="25" t="s">
        <v>648</v>
      </c>
      <c r="G92" s="19" t="s">
        <v>886</v>
      </c>
      <c r="H92" s="46" t="s">
        <v>61</v>
      </c>
      <c r="I92" s="43" t="s">
        <v>200</v>
      </c>
      <c r="J92" s="43"/>
      <c r="K92" s="26"/>
      <c r="L92" s="76">
        <v>145</v>
      </c>
      <c r="M92" s="25" t="str">
        <f>"128,8470"</f>
        <v>128,8470</v>
      </c>
      <c r="N92" s="25" t="s">
        <v>89</v>
      </c>
    </row>
    <row r="93" spans="1:14" ht="12.75">
      <c r="A93" s="35">
        <v>1</v>
      </c>
      <c r="B93" s="19" t="s">
        <v>649</v>
      </c>
      <c r="C93" s="19" t="s">
        <v>650</v>
      </c>
      <c r="D93" s="19" t="s">
        <v>651</v>
      </c>
      <c r="E93" s="19" t="str">
        <f>"0,8920"</f>
        <v>0,8920</v>
      </c>
      <c r="F93" s="19" t="s">
        <v>17</v>
      </c>
      <c r="G93" s="19" t="s">
        <v>44</v>
      </c>
      <c r="H93" s="39" t="s">
        <v>24</v>
      </c>
      <c r="I93" s="39" t="s">
        <v>25</v>
      </c>
      <c r="J93" s="38" t="s">
        <v>234</v>
      </c>
      <c r="K93" s="20"/>
      <c r="L93" s="74">
        <v>167.5</v>
      </c>
      <c r="M93" s="19" t="str">
        <f>"149,4100"</f>
        <v>149,4100</v>
      </c>
      <c r="N93" s="19" t="s">
        <v>229</v>
      </c>
    </row>
    <row r="94" spans="1:14" ht="12.75">
      <c r="A94" s="35">
        <v>2</v>
      </c>
      <c r="B94" s="25" t="s">
        <v>645</v>
      </c>
      <c r="C94" s="25" t="s">
        <v>652</v>
      </c>
      <c r="D94" s="25" t="s">
        <v>647</v>
      </c>
      <c r="E94" s="25" t="str">
        <f>"0,8886"</f>
        <v>0,8886</v>
      </c>
      <c r="F94" s="25" t="s">
        <v>648</v>
      </c>
      <c r="G94" s="19" t="s">
        <v>886</v>
      </c>
      <c r="H94" s="46" t="s">
        <v>61</v>
      </c>
      <c r="I94" s="43" t="s">
        <v>200</v>
      </c>
      <c r="J94" s="26"/>
      <c r="K94" s="26"/>
      <c r="L94" s="76">
        <v>145</v>
      </c>
      <c r="M94" s="25" t="str">
        <f>"132,4547"</f>
        <v>132,4547</v>
      </c>
      <c r="N94" s="25" t="s">
        <v>240</v>
      </c>
    </row>
    <row r="95" spans="1:14" ht="12.75">
      <c r="A95" s="35">
        <v>1</v>
      </c>
      <c r="B95" s="19" t="s">
        <v>653</v>
      </c>
      <c r="C95" s="19" t="s">
        <v>654</v>
      </c>
      <c r="D95" s="19" t="s">
        <v>655</v>
      </c>
      <c r="E95" s="19" t="str">
        <f>"0,8942"</f>
        <v>0,8942</v>
      </c>
      <c r="F95" s="19" t="s">
        <v>323</v>
      </c>
      <c r="G95" s="19" t="s">
        <v>32</v>
      </c>
      <c r="H95" s="39" t="s">
        <v>167</v>
      </c>
      <c r="I95" s="39" t="s">
        <v>61</v>
      </c>
      <c r="J95" s="39" t="s">
        <v>48</v>
      </c>
      <c r="K95" s="20"/>
      <c r="L95" s="74">
        <v>147.5</v>
      </c>
      <c r="M95" s="19" t="str">
        <f>"159,1967"</f>
        <v>159,1967</v>
      </c>
      <c r="N95" s="19" t="s">
        <v>656</v>
      </c>
    </row>
    <row r="97" spans="2:13" ht="15.75">
      <c r="B97" s="140" t="s">
        <v>278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</row>
    <row r="98" spans="1:14" ht="12.75">
      <c r="A98" s="35">
        <v>1</v>
      </c>
      <c r="B98" s="21" t="s">
        <v>657</v>
      </c>
      <c r="C98" s="21" t="s">
        <v>658</v>
      </c>
      <c r="D98" s="21" t="s">
        <v>659</v>
      </c>
      <c r="E98" s="21" t="str">
        <f>"0,8640"</f>
        <v>0,8640</v>
      </c>
      <c r="F98" s="21" t="s">
        <v>81</v>
      </c>
      <c r="G98" s="21" t="s">
        <v>82</v>
      </c>
      <c r="H98" s="45" t="s">
        <v>46</v>
      </c>
      <c r="I98" s="42" t="s">
        <v>47</v>
      </c>
      <c r="J98" s="22"/>
      <c r="K98" s="22"/>
      <c r="L98" s="75">
        <v>205</v>
      </c>
      <c r="M98" s="21" t="str">
        <f>"177,1200"</f>
        <v>177,1200</v>
      </c>
      <c r="N98" s="21" t="s">
        <v>53</v>
      </c>
    </row>
    <row r="99" spans="1:14" ht="12.75">
      <c r="A99" s="35">
        <v>1</v>
      </c>
      <c r="B99" s="19" t="s">
        <v>660</v>
      </c>
      <c r="C99" s="19" t="s">
        <v>661</v>
      </c>
      <c r="D99" s="19" t="s">
        <v>662</v>
      </c>
      <c r="E99" s="19" t="str">
        <f>"0,8750"</f>
        <v>0,8750</v>
      </c>
      <c r="F99" s="19" t="s">
        <v>323</v>
      </c>
      <c r="G99" s="19" t="s">
        <v>32</v>
      </c>
      <c r="H99" s="39" t="s">
        <v>61</v>
      </c>
      <c r="I99" s="39" t="s">
        <v>200</v>
      </c>
      <c r="J99" s="38" t="s">
        <v>24</v>
      </c>
      <c r="K99" s="20"/>
      <c r="L99" s="74">
        <v>155</v>
      </c>
      <c r="M99" s="19" t="str">
        <f>"195,3000"</f>
        <v>195,3000</v>
      </c>
      <c r="N99" s="19" t="s">
        <v>89</v>
      </c>
    </row>
    <row r="100" ht="12.75">
      <c r="L100" s="78"/>
    </row>
    <row r="101" ht="15.75">
      <c r="F101" s="27"/>
    </row>
    <row r="103" spans="2:3" ht="18">
      <c r="B103" s="28" t="s">
        <v>106</v>
      </c>
      <c r="C103" s="28"/>
    </row>
    <row r="104" spans="2:3" ht="15.75">
      <c r="B104" s="29" t="s">
        <v>113</v>
      </c>
      <c r="C104" s="29"/>
    </row>
    <row r="105" spans="2:3" ht="13.5">
      <c r="B105" s="31" t="s">
        <v>244</v>
      </c>
      <c r="C105" s="32"/>
    </row>
    <row r="106" spans="2:6" ht="13.5">
      <c r="B106" s="33" t="s">
        <v>108</v>
      </c>
      <c r="C106" s="33" t="s">
        <v>109</v>
      </c>
      <c r="D106" s="33" t="s">
        <v>110</v>
      </c>
      <c r="E106" s="33" t="s">
        <v>111</v>
      </c>
      <c r="F106" s="33" t="s">
        <v>868</v>
      </c>
    </row>
    <row r="107" spans="1:6" ht="12.75">
      <c r="A107" s="35">
        <v>1</v>
      </c>
      <c r="B107" s="30" t="s">
        <v>494</v>
      </c>
      <c r="C107" s="73" t="s">
        <v>663</v>
      </c>
      <c r="D107" s="73" t="s">
        <v>243</v>
      </c>
      <c r="E107" s="73" t="s">
        <v>19</v>
      </c>
      <c r="F107" s="37" t="s">
        <v>664</v>
      </c>
    </row>
    <row r="108" spans="1:6" ht="12.75">
      <c r="A108" s="35">
        <v>2</v>
      </c>
      <c r="B108" s="30" t="s">
        <v>489</v>
      </c>
      <c r="C108" s="73" t="s">
        <v>304</v>
      </c>
      <c r="D108" s="73" t="s">
        <v>243</v>
      </c>
      <c r="E108" s="73" t="s">
        <v>149</v>
      </c>
      <c r="F108" s="37" t="s">
        <v>665</v>
      </c>
    </row>
    <row r="109" spans="1:6" ht="12.75">
      <c r="A109" s="35">
        <v>3</v>
      </c>
      <c r="B109" s="30" t="s">
        <v>498</v>
      </c>
      <c r="C109" s="73" t="s">
        <v>663</v>
      </c>
      <c r="D109" s="73" t="s">
        <v>241</v>
      </c>
      <c r="E109" s="73" t="s">
        <v>151</v>
      </c>
      <c r="F109" s="37" t="s">
        <v>666</v>
      </c>
    </row>
    <row r="110" spans="2:6" ht="12.75">
      <c r="B110" s="30" t="s">
        <v>524</v>
      </c>
      <c r="C110" s="73" t="s">
        <v>663</v>
      </c>
      <c r="D110" s="73" t="s">
        <v>257</v>
      </c>
      <c r="E110" s="73" t="s">
        <v>224</v>
      </c>
      <c r="F110" s="37" t="s">
        <v>667</v>
      </c>
    </row>
    <row r="111" spans="2:6" ht="12.75">
      <c r="B111" s="30" t="s">
        <v>551</v>
      </c>
      <c r="C111" s="73" t="s">
        <v>663</v>
      </c>
      <c r="D111" s="73" t="s">
        <v>116</v>
      </c>
      <c r="E111" s="73" t="s">
        <v>175</v>
      </c>
      <c r="F111" s="37" t="s">
        <v>668</v>
      </c>
    </row>
    <row r="112" spans="2:6" ht="12.75">
      <c r="B112" s="30" t="s">
        <v>554</v>
      </c>
      <c r="C112" s="73" t="s">
        <v>663</v>
      </c>
      <c r="D112" s="73" t="s">
        <v>116</v>
      </c>
      <c r="E112" s="73" t="s">
        <v>173</v>
      </c>
      <c r="F112" s="37" t="s">
        <v>669</v>
      </c>
    </row>
    <row r="113" spans="2:6" ht="12.75">
      <c r="B113" s="30" t="s">
        <v>527</v>
      </c>
      <c r="C113" s="73" t="s">
        <v>663</v>
      </c>
      <c r="D113" s="73" t="s">
        <v>257</v>
      </c>
      <c r="E113" s="73" t="s">
        <v>36</v>
      </c>
      <c r="F113" s="37" t="s">
        <v>670</v>
      </c>
    </row>
    <row r="115" spans="2:3" ht="13.5">
      <c r="B115" s="31" t="s">
        <v>114</v>
      </c>
      <c r="C115" s="32"/>
    </row>
    <row r="116" spans="2:6" ht="13.5">
      <c r="B116" s="33" t="s">
        <v>108</v>
      </c>
      <c r="C116" s="33" t="s">
        <v>109</v>
      </c>
      <c r="D116" s="33" t="s">
        <v>110</v>
      </c>
      <c r="E116" s="33" t="s">
        <v>111</v>
      </c>
      <c r="F116" s="33" t="s">
        <v>868</v>
      </c>
    </row>
    <row r="117" spans="1:6" ht="12.75">
      <c r="A117" s="35">
        <v>1</v>
      </c>
      <c r="B117" s="30" t="s">
        <v>204</v>
      </c>
      <c r="C117" s="73" t="s">
        <v>115</v>
      </c>
      <c r="D117" s="73" t="s">
        <v>117</v>
      </c>
      <c r="E117" s="73" t="s">
        <v>208</v>
      </c>
      <c r="F117" s="37" t="s">
        <v>671</v>
      </c>
    </row>
    <row r="118" spans="1:6" ht="12.75">
      <c r="A118" s="35">
        <v>2</v>
      </c>
      <c r="B118" s="30" t="s">
        <v>530</v>
      </c>
      <c r="C118" s="73" t="s">
        <v>115</v>
      </c>
      <c r="D118" s="73" t="s">
        <v>257</v>
      </c>
      <c r="E118" s="73" t="s">
        <v>175</v>
      </c>
      <c r="F118" s="37" t="s">
        <v>672</v>
      </c>
    </row>
    <row r="119" spans="1:6" ht="12.75">
      <c r="A119" s="35">
        <v>3</v>
      </c>
      <c r="B119" s="30" t="s">
        <v>558</v>
      </c>
      <c r="C119" s="73" t="s">
        <v>115</v>
      </c>
      <c r="D119" s="73" t="s">
        <v>116</v>
      </c>
      <c r="E119" s="73" t="s">
        <v>61</v>
      </c>
      <c r="F119" s="37" t="s">
        <v>673</v>
      </c>
    </row>
    <row r="120" spans="2:6" ht="12.75">
      <c r="B120" s="30" t="s">
        <v>577</v>
      </c>
      <c r="C120" s="73" t="s">
        <v>115</v>
      </c>
      <c r="D120" s="73" t="s">
        <v>117</v>
      </c>
      <c r="E120" s="73" t="s">
        <v>563</v>
      </c>
      <c r="F120" s="37" t="s">
        <v>674</v>
      </c>
    </row>
    <row r="121" spans="2:6" ht="12.75">
      <c r="B121" s="30" t="s">
        <v>579</v>
      </c>
      <c r="C121" s="73" t="s">
        <v>115</v>
      </c>
      <c r="D121" s="73" t="s">
        <v>117</v>
      </c>
      <c r="E121" s="73" t="s">
        <v>563</v>
      </c>
      <c r="F121" s="37" t="s">
        <v>675</v>
      </c>
    </row>
    <row r="122" spans="2:6" ht="12.75">
      <c r="B122" s="30" t="s">
        <v>638</v>
      </c>
      <c r="C122" s="73" t="s">
        <v>115</v>
      </c>
      <c r="D122" s="73" t="s">
        <v>125</v>
      </c>
      <c r="E122" s="73" t="s">
        <v>563</v>
      </c>
      <c r="F122" s="37" t="s">
        <v>676</v>
      </c>
    </row>
    <row r="123" spans="2:6" ht="12.75">
      <c r="B123" s="30" t="s">
        <v>582</v>
      </c>
      <c r="C123" s="73" t="s">
        <v>115</v>
      </c>
      <c r="D123" s="73" t="s">
        <v>117</v>
      </c>
      <c r="E123" s="73" t="s">
        <v>166</v>
      </c>
      <c r="F123" s="37" t="s">
        <v>677</v>
      </c>
    </row>
    <row r="125" spans="2:3" ht="13.5">
      <c r="B125" s="31" t="s">
        <v>107</v>
      </c>
      <c r="C125" s="32"/>
    </row>
    <row r="126" spans="2:6" ht="13.5">
      <c r="B126" s="33" t="s">
        <v>108</v>
      </c>
      <c r="C126" s="33" t="s">
        <v>109</v>
      </c>
      <c r="D126" s="33" t="s">
        <v>110</v>
      </c>
      <c r="E126" s="33" t="s">
        <v>111</v>
      </c>
      <c r="F126" s="33" t="s">
        <v>868</v>
      </c>
    </row>
    <row r="127" spans="1:6" ht="12.75">
      <c r="A127" s="35">
        <v>1</v>
      </c>
      <c r="B127" s="30" t="s">
        <v>641</v>
      </c>
      <c r="C127" s="73" t="s">
        <v>107</v>
      </c>
      <c r="D127" s="73" t="s">
        <v>125</v>
      </c>
      <c r="E127" s="73" t="s">
        <v>46</v>
      </c>
      <c r="F127" s="37" t="s">
        <v>678</v>
      </c>
    </row>
    <row r="128" spans="1:6" ht="12.75">
      <c r="A128" s="35">
        <v>2</v>
      </c>
      <c r="B128" s="30" t="s">
        <v>536</v>
      </c>
      <c r="C128" s="73" t="s">
        <v>107</v>
      </c>
      <c r="D128" s="73" t="s">
        <v>257</v>
      </c>
      <c r="E128" s="73" t="s">
        <v>49</v>
      </c>
      <c r="F128" s="37" t="s">
        <v>679</v>
      </c>
    </row>
    <row r="129" spans="1:6" ht="12.75">
      <c r="A129" s="35">
        <v>3</v>
      </c>
      <c r="B129" s="30" t="s">
        <v>657</v>
      </c>
      <c r="C129" s="73" t="s">
        <v>107</v>
      </c>
      <c r="D129" s="73" t="s">
        <v>286</v>
      </c>
      <c r="E129" s="73" t="s">
        <v>46</v>
      </c>
      <c r="F129" s="37" t="s">
        <v>680</v>
      </c>
    </row>
    <row r="130" spans="2:6" ht="12.75">
      <c r="B130" s="30" t="s">
        <v>539</v>
      </c>
      <c r="C130" s="73" t="s">
        <v>107</v>
      </c>
      <c r="D130" s="73" t="s">
        <v>257</v>
      </c>
      <c r="E130" s="73" t="s">
        <v>200</v>
      </c>
      <c r="F130" s="37" t="s">
        <v>681</v>
      </c>
    </row>
    <row r="131" spans="2:6" ht="12.75">
      <c r="B131" s="30" t="s">
        <v>615</v>
      </c>
      <c r="C131" s="73" t="s">
        <v>107</v>
      </c>
      <c r="D131" s="73" t="s">
        <v>120</v>
      </c>
      <c r="E131" s="73" t="s">
        <v>273</v>
      </c>
      <c r="F131" s="37" t="s">
        <v>682</v>
      </c>
    </row>
    <row r="132" spans="2:6" ht="12.75">
      <c r="B132" s="30" t="s">
        <v>618</v>
      </c>
      <c r="C132" s="73" t="s">
        <v>107</v>
      </c>
      <c r="D132" s="73" t="s">
        <v>120</v>
      </c>
      <c r="E132" s="73" t="s">
        <v>85</v>
      </c>
      <c r="F132" s="37" t="s">
        <v>683</v>
      </c>
    </row>
    <row r="133" spans="2:6" ht="12.75">
      <c r="B133" s="30" t="s">
        <v>542</v>
      </c>
      <c r="C133" s="73" t="s">
        <v>107</v>
      </c>
      <c r="D133" s="73" t="s">
        <v>257</v>
      </c>
      <c r="E133" s="73" t="s">
        <v>61</v>
      </c>
      <c r="F133" s="37" t="s">
        <v>684</v>
      </c>
    </row>
    <row r="134" spans="2:6" ht="12.75">
      <c r="B134" s="30" t="s">
        <v>585</v>
      </c>
      <c r="C134" s="73" t="s">
        <v>107</v>
      </c>
      <c r="D134" s="73" t="s">
        <v>117</v>
      </c>
      <c r="E134" s="73" t="s">
        <v>37</v>
      </c>
      <c r="F134" s="37" t="s">
        <v>685</v>
      </c>
    </row>
    <row r="135" spans="2:6" ht="12.75">
      <c r="B135" s="30" t="s">
        <v>204</v>
      </c>
      <c r="C135" s="73" t="s">
        <v>107</v>
      </c>
      <c r="D135" s="73" t="s">
        <v>117</v>
      </c>
      <c r="E135" s="73" t="s">
        <v>208</v>
      </c>
      <c r="F135" s="37" t="s">
        <v>671</v>
      </c>
    </row>
    <row r="136" spans="2:6" ht="12.75">
      <c r="B136" s="30" t="s">
        <v>561</v>
      </c>
      <c r="C136" s="73" t="s">
        <v>107</v>
      </c>
      <c r="D136" s="73" t="s">
        <v>116</v>
      </c>
      <c r="E136" s="73" t="s">
        <v>23</v>
      </c>
      <c r="F136" s="37" t="s">
        <v>686</v>
      </c>
    </row>
    <row r="137" spans="2:6" ht="12.75">
      <c r="B137" s="30" t="s">
        <v>544</v>
      </c>
      <c r="C137" s="73" t="s">
        <v>107</v>
      </c>
      <c r="D137" s="73" t="s">
        <v>257</v>
      </c>
      <c r="E137" s="73" t="s">
        <v>175</v>
      </c>
      <c r="F137" s="37" t="s">
        <v>687</v>
      </c>
    </row>
    <row r="138" spans="2:6" ht="12.75">
      <c r="B138" s="30" t="s">
        <v>588</v>
      </c>
      <c r="C138" s="73" t="s">
        <v>107</v>
      </c>
      <c r="D138" s="73" t="s">
        <v>117</v>
      </c>
      <c r="E138" s="73" t="s">
        <v>200</v>
      </c>
      <c r="F138" s="37" t="s">
        <v>688</v>
      </c>
    </row>
    <row r="139" spans="2:6" ht="12.75">
      <c r="B139" s="30" t="s">
        <v>896</v>
      </c>
      <c r="C139" s="73" t="s">
        <v>107</v>
      </c>
      <c r="D139" s="73" t="s">
        <v>120</v>
      </c>
      <c r="E139" s="73" t="s">
        <v>208</v>
      </c>
      <c r="F139" s="37" t="s">
        <v>689</v>
      </c>
    </row>
    <row r="140" spans="2:6" ht="12.75">
      <c r="B140" s="30" t="s">
        <v>623</v>
      </c>
      <c r="C140" s="73" t="s">
        <v>107</v>
      </c>
      <c r="D140" s="73" t="s">
        <v>120</v>
      </c>
      <c r="E140" s="73" t="s">
        <v>208</v>
      </c>
      <c r="F140" s="37" t="s">
        <v>690</v>
      </c>
    </row>
    <row r="141" spans="2:6" ht="12.75">
      <c r="B141" s="30" t="s">
        <v>592</v>
      </c>
      <c r="C141" s="73" t="s">
        <v>107</v>
      </c>
      <c r="D141" s="73" t="s">
        <v>117</v>
      </c>
      <c r="E141" s="73" t="s">
        <v>563</v>
      </c>
      <c r="F141" s="37" t="s">
        <v>691</v>
      </c>
    </row>
    <row r="142" spans="2:6" ht="12.75">
      <c r="B142" s="30" t="s">
        <v>594</v>
      </c>
      <c r="C142" s="73" t="s">
        <v>107</v>
      </c>
      <c r="D142" s="73" t="s">
        <v>117</v>
      </c>
      <c r="E142" s="73" t="s">
        <v>48</v>
      </c>
      <c r="F142" s="37" t="s">
        <v>692</v>
      </c>
    </row>
    <row r="143" spans="2:6" ht="12.75">
      <c r="B143" s="30" t="s">
        <v>505</v>
      </c>
      <c r="C143" s="73" t="s">
        <v>107</v>
      </c>
      <c r="D143" s="73" t="s">
        <v>241</v>
      </c>
      <c r="E143" s="73" t="s">
        <v>508</v>
      </c>
      <c r="F143" s="37" t="s">
        <v>693</v>
      </c>
    </row>
    <row r="144" spans="2:6" ht="12.75">
      <c r="B144" s="30" t="s">
        <v>509</v>
      </c>
      <c r="C144" s="73" t="s">
        <v>107</v>
      </c>
      <c r="D144" s="73" t="s">
        <v>241</v>
      </c>
      <c r="E144" s="73" t="s">
        <v>508</v>
      </c>
      <c r="F144" s="37" t="s">
        <v>694</v>
      </c>
    </row>
    <row r="145" spans="2:6" ht="12.75">
      <c r="B145" s="30" t="s">
        <v>512</v>
      </c>
      <c r="C145" s="73" t="s">
        <v>107</v>
      </c>
      <c r="D145" s="73" t="s">
        <v>241</v>
      </c>
      <c r="E145" s="73" t="s">
        <v>171</v>
      </c>
      <c r="F145" s="37" t="s">
        <v>695</v>
      </c>
    </row>
    <row r="146" spans="2:6" ht="12.75">
      <c r="B146" s="30" t="s">
        <v>626</v>
      </c>
      <c r="C146" s="73" t="s">
        <v>107</v>
      </c>
      <c r="D146" s="73" t="s">
        <v>120</v>
      </c>
      <c r="E146" s="73" t="s">
        <v>48</v>
      </c>
      <c r="F146" s="37" t="s">
        <v>696</v>
      </c>
    </row>
    <row r="147" spans="2:6" ht="12.75">
      <c r="B147" s="30" t="s">
        <v>564</v>
      </c>
      <c r="C147" s="73" t="s">
        <v>107</v>
      </c>
      <c r="D147" s="73" t="s">
        <v>116</v>
      </c>
      <c r="E147" s="73" t="s">
        <v>174</v>
      </c>
      <c r="F147" s="37" t="s">
        <v>697</v>
      </c>
    </row>
    <row r="148" spans="2:6" ht="12.75">
      <c r="B148" s="30" t="s">
        <v>596</v>
      </c>
      <c r="C148" s="73" t="s">
        <v>107</v>
      </c>
      <c r="D148" s="73" t="s">
        <v>117</v>
      </c>
      <c r="E148" s="73" t="s">
        <v>175</v>
      </c>
      <c r="F148" s="37" t="s">
        <v>698</v>
      </c>
    </row>
    <row r="149" spans="2:6" ht="12.75">
      <c r="B149" s="30" t="s">
        <v>599</v>
      </c>
      <c r="C149" s="73" t="s">
        <v>107</v>
      </c>
      <c r="D149" s="73" t="s">
        <v>117</v>
      </c>
      <c r="E149" s="73" t="s">
        <v>166</v>
      </c>
      <c r="F149" s="37" t="s">
        <v>699</v>
      </c>
    </row>
    <row r="150" spans="2:6" ht="12.75">
      <c r="B150" s="30" t="s">
        <v>645</v>
      </c>
      <c r="C150" s="73" t="s">
        <v>107</v>
      </c>
      <c r="D150" s="73" t="s">
        <v>125</v>
      </c>
      <c r="E150" s="73" t="s">
        <v>61</v>
      </c>
      <c r="F150" s="37" t="s">
        <v>700</v>
      </c>
    </row>
    <row r="152" spans="2:3" ht="13.5">
      <c r="B152" s="31" t="s">
        <v>305</v>
      </c>
      <c r="C152" s="32"/>
    </row>
    <row r="153" spans="2:6" ht="13.5">
      <c r="B153" s="33" t="s">
        <v>108</v>
      </c>
      <c r="C153" s="33" t="s">
        <v>109</v>
      </c>
      <c r="D153" s="33" t="s">
        <v>110</v>
      </c>
      <c r="E153" s="33" t="s">
        <v>111</v>
      </c>
      <c r="F153" s="33" t="s">
        <v>868</v>
      </c>
    </row>
    <row r="154" spans="1:6" ht="12.75">
      <c r="A154" s="35">
        <v>1</v>
      </c>
      <c r="B154" s="30" t="s">
        <v>660</v>
      </c>
      <c r="C154" s="73" t="s">
        <v>450</v>
      </c>
      <c r="D154" s="73" t="s">
        <v>286</v>
      </c>
      <c r="E154" s="73" t="s">
        <v>200</v>
      </c>
      <c r="F154" s="37" t="s">
        <v>701</v>
      </c>
    </row>
    <row r="155" spans="1:7" ht="12.75">
      <c r="A155" s="35">
        <v>2</v>
      </c>
      <c r="B155" s="30" t="s">
        <v>573</v>
      </c>
      <c r="C155" s="73" t="s">
        <v>450</v>
      </c>
      <c r="D155" s="73" t="s">
        <v>116</v>
      </c>
      <c r="E155" s="73" t="s">
        <v>175</v>
      </c>
      <c r="F155" s="124" t="s">
        <v>1121</v>
      </c>
      <c r="G155" s="37"/>
    </row>
    <row r="156" spans="1:6" ht="12.75">
      <c r="A156" s="35">
        <v>3</v>
      </c>
      <c r="B156" s="30" t="s">
        <v>635</v>
      </c>
      <c r="C156" s="73" t="s">
        <v>702</v>
      </c>
      <c r="D156" s="73" t="s">
        <v>120</v>
      </c>
      <c r="E156" s="73" t="s">
        <v>173</v>
      </c>
      <c r="F156" s="37" t="s">
        <v>703</v>
      </c>
    </row>
    <row r="157" spans="2:6" ht="12.75">
      <c r="B157" s="30" t="s">
        <v>608</v>
      </c>
      <c r="C157" s="73" t="s">
        <v>704</v>
      </c>
      <c r="D157" s="73" t="s">
        <v>117</v>
      </c>
      <c r="E157" s="73" t="s">
        <v>167</v>
      </c>
      <c r="F157" s="37" t="s">
        <v>705</v>
      </c>
    </row>
    <row r="158" spans="2:6" ht="12.75">
      <c r="B158" s="30" t="s">
        <v>515</v>
      </c>
      <c r="C158" s="73" t="s">
        <v>306</v>
      </c>
      <c r="D158" s="73" t="s">
        <v>241</v>
      </c>
      <c r="E158" s="73" t="s">
        <v>183</v>
      </c>
      <c r="F158" s="37" t="s">
        <v>706</v>
      </c>
    </row>
    <row r="159" spans="2:6" ht="12.75">
      <c r="B159" s="30" t="s">
        <v>611</v>
      </c>
      <c r="C159" s="73" t="s">
        <v>707</v>
      </c>
      <c r="D159" s="73" t="s">
        <v>117</v>
      </c>
      <c r="E159" s="73" t="s">
        <v>183</v>
      </c>
      <c r="F159" s="37" t="s">
        <v>708</v>
      </c>
    </row>
    <row r="160" spans="2:7" ht="12.75">
      <c r="B160" s="121" t="s">
        <v>520</v>
      </c>
      <c r="C160" s="122" t="s">
        <v>707</v>
      </c>
      <c r="D160" s="122" t="s">
        <v>241</v>
      </c>
      <c r="E160" s="122" t="s">
        <v>34</v>
      </c>
      <c r="F160" s="123" t="s">
        <v>1120</v>
      </c>
      <c r="G160" s="37"/>
    </row>
    <row r="161" spans="2:6" ht="12.75">
      <c r="B161" s="30" t="s">
        <v>569</v>
      </c>
      <c r="C161" s="73" t="s">
        <v>306</v>
      </c>
      <c r="D161" s="73" t="s">
        <v>116</v>
      </c>
      <c r="E161" s="73" t="s">
        <v>48</v>
      </c>
      <c r="F161" s="37" t="s">
        <v>709</v>
      </c>
    </row>
    <row r="162" spans="2:6" ht="12.75">
      <c r="B162" s="30" t="s">
        <v>653</v>
      </c>
      <c r="C162" s="73" t="s">
        <v>704</v>
      </c>
      <c r="D162" s="73" t="s">
        <v>125</v>
      </c>
      <c r="E162" s="73" t="s">
        <v>48</v>
      </c>
      <c r="F162" s="37" t="s">
        <v>710</v>
      </c>
    </row>
    <row r="163" spans="2:6" ht="12.75">
      <c r="B163" s="30" t="s">
        <v>896</v>
      </c>
      <c r="C163" s="73" t="s">
        <v>306</v>
      </c>
      <c r="D163" s="73" t="s">
        <v>120</v>
      </c>
      <c r="E163" s="73" t="s">
        <v>208</v>
      </c>
      <c r="F163" s="37" t="s">
        <v>711</v>
      </c>
    </row>
    <row r="164" spans="2:6" ht="12.75">
      <c r="B164" s="30" t="s">
        <v>649</v>
      </c>
      <c r="C164" s="73" t="s">
        <v>306</v>
      </c>
      <c r="D164" s="73" t="s">
        <v>125</v>
      </c>
      <c r="E164" s="73" t="s">
        <v>25</v>
      </c>
      <c r="F164" s="37" t="s">
        <v>712</v>
      </c>
    </row>
    <row r="165" spans="2:6" ht="12.75">
      <c r="B165" s="30" t="s">
        <v>547</v>
      </c>
      <c r="C165" s="73" t="s">
        <v>306</v>
      </c>
      <c r="D165" s="73" t="s">
        <v>257</v>
      </c>
      <c r="E165" s="73" t="s">
        <v>183</v>
      </c>
      <c r="F165" s="37" t="s">
        <v>713</v>
      </c>
    </row>
    <row r="166" spans="2:6" ht="12.75">
      <c r="B166" s="30" t="s">
        <v>605</v>
      </c>
      <c r="C166" s="73" t="s">
        <v>306</v>
      </c>
      <c r="D166" s="73" t="s">
        <v>117</v>
      </c>
      <c r="E166" s="73" t="s">
        <v>61</v>
      </c>
      <c r="F166" s="37" t="s">
        <v>714</v>
      </c>
    </row>
    <row r="167" spans="2:6" ht="12.75">
      <c r="B167" s="30" t="s">
        <v>632</v>
      </c>
      <c r="C167" s="73" t="s">
        <v>707</v>
      </c>
      <c r="D167" s="73" t="s">
        <v>120</v>
      </c>
      <c r="E167" s="73" t="s">
        <v>173</v>
      </c>
      <c r="F167" s="37" t="s">
        <v>715</v>
      </c>
    </row>
    <row r="168" spans="2:6" ht="12.75">
      <c r="B168" s="30" t="s">
        <v>645</v>
      </c>
      <c r="C168" s="73" t="s">
        <v>306</v>
      </c>
      <c r="D168" s="73" t="s">
        <v>125</v>
      </c>
      <c r="E168" s="73" t="s">
        <v>61</v>
      </c>
      <c r="F168" s="37" t="s">
        <v>716</v>
      </c>
    </row>
  </sheetData>
  <sheetProtection/>
  <mergeCells count="25">
    <mergeCell ref="B51:M51"/>
    <mergeCell ref="B61:M61"/>
    <mergeCell ref="B78:M78"/>
    <mergeCell ref="B89:M89"/>
    <mergeCell ref="B97:M97"/>
    <mergeCell ref="B18:M18"/>
    <mergeCell ref="B21:M21"/>
    <mergeCell ref="B24:M24"/>
    <mergeCell ref="B27:M27"/>
    <mergeCell ref="B31:M31"/>
    <mergeCell ref="B40:M40"/>
    <mergeCell ref="L3:L4"/>
    <mergeCell ref="M3:M4"/>
    <mergeCell ref="N3:N4"/>
    <mergeCell ref="B5:M5"/>
    <mergeCell ref="B8:M8"/>
    <mergeCell ref="B13:M13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1"/>
  <sheetViews>
    <sheetView workbookViewId="0" topLeftCell="A1">
      <selection activeCell="F56" sqref="F56"/>
    </sheetView>
  </sheetViews>
  <sheetFormatPr defaultColWidth="8.75390625" defaultRowHeight="12.75"/>
  <cols>
    <col min="1" max="1" width="5.125" style="35" customWidth="1"/>
    <col min="2" max="2" width="27.125" style="18" customWidth="1"/>
    <col min="3" max="3" width="26.875" style="18" bestFit="1" customWidth="1"/>
    <col min="4" max="4" width="13.375" style="18" bestFit="1" customWidth="1"/>
    <col min="5" max="5" width="8.375" style="18" bestFit="1" customWidth="1"/>
    <col min="6" max="6" width="22.75390625" style="18" bestFit="1" customWidth="1"/>
    <col min="7" max="7" width="39.375" style="18" customWidth="1"/>
    <col min="8" max="10" width="5.625" style="18" bestFit="1" customWidth="1"/>
    <col min="11" max="11" width="4.625" style="18" bestFit="1" customWidth="1"/>
    <col min="12" max="12" width="7.875" style="37" bestFit="1" customWidth="1"/>
    <col min="13" max="13" width="8.625" style="18" bestFit="1" customWidth="1"/>
    <col min="14" max="14" width="27.00390625" style="18" customWidth="1"/>
  </cols>
  <sheetData>
    <row r="1" spans="1:14" s="1" customFormat="1" ht="15" customHeight="1">
      <c r="A1" s="34"/>
      <c r="B1" s="129" t="s">
        <v>880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2:14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2</v>
      </c>
      <c r="I3" s="125"/>
      <c r="J3" s="125"/>
      <c r="K3" s="125"/>
      <c r="L3" s="125" t="s">
        <v>4</v>
      </c>
      <c r="M3" s="125" t="s">
        <v>6</v>
      </c>
      <c r="N3" s="127" t="s">
        <v>5</v>
      </c>
    </row>
    <row r="4" spans="2:14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126"/>
      <c r="M4" s="126"/>
      <c r="N4" s="128"/>
    </row>
    <row r="5" spans="2:13" ht="15.75">
      <c r="B5" s="139" t="s">
        <v>325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35">
        <v>1</v>
      </c>
      <c r="B6" s="19" t="s">
        <v>326</v>
      </c>
      <c r="C6" s="19" t="s">
        <v>327</v>
      </c>
      <c r="D6" s="19" t="s">
        <v>328</v>
      </c>
      <c r="E6" s="19" t="str">
        <f>"1,9420"</f>
        <v>1,9420</v>
      </c>
      <c r="F6" s="19" t="s">
        <v>31</v>
      </c>
      <c r="G6" s="19" t="s">
        <v>886</v>
      </c>
      <c r="H6" s="39" t="s">
        <v>158</v>
      </c>
      <c r="I6" s="39" t="s">
        <v>329</v>
      </c>
      <c r="J6" s="38" t="s">
        <v>139</v>
      </c>
      <c r="K6" s="20"/>
      <c r="L6" s="74">
        <v>45</v>
      </c>
      <c r="M6" s="19" t="str">
        <f>"87,3900"</f>
        <v>87,3900</v>
      </c>
      <c r="N6" s="19" t="s">
        <v>330</v>
      </c>
    </row>
    <row r="8" spans="2:13" ht="15.75">
      <c r="B8" s="140" t="s">
        <v>142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4" ht="12.75">
      <c r="A9" s="35">
        <v>1</v>
      </c>
      <c r="B9" s="19" t="s">
        <v>331</v>
      </c>
      <c r="C9" s="19" t="s">
        <v>332</v>
      </c>
      <c r="D9" s="19" t="s">
        <v>333</v>
      </c>
      <c r="E9" s="19" t="str">
        <f>"1,7830"</f>
        <v>1,7830</v>
      </c>
      <c r="F9" s="19" t="s">
        <v>31</v>
      </c>
      <c r="G9" s="19" t="s">
        <v>334</v>
      </c>
      <c r="H9" s="39" t="s">
        <v>138</v>
      </c>
      <c r="I9" s="39" t="s">
        <v>335</v>
      </c>
      <c r="J9" s="38" t="s">
        <v>336</v>
      </c>
      <c r="K9" s="20"/>
      <c r="L9" s="74">
        <v>67.5</v>
      </c>
      <c r="M9" s="19" t="str">
        <f>"120,3525"</f>
        <v>120,3525</v>
      </c>
      <c r="N9" s="19" t="s">
        <v>881</v>
      </c>
    </row>
    <row r="11" spans="2:13" ht="15.75">
      <c r="B11" s="140" t="s">
        <v>161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4" ht="12.75">
      <c r="A12" s="35">
        <v>1</v>
      </c>
      <c r="B12" s="21" t="s">
        <v>337</v>
      </c>
      <c r="C12" s="21" t="s">
        <v>338</v>
      </c>
      <c r="D12" s="21" t="s">
        <v>339</v>
      </c>
      <c r="E12" s="21" t="str">
        <f>"1,6850"</f>
        <v>1,6850</v>
      </c>
      <c r="F12" s="21" t="s">
        <v>31</v>
      </c>
      <c r="G12" s="19" t="s">
        <v>886</v>
      </c>
      <c r="H12" s="45" t="s">
        <v>224</v>
      </c>
      <c r="I12" s="45" t="s">
        <v>183</v>
      </c>
      <c r="J12" s="42" t="s">
        <v>166</v>
      </c>
      <c r="K12" s="22"/>
      <c r="L12" s="75">
        <v>125</v>
      </c>
      <c r="M12" s="21" t="str">
        <f>"210,6250"</f>
        <v>210,6250</v>
      </c>
      <c r="N12" s="21" t="s">
        <v>882</v>
      </c>
    </row>
    <row r="13" spans="1:14" ht="12.75">
      <c r="A13" s="35">
        <v>2</v>
      </c>
      <c r="B13" s="19" t="s">
        <v>340</v>
      </c>
      <c r="C13" s="19" t="s">
        <v>341</v>
      </c>
      <c r="D13" s="19" t="s">
        <v>342</v>
      </c>
      <c r="E13" s="19" t="str">
        <f>"1,7118"</f>
        <v>1,7118</v>
      </c>
      <c r="F13" s="19" t="s">
        <v>31</v>
      </c>
      <c r="G13" s="19" t="s">
        <v>886</v>
      </c>
      <c r="H13" s="39" t="s">
        <v>158</v>
      </c>
      <c r="I13" s="39" t="s">
        <v>343</v>
      </c>
      <c r="J13" s="39" t="s">
        <v>329</v>
      </c>
      <c r="K13" s="20"/>
      <c r="L13" s="74">
        <v>45</v>
      </c>
      <c r="M13" s="19" t="str">
        <f>"77,0310"</f>
        <v>77,0310</v>
      </c>
      <c r="N13" s="19" t="s">
        <v>344</v>
      </c>
    </row>
    <row r="15" spans="2:13" ht="15.75">
      <c r="B15" s="140" t="s">
        <v>177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</row>
    <row r="16" spans="1:14" ht="12.75">
      <c r="A16" s="35">
        <v>1</v>
      </c>
      <c r="B16" s="19" t="s">
        <v>345</v>
      </c>
      <c r="C16" s="19" t="s">
        <v>346</v>
      </c>
      <c r="D16" s="19" t="s">
        <v>347</v>
      </c>
      <c r="E16" s="19" t="str">
        <f>"1,5646"</f>
        <v>1,5646</v>
      </c>
      <c r="F16" s="19" t="s">
        <v>31</v>
      </c>
      <c r="G16" s="19" t="s">
        <v>886</v>
      </c>
      <c r="H16" s="39" t="s">
        <v>22</v>
      </c>
      <c r="I16" s="39" t="s">
        <v>156</v>
      </c>
      <c r="J16" s="39" t="s">
        <v>348</v>
      </c>
      <c r="K16" s="38" t="s">
        <v>159</v>
      </c>
      <c r="L16" s="74">
        <v>87.5</v>
      </c>
      <c r="M16" s="19" t="str">
        <f>"136,9025"</f>
        <v>136,9025</v>
      </c>
      <c r="N16" s="19" t="s">
        <v>349</v>
      </c>
    </row>
    <row r="18" spans="2:13" ht="15.75">
      <c r="B18" s="140" t="s">
        <v>13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4" ht="12.75">
      <c r="A19" s="35">
        <v>1</v>
      </c>
      <c r="B19" s="19" t="s">
        <v>350</v>
      </c>
      <c r="C19" s="19" t="s">
        <v>351</v>
      </c>
      <c r="D19" s="19" t="s">
        <v>170</v>
      </c>
      <c r="E19" s="19" t="str">
        <f>"1,9550"</f>
        <v>1,9550</v>
      </c>
      <c r="F19" s="19" t="s">
        <v>31</v>
      </c>
      <c r="G19" s="19" t="s">
        <v>32</v>
      </c>
      <c r="H19" s="39" t="s">
        <v>352</v>
      </c>
      <c r="I19" s="39" t="s">
        <v>353</v>
      </c>
      <c r="J19" s="38" t="s">
        <v>157</v>
      </c>
      <c r="K19" s="20"/>
      <c r="L19" s="74">
        <v>30</v>
      </c>
      <c r="M19" s="19" t="str">
        <f>"58,6500"</f>
        <v>58,6500</v>
      </c>
      <c r="N19" s="19" t="s">
        <v>739</v>
      </c>
    </row>
    <row r="21" spans="2:13" ht="15.75">
      <c r="B21" s="140" t="s">
        <v>142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</row>
    <row r="22" spans="1:14" ht="12.75">
      <c r="A22" s="35">
        <v>1</v>
      </c>
      <c r="B22" s="19" t="s">
        <v>354</v>
      </c>
      <c r="C22" s="19" t="s">
        <v>355</v>
      </c>
      <c r="D22" s="19" t="s">
        <v>356</v>
      </c>
      <c r="E22" s="19" t="str">
        <f>"1,4970"</f>
        <v>1,4970</v>
      </c>
      <c r="F22" s="19" t="s">
        <v>31</v>
      </c>
      <c r="G22" s="19" t="s">
        <v>32</v>
      </c>
      <c r="H22" s="39" t="s">
        <v>35</v>
      </c>
      <c r="I22" s="39" t="s">
        <v>149</v>
      </c>
      <c r="J22" s="38" t="s">
        <v>171</v>
      </c>
      <c r="K22" s="20"/>
      <c r="L22" s="74">
        <v>102.5</v>
      </c>
      <c r="M22" s="19" t="str">
        <f>"153,4425"</f>
        <v>153,4425</v>
      </c>
      <c r="N22" s="19" t="s">
        <v>357</v>
      </c>
    </row>
    <row r="24" spans="2:13" ht="15.75">
      <c r="B24" s="140" t="s">
        <v>177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</row>
    <row r="25" spans="1:14" ht="12.75">
      <c r="A25" s="35">
        <v>1</v>
      </c>
      <c r="B25" s="21" t="s">
        <v>358</v>
      </c>
      <c r="C25" s="21" t="s">
        <v>359</v>
      </c>
      <c r="D25" s="21" t="s">
        <v>360</v>
      </c>
      <c r="E25" s="21" t="str">
        <f>"1,1336"</f>
        <v>1,1336</v>
      </c>
      <c r="F25" s="21" t="s">
        <v>361</v>
      </c>
      <c r="G25" s="21" t="s">
        <v>57</v>
      </c>
      <c r="H25" s="45" t="s">
        <v>33</v>
      </c>
      <c r="I25" s="45" t="s">
        <v>175</v>
      </c>
      <c r="J25" s="42" t="s">
        <v>61</v>
      </c>
      <c r="K25" s="22"/>
      <c r="L25" s="75">
        <v>135</v>
      </c>
      <c r="M25" s="21" t="str">
        <f>"153,0360"</f>
        <v>153,0360</v>
      </c>
      <c r="N25" s="21" t="s">
        <v>89</v>
      </c>
    </row>
    <row r="26" spans="1:14" ht="12.75">
      <c r="A26" s="35">
        <v>1</v>
      </c>
      <c r="B26" s="19" t="s">
        <v>362</v>
      </c>
      <c r="C26" s="19" t="s">
        <v>363</v>
      </c>
      <c r="D26" s="19" t="s">
        <v>364</v>
      </c>
      <c r="E26" s="19" t="str">
        <f>"1,1562"</f>
        <v>1,1562</v>
      </c>
      <c r="F26" s="19" t="s">
        <v>31</v>
      </c>
      <c r="G26" s="19" t="s">
        <v>44</v>
      </c>
      <c r="H26" s="39" t="s">
        <v>167</v>
      </c>
      <c r="I26" s="39" t="s">
        <v>48</v>
      </c>
      <c r="J26" s="38" t="s">
        <v>365</v>
      </c>
      <c r="K26" s="20"/>
      <c r="L26" s="74">
        <v>147.5</v>
      </c>
      <c r="M26" s="19" t="str">
        <f>"245,5769"</f>
        <v>245,5769</v>
      </c>
      <c r="N26" s="19" t="s">
        <v>89</v>
      </c>
    </row>
    <row r="28" spans="2:13" ht="15.75">
      <c r="B28" s="140" t="s">
        <v>27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</row>
    <row r="29" spans="1:14" ht="12.75">
      <c r="A29" s="35">
        <v>1</v>
      </c>
      <c r="B29" s="19" t="s">
        <v>366</v>
      </c>
      <c r="C29" s="19" t="s">
        <v>367</v>
      </c>
      <c r="D29" s="19" t="s">
        <v>368</v>
      </c>
      <c r="E29" s="19" t="str">
        <f>"1,0480"</f>
        <v>1,0480</v>
      </c>
      <c r="F29" s="19" t="s">
        <v>31</v>
      </c>
      <c r="G29" s="19" t="s">
        <v>369</v>
      </c>
      <c r="H29" s="39" t="s">
        <v>71</v>
      </c>
      <c r="I29" s="20"/>
      <c r="J29" s="20"/>
      <c r="K29" s="20"/>
      <c r="L29" s="74">
        <v>185</v>
      </c>
      <c r="M29" s="19" t="str">
        <f>"193,8800"</f>
        <v>193,8800</v>
      </c>
      <c r="N29" s="19" t="s">
        <v>883</v>
      </c>
    </row>
    <row r="31" spans="2:13" ht="15.75">
      <c r="B31" s="140" t="s">
        <v>66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4" ht="12.75">
      <c r="A32" s="35">
        <v>1</v>
      </c>
      <c r="B32" s="21" t="s">
        <v>370</v>
      </c>
      <c r="C32" s="21" t="s">
        <v>371</v>
      </c>
      <c r="D32" s="21" t="s">
        <v>372</v>
      </c>
      <c r="E32" s="21" t="str">
        <f>"0,9752"</f>
        <v>0,9752</v>
      </c>
      <c r="F32" s="21" t="s">
        <v>31</v>
      </c>
      <c r="G32" s="21" t="s">
        <v>373</v>
      </c>
      <c r="H32" s="45" t="s">
        <v>38</v>
      </c>
      <c r="I32" s="45" t="s">
        <v>374</v>
      </c>
      <c r="J32" s="45" t="s">
        <v>85</v>
      </c>
      <c r="K32" s="22"/>
      <c r="L32" s="75">
        <v>180</v>
      </c>
      <c r="M32" s="21" t="str">
        <f>"175,5360"</f>
        <v>175,5360</v>
      </c>
      <c r="N32" s="21" t="s">
        <v>375</v>
      </c>
    </row>
    <row r="33" spans="1:14" ht="12.75">
      <c r="A33" s="35">
        <v>2</v>
      </c>
      <c r="B33" s="19" t="s">
        <v>376</v>
      </c>
      <c r="C33" s="19" t="s">
        <v>377</v>
      </c>
      <c r="D33" s="19" t="s">
        <v>378</v>
      </c>
      <c r="E33" s="19" t="str">
        <f>"0,9908"</f>
        <v>0,9908</v>
      </c>
      <c r="F33" s="19" t="s">
        <v>31</v>
      </c>
      <c r="G33" s="19" t="s">
        <v>32</v>
      </c>
      <c r="H33" s="38" t="s">
        <v>38</v>
      </c>
      <c r="I33" s="39" t="s">
        <v>38</v>
      </c>
      <c r="J33" s="38" t="s">
        <v>374</v>
      </c>
      <c r="K33" s="20"/>
      <c r="L33" s="74">
        <v>175</v>
      </c>
      <c r="M33" s="19" t="str">
        <f>"173,3900"</f>
        <v>173,3900</v>
      </c>
      <c r="N33" s="19" t="s">
        <v>89</v>
      </c>
    </row>
    <row r="34" spans="1:14" ht="12.75">
      <c r="A34" s="35">
        <v>3</v>
      </c>
      <c r="B34" s="25" t="s">
        <v>379</v>
      </c>
      <c r="C34" s="25" t="s">
        <v>380</v>
      </c>
      <c r="D34" s="25" t="s">
        <v>381</v>
      </c>
      <c r="E34" s="25" t="str">
        <f>"0,9768"</f>
        <v>0,9768</v>
      </c>
      <c r="F34" s="25" t="s">
        <v>31</v>
      </c>
      <c r="G34" s="25" t="s">
        <v>44</v>
      </c>
      <c r="H34" s="43" t="s">
        <v>24</v>
      </c>
      <c r="I34" s="46" t="s">
        <v>24</v>
      </c>
      <c r="J34" s="46" t="s">
        <v>25</v>
      </c>
      <c r="K34" s="26"/>
      <c r="L34" s="76">
        <v>167.5</v>
      </c>
      <c r="M34" s="25" t="str">
        <f>"163,6140"</f>
        <v>163,6140</v>
      </c>
      <c r="N34" s="25" t="s">
        <v>89</v>
      </c>
    </row>
    <row r="35" spans="1:14" ht="12.75">
      <c r="A35" s="35">
        <v>4</v>
      </c>
      <c r="B35" s="19" t="s">
        <v>382</v>
      </c>
      <c r="C35" s="19" t="s">
        <v>383</v>
      </c>
      <c r="D35" s="19" t="s">
        <v>214</v>
      </c>
      <c r="E35" s="19" t="str">
        <f>"0,9760"</f>
        <v>0,9760</v>
      </c>
      <c r="F35" s="19" t="s">
        <v>31</v>
      </c>
      <c r="G35" s="19" t="s">
        <v>44</v>
      </c>
      <c r="H35" s="39" t="s">
        <v>24</v>
      </c>
      <c r="I35" s="39" t="s">
        <v>25</v>
      </c>
      <c r="J35" s="38" t="s">
        <v>38</v>
      </c>
      <c r="K35" s="20"/>
      <c r="L35" s="74">
        <v>167.5</v>
      </c>
      <c r="M35" s="19" t="str">
        <f>"163,4800"</f>
        <v>163,4800</v>
      </c>
      <c r="N35" s="19" t="s">
        <v>884</v>
      </c>
    </row>
    <row r="36" spans="1:14" ht="12.75">
      <c r="A36" s="35">
        <v>5</v>
      </c>
      <c r="B36" s="25" t="s">
        <v>384</v>
      </c>
      <c r="C36" s="25" t="s">
        <v>385</v>
      </c>
      <c r="D36" s="25" t="s">
        <v>372</v>
      </c>
      <c r="E36" s="25" t="str">
        <f>"0,9752"</f>
        <v>0,9752</v>
      </c>
      <c r="F36" s="25" t="s">
        <v>43</v>
      </c>
      <c r="G36" s="25" t="s">
        <v>44</v>
      </c>
      <c r="H36" s="46" t="s">
        <v>200</v>
      </c>
      <c r="I36" s="43" t="s">
        <v>25</v>
      </c>
      <c r="J36" s="43" t="s">
        <v>38</v>
      </c>
      <c r="K36" s="26"/>
      <c r="L36" s="76">
        <v>155</v>
      </c>
      <c r="M36" s="25" t="str">
        <f>"151,1560"</f>
        <v>151,1560</v>
      </c>
      <c r="N36" s="25" t="s">
        <v>53</v>
      </c>
    </row>
    <row r="37" spans="1:14" ht="12.75">
      <c r="A37" s="35">
        <v>6</v>
      </c>
      <c r="B37" s="19" t="s">
        <v>386</v>
      </c>
      <c r="C37" s="19" t="s">
        <v>387</v>
      </c>
      <c r="D37" s="19" t="s">
        <v>388</v>
      </c>
      <c r="E37" s="19" t="str">
        <f>"0,9830"</f>
        <v>0,9830</v>
      </c>
      <c r="F37" s="19" t="s">
        <v>31</v>
      </c>
      <c r="G37" s="19" t="s">
        <v>886</v>
      </c>
      <c r="H37" s="39" t="s">
        <v>61</v>
      </c>
      <c r="I37" s="38" t="s">
        <v>200</v>
      </c>
      <c r="J37" s="38" t="s">
        <v>200</v>
      </c>
      <c r="K37" s="20"/>
      <c r="L37" s="74">
        <v>145</v>
      </c>
      <c r="M37" s="19" t="str">
        <f>"142,5350"</f>
        <v>142,5350</v>
      </c>
      <c r="N37" s="19" t="s">
        <v>389</v>
      </c>
    </row>
    <row r="38" spans="1:14" ht="12.75">
      <c r="A38" s="35">
        <v>1</v>
      </c>
      <c r="B38" s="25" t="s">
        <v>390</v>
      </c>
      <c r="C38" s="25" t="s">
        <v>391</v>
      </c>
      <c r="D38" s="25" t="s">
        <v>392</v>
      </c>
      <c r="E38" s="25" t="str">
        <f>"0,9690"</f>
        <v>0,9690</v>
      </c>
      <c r="F38" s="25" t="s">
        <v>393</v>
      </c>
      <c r="G38" s="19" t="s">
        <v>869</v>
      </c>
      <c r="H38" s="46" t="s">
        <v>24</v>
      </c>
      <c r="I38" s="26"/>
      <c r="J38" s="26"/>
      <c r="K38" s="26"/>
      <c r="L38" s="76">
        <v>160</v>
      </c>
      <c r="M38" s="25" t="str">
        <f>"169,9238"</f>
        <v>169,9238</v>
      </c>
      <c r="N38" s="25" t="s">
        <v>89</v>
      </c>
    </row>
    <row r="39" spans="1:14" ht="12.75">
      <c r="A39" s="35">
        <v>2</v>
      </c>
      <c r="B39" s="19" t="s">
        <v>394</v>
      </c>
      <c r="C39" s="19" t="s">
        <v>395</v>
      </c>
      <c r="D39" s="19" t="s">
        <v>214</v>
      </c>
      <c r="E39" s="19" t="str">
        <f>"0,9760"</f>
        <v>0,9760</v>
      </c>
      <c r="F39" s="19" t="s">
        <v>31</v>
      </c>
      <c r="G39" s="19" t="s">
        <v>57</v>
      </c>
      <c r="H39" s="39" t="s">
        <v>23</v>
      </c>
      <c r="I39" s="38" t="s">
        <v>200</v>
      </c>
      <c r="J39" s="39" t="s">
        <v>200</v>
      </c>
      <c r="K39" s="20"/>
      <c r="L39" s="74">
        <v>155</v>
      </c>
      <c r="M39" s="19" t="str">
        <f>"168,5259"</f>
        <v>168,5259</v>
      </c>
      <c r="N39" s="19" t="s">
        <v>89</v>
      </c>
    </row>
    <row r="40" spans="1:14" ht="12.75">
      <c r="A40" s="35">
        <v>3</v>
      </c>
      <c r="B40" s="23" t="s">
        <v>859</v>
      </c>
      <c r="C40" s="23" t="s">
        <v>397</v>
      </c>
      <c r="D40" s="23" t="s">
        <v>398</v>
      </c>
      <c r="E40" s="23" t="str">
        <f>"0,9776"</f>
        <v>0,9776</v>
      </c>
      <c r="F40" s="23" t="s">
        <v>854</v>
      </c>
      <c r="G40" s="23" t="s">
        <v>82</v>
      </c>
      <c r="H40" s="47" t="s">
        <v>23</v>
      </c>
      <c r="I40" s="44" t="s">
        <v>200</v>
      </c>
      <c r="J40" s="44" t="s">
        <v>200</v>
      </c>
      <c r="K40" s="24"/>
      <c r="L40" s="77">
        <v>150</v>
      </c>
      <c r="M40" s="23" t="str">
        <f>"155,4384"</f>
        <v>155,4384</v>
      </c>
      <c r="N40" s="23" t="s">
        <v>399</v>
      </c>
    </row>
    <row r="42" spans="2:13" ht="15.75">
      <c r="B42" s="140" t="s">
        <v>77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</row>
    <row r="43" spans="1:14" ht="12.75">
      <c r="A43" s="35">
        <v>1</v>
      </c>
      <c r="B43" s="21" t="s">
        <v>400</v>
      </c>
      <c r="C43" s="21" t="s">
        <v>401</v>
      </c>
      <c r="D43" s="21" t="s">
        <v>402</v>
      </c>
      <c r="E43" s="21" t="str">
        <f>"0,9246"</f>
        <v>0,9246</v>
      </c>
      <c r="F43" s="21" t="s">
        <v>31</v>
      </c>
      <c r="G43" s="21" t="s">
        <v>32</v>
      </c>
      <c r="H43" s="45" t="s">
        <v>45</v>
      </c>
      <c r="I43" s="45" t="s">
        <v>46</v>
      </c>
      <c r="J43" s="42" t="s">
        <v>62</v>
      </c>
      <c r="K43" s="22"/>
      <c r="L43" s="75">
        <v>205</v>
      </c>
      <c r="M43" s="21" t="str">
        <f>"189,5430"</f>
        <v>189,5430</v>
      </c>
      <c r="N43" s="21" t="s">
        <v>89</v>
      </c>
    </row>
    <row r="44" spans="1:14" ht="12.75">
      <c r="A44" s="35">
        <v>2</v>
      </c>
      <c r="B44" s="19" t="s">
        <v>403</v>
      </c>
      <c r="C44" s="19" t="s">
        <v>404</v>
      </c>
      <c r="D44" s="19" t="s">
        <v>405</v>
      </c>
      <c r="E44" s="19" t="str">
        <f>"0,9186"</f>
        <v>0,9186</v>
      </c>
      <c r="F44" s="19" t="s">
        <v>31</v>
      </c>
      <c r="G44" s="19" t="s">
        <v>57</v>
      </c>
      <c r="H44" s="39" t="s">
        <v>71</v>
      </c>
      <c r="I44" s="39" t="s">
        <v>58</v>
      </c>
      <c r="J44" s="39" t="s">
        <v>45</v>
      </c>
      <c r="K44" s="20"/>
      <c r="L44" s="74">
        <v>195</v>
      </c>
      <c r="M44" s="19" t="str">
        <f>"179,1270"</f>
        <v>179,1270</v>
      </c>
      <c r="N44" s="19" t="s">
        <v>89</v>
      </c>
    </row>
    <row r="45" spans="1:14" ht="12.75">
      <c r="A45" s="35">
        <v>3</v>
      </c>
      <c r="B45" s="23" t="s">
        <v>406</v>
      </c>
      <c r="C45" s="23" t="s">
        <v>407</v>
      </c>
      <c r="D45" s="23" t="s">
        <v>408</v>
      </c>
      <c r="E45" s="23" t="str">
        <f>"0,9312"</f>
        <v>0,9312</v>
      </c>
      <c r="F45" s="23" t="s">
        <v>854</v>
      </c>
      <c r="G45" s="23" t="s">
        <v>82</v>
      </c>
      <c r="H45" s="47" t="s">
        <v>38</v>
      </c>
      <c r="I45" s="47" t="s">
        <v>71</v>
      </c>
      <c r="J45" s="44" t="s">
        <v>58</v>
      </c>
      <c r="K45" s="24"/>
      <c r="L45" s="77">
        <v>185</v>
      </c>
      <c r="M45" s="23" t="str">
        <f>"172,2720"</f>
        <v>172,2720</v>
      </c>
      <c r="N45" s="23" t="s">
        <v>409</v>
      </c>
    </row>
    <row r="47" spans="2:13" ht="15.75">
      <c r="B47" s="140" t="s">
        <v>96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</row>
    <row r="48" spans="1:14" ht="12.75">
      <c r="A48" s="35">
        <v>1</v>
      </c>
      <c r="B48" s="21" t="s">
        <v>410</v>
      </c>
      <c r="C48" s="21" t="s">
        <v>411</v>
      </c>
      <c r="D48" s="21" t="s">
        <v>412</v>
      </c>
      <c r="E48" s="21" t="str">
        <f>"0,8900"</f>
        <v>0,8900</v>
      </c>
      <c r="F48" s="21" t="s">
        <v>31</v>
      </c>
      <c r="G48" s="21" t="s">
        <v>32</v>
      </c>
      <c r="H48" s="45" t="s">
        <v>59</v>
      </c>
      <c r="I48" s="42" t="s">
        <v>46</v>
      </c>
      <c r="J48" s="42" t="s">
        <v>46</v>
      </c>
      <c r="K48" s="22"/>
      <c r="L48" s="75">
        <v>200</v>
      </c>
      <c r="M48" s="21" t="str">
        <f>"178,0000"</f>
        <v>178,0000</v>
      </c>
      <c r="N48" s="21" t="s">
        <v>89</v>
      </c>
    </row>
    <row r="49" spans="1:14" ht="12.75">
      <c r="A49" s="35">
        <v>2</v>
      </c>
      <c r="B49" s="19" t="s">
        <v>413</v>
      </c>
      <c r="C49" s="19" t="s">
        <v>414</v>
      </c>
      <c r="D49" s="19" t="s">
        <v>415</v>
      </c>
      <c r="E49" s="19" t="str">
        <f>"0,8910"</f>
        <v>0,8910</v>
      </c>
      <c r="F49" s="19" t="s">
        <v>31</v>
      </c>
      <c r="G49" s="19" t="s">
        <v>416</v>
      </c>
      <c r="H49" s="39" t="s">
        <v>194</v>
      </c>
      <c r="I49" s="39" t="s">
        <v>58</v>
      </c>
      <c r="J49" s="38" t="s">
        <v>59</v>
      </c>
      <c r="K49" s="20"/>
      <c r="L49" s="74">
        <v>190</v>
      </c>
      <c r="M49" s="19" t="str">
        <f>"169,2900"</f>
        <v>169,2900</v>
      </c>
      <c r="N49" s="19" t="s">
        <v>417</v>
      </c>
    </row>
    <row r="50" spans="1:14" ht="12.75">
      <c r="A50" s="35">
        <v>1</v>
      </c>
      <c r="B50" s="25" t="s">
        <v>418</v>
      </c>
      <c r="C50" s="25" t="s">
        <v>419</v>
      </c>
      <c r="D50" s="25" t="s">
        <v>415</v>
      </c>
      <c r="E50" s="25" t="str">
        <f>"0,8910"</f>
        <v>0,8910</v>
      </c>
      <c r="F50" s="25" t="s">
        <v>31</v>
      </c>
      <c r="G50" s="19" t="s">
        <v>886</v>
      </c>
      <c r="H50" s="46" t="s">
        <v>71</v>
      </c>
      <c r="I50" s="43" t="s">
        <v>45</v>
      </c>
      <c r="J50" s="43" t="s">
        <v>45</v>
      </c>
      <c r="K50" s="26"/>
      <c r="L50" s="76">
        <v>185</v>
      </c>
      <c r="M50" s="25" t="str">
        <f>"174,7251"</f>
        <v>174,7251</v>
      </c>
      <c r="N50" s="25" t="s">
        <v>89</v>
      </c>
    </row>
    <row r="51" spans="1:14" ht="12.75">
      <c r="A51" s="35">
        <v>2</v>
      </c>
      <c r="B51" s="19" t="s">
        <v>420</v>
      </c>
      <c r="C51" s="19" t="s">
        <v>421</v>
      </c>
      <c r="D51" s="19" t="s">
        <v>422</v>
      </c>
      <c r="E51" s="19" t="str">
        <f>"0,8882"</f>
        <v>0,8882</v>
      </c>
      <c r="F51" s="19" t="s">
        <v>31</v>
      </c>
      <c r="G51" s="19" t="s">
        <v>423</v>
      </c>
      <c r="H51" s="39" t="s">
        <v>19</v>
      </c>
      <c r="I51" s="39" t="s">
        <v>183</v>
      </c>
      <c r="J51" s="38" t="s">
        <v>33</v>
      </c>
      <c r="K51" s="20"/>
      <c r="L51" s="74">
        <v>125</v>
      </c>
      <c r="M51" s="19" t="str">
        <f>"123,6818"</f>
        <v>123,6818</v>
      </c>
      <c r="N51" s="19" t="s">
        <v>89</v>
      </c>
    </row>
    <row r="53" spans="2:13" ht="15.75">
      <c r="B53" s="140" t="s">
        <v>278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</row>
    <row r="54" spans="1:14" ht="12.75">
      <c r="A54" s="35">
        <v>1</v>
      </c>
      <c r="B54" s="21" t="s">
        <v>424</v>
      </c>
      <c r="C54" s="21" t="s">
        <v>425</v>
      </c>
      <c r="D54" s="21" t="s">
        <v>426</v>
      </c>
      <c r="E54" s="21" t="str">
        <f>"0,8650"</f>
        <v>0,8650</v>
      </c>
      <c r="F54" s="21" t="s">
        <v>854</v>
      </c>
      <c r="G54" s="21" t="s">
        <v>82</v>
      </c>
      <c r="H54" s="45" t="s">
        <v>189</v>
      </c>
      <c r="I54" s="45" t="s">
        <v>101</v>
      </c>
      <c r="J54" s="45" t="s">
        <v>228</v>
      </c>
      <c r="K54" s="22"/>
      <c r="L54" s="75">
        <v>235</v>
      </c>
      <c r="M54" s="21" t="str">
        <f>"203,2750"</f>
        <v>203,2750</v>
      </c>
      <c r="N54" s="21" t="s">
        <v>409</v>
      </c>
    </row>
    <row r="55" spans="1:14" ht="12.75">
      <c r="A55" s="35">
        <v>2</v>
      </c>
      <c r="B55" s="19" t="s">
        <v>427</v>
      </c>
      <c r="C55" s="19" t="s">
        <v>428</v>
      </c>
      <c r="D55" s="19" t="s">
        <v>429</v>
      </c>
      <c r="E55" s="19" t="str">
        <f>"0,8788"</f>
        <v>0,8788</v>
      </c>
      <c r="F55" s="19" t="s">
        <v>885</v>
      </c>
      <c r="G55" s="19" t="s">
        <v>100</v>
      </c>
      <c r="H55" s="39" t="s">
        <v>188</v>
      </c>
      <c r="I55" s="39" t="s">
        <v>189</v>
      </c>
      <c r="J55" s="39" t="s">
        <v>101</v>
      </c>
      <c r="K55" s="20"/>
      <c r="L55" s="74">
        <v>230</v>
      </c>
      <c r="M55" s="19" t="str">
        <f>"202,1240"</f>
        <v>202,1240</v>
      </c>
      <c r="N55" s="19" t="s">
        <v>89</v>
      </c>
    </row>
    <row r="56" spans="1:14" ht="12.75">
      <c r="A56" s="35">
        <v>3</v>
      </c>
      <c r="B56" s="23" t="s">
        <v>430</v>
      </c>
      <c r="C56" s="23" t="s">
        <v>431</v>
      </c>
      <c r="D56" s="23" t="s">
        <v>432</v>
      </c>
      <c r="E56" s="23" t="str">
        <f>"0,8722"</f>
        <v>0,8722</v>
      </c>
      <c r="F56" s="23" t="s">
        <v>913</v>
      </c>
      <c r="G56" s="23" t="s">
        <v>44</v>
      </c>
      <c r="H56" s="47" t="s">
        <v>194</v>
      </c>
      <c r="I56" s="47" t="s">
        <v>85</v>
      </c>
      <c r="J56" s="47" t="s">
        <v>71</v>
      </c>
      <c r="K56" s="24"/>
      <c r="L56" s="77">
        <v>185</v>
      </c>
      <c r="M56" s="23" t="str">
        <f>"161,3570"</f>
        <v>161,3570</v>
      </c>
      <c r="N56" s="23" t="s">
        <v>53</v>
      </c>
    </row>
    <row r="58" ht="15.75">
      <c r="F58" s="27"/>
    </row>
    <row r="60" spans="2:3" ht="18">
      <c r="B60" s="28" t="s">
        <v>106</v>
      </c>
      <c r="C60" s="28"/>
    </row>
    <row r="62" spans="2:3" ht="15.75">
      <c r="B62" s="29" t="s">
        <v>113</v>
      </c>
      <c r="C62" s="29"/>
    </row>
    <row r="64" spans="2:3" ht="13.5">
      <c r="B64" s="31" t="s">
        <v>107</v>
      </c>
      <c r="C64" s="32"/>
    </row>
    <row r="65" spans="2:6" ht="13.5">
      <c r="B65" s="33" t="s">
        <v>108</v>
      </c>
      <c r="C65" s="33" t="s">
        <v>109</v>
      </c>
      <c r="D65" s="33" t="s">
        <v>110</v>
      </c>
      <c r="E65" s="33" t="s">
        <v>111</v>
      </c>
      <c r="F65" s="33" t="s">
        <v>868</v>
      </c>
    </row>
    <row r="66" spans="1:6" ht="12.75">
      <c r="A66" s="35">
        <v>1</v>
      </c>
      <c r="B66" s="30" t="s">
        <v>424</v>
      </c>
      <c r="C66" s="73" t="s">
        <v>107</v>
      </c>
      <c r="D66" s="73" t="s">
        <v>286</v>
      </c>
      <c r="E66" s="73" t="s">
        <v>228</v>
      </c>
      <c r="F66" s="37" t="s">
        <v>433</v>
      </c>
    </row>
    <row r="67" spans="1:6" ht="12.75">
      <c r="A67" s="35">
        <v>2</v>
      </c>
      <c r="B67" s="30" t="s">
        <v>427</v>
      </c>
      <c r="C67" s="73" t="s">
        <v>107</v>
      </c>
      <c r="D67" s="73" t="s">
        <v>286</v>
      </c>
      <c r="E67" s="73" t="s">
        <v>101</v>
      </c>
      <c r="F67" s="37" t="s">
        <v>434</v>
      </c>
    </row>
    <row r="68" spans="1:6" ht="12.75">
      <c r="A68" s="35">
        <v>3</v>
      </c>
      <c r="B68" s="30" t="s">
        <v>366</v>
      </c>
      <c r="C68" s="73" t="s">
        <v>107</v>
      </c>
      <c r="D68" s="73" t="s">
        <v>116</v>
      </c>
      <c r="E68" s="73" t="s">
        <v>71</v>
      </c>
      <c r="F68" s="37" t="s">
        <v>435</v>
      </c>
    </row>
    <row r="69" spans="2:6" ht="12.75">
      <c r="B69" s="30" t="s">
        <v>400</v>
      </c>
      <c r="C69" s="73" t="s">
        <v>107</v>
      </c>
      <c r="D69" s="73" t="s">
        <v>120</v>
      </c>
      <c r="E69" s="73" t="s">
        <v>46</v>
      </c>
      <c r="F69" s="37" t="s">
        <v>436</v>
      </c>
    </row>
    <row r="70" spans="2:6" ht="12.75">
      <c r="B70" s="30" t="s">
        <v>403</v>
      </c>
      <c r="C70" s="73" t="s">
        <v>107</v>
      </c>
      <c r="D70" s="73" t="s">
        <v>120</v>
      </c>
      <c r="E70" s="73" t="s">
        <v>45</v>
      </c>
      <c r="F70" s="37" t="s">
        <v>437</v>
      </c>
    </row>
    <row r="71" spans="2:6" ht="12.75">
      <c r="B71" s="30" t="s">
        <v>410</v>
      </c>
      <c r="C71" s="73" t="s">
        <v>107</v>
      </c>
      <c r="D71" s="73" t="s">
        <v>125</v>
      </c>
      <c r="E71" s="73" t="s">
        <v>59</v>
      </c>
      <c r="F71" s="37" t="s">
        <v>438</v>
      </c>
    </row>
    <row r="72" spans="2:6" ht="12.75">
      <c r="B72" s="30" t="s">
        <v>370</v>
      </c>
      <c r="C72" s="73" t="s">
        <v>107</v>
      </c>
      <c r="D72" s="73" t="s">
        <v>117</v>
      </c>
      <c r="E72" s="73" t="s">
        <v>85</v>
      </c>
      <c r="F72" s="37" t="s">
        <v>439</v>
      </c>
    </row>
    <row r="73" spans="2:6" ht="12.75">
      <c r="B73" s="30" t="s">
        <v>376</v>
      </c>
      <c r="C73" s="73" t="s">
        <v>107</v>
      </c>
      <c r="D73" s="73" t="s">
        <v>117</v>
      </c>
      <c r="E73" s="73" t="s">
        <v>38</v>
      </c>
      <c r="F73" s="37" t="s">
        <v>440</v>
      </c>
    </row>
    <row r="74" spans="2:6" ht="12.75">
      <c r="B74" s="30" t="s">
        <v>406</v>
      </c>
      <c r="C74" s="73" t="s">
        <v>107</v>
      </c>
      <c r="D74" s="73" t="s">
        <v>120</v>
      </c>
      <c r="E74" s="73" t="s">
        <v>71</v>
      </c>
      <c r="F74" s="37" t="s">
        <v>441</v>
      </c>
    </row>
    <row r="75" spans="2:6" ht="12.75">
      <c r="B75" s="30" t="s">
        <v>413</v>
      </c>
      <c r="C75" s="73" t="s">
        <v>107</v>
      </c>
      <c r="D75" s="73" t="s">
        <v>125</v>
      </c>
      <c r="E75" s="73" t="s">
        <v>58</v>
      </c>
      <c r="F75" s="37" t="s">
        <v>442</v>
      </c>
    </row>
    <row r="76" spans="2:6" ht="12.75">
      <c r="B76" s="30" t="s">
        <v>379</v>
      </c>
      <c r="C76" s="73" t="s">
        <v>107</v>
      </c>
      <c r="D76" s="73" t="s">
        <v>117</v>
      </c>
      <c r="E76" s="73" t="s">
        <v>25</v>
      </c>
      <c r="F76" s="37" t="s">
        <v>443</v>
      </c>
    </row>
    <row r="77" spans="2:6" ht="12.75">
      <c r="B77" s="30" t="s">
        <v>382</v>
      </c>
      <c r="C77" s="73" t="s">
        <v>107</v>
      </c>
      <c r="D77" s="73" t="s">
        <v>117</v>
      </c>
      <c r="E77" s="73" t="s">
        <v>25</v>
      </c>
      <c r="F77" s="37" t="s">
        <v>444</v>
      </c>
    </row>
    <row r="78" spans="2:6" ht="12.75">
      <c r="B78" s="30" t="s">
        <v>430</v>
      </c>
      <c r="C78" s="73" t="s">
        <v>107</v>
      </c>
      <c r="D78" s="73" t="s">
        <v>286</v>
      </c>
      <c r="E78" s="73" t="s">
        <v>71</v>
      </c>
      <c r="F78" s="37" t="s">
        <v>445</v>
      </c>
    </row>
    <row r="79" spans="2:6" ht="12.75">
      <c r="B79" s="30" t="s">
        <v>354</v>
      </c>
      <c r="C79" s="73" t="s">
        <v>107</v>
      </c>
      <c r="D79" s="73" t="s">
        <v>243</v>
      </c>
      <c r="E79" s="73" t="s">
        <v>149</v>
      </c>
      <c r="F79" s="37" t="s">
        <v>446</v>
      </c>
    </row>
    <row r="80" spans="2:6" ht="12.75">
      <c r="B80" s="30" t="s">
        <v>358</v>
      </c>
      <c r="C80" s="73" t="s">
        <v>107</v>
      </c>
      <c r="D80" s="73" t="s">
        <v>257</v>
      </c>
      <c r="E80" s="73" t="s">
        <v>175</v>
      </c>
      <c r="F80" s="37" t="s">
        <v>447</v>
      </c>
    </row>
    <row r="81" spans="2:6" ht="12.75">
      <c r="B81" s="30" t="s">
        <v>384</v>
      </c>
      <c r="C81" s="73" t="s">
        <v>107</v>
      </c>
      <c r="D81" s="73" t="s">
        <v>117</v>
      </c>
      <c r="E81" s="73" t="s">
        <v>200</v>
      </c>
      <c r="F81" s="37" t="s">
        <v>448</v>
      </c>
    </row>
    <row r="82" spans="2:6" ht="12.75">
      <c r="B82" s="30" t="s">
        <v>386</v>
      </c>
      <c r="C82" s="73" t="s">
        <v>107</v>
      </c>
      <c r="D82" s="73" t="s">
        <v>117</v>
      </c>
      <c r="E82" s="73" t="s">
        <v>61</v>
      </c>
      <c r="F82" s="37" t="s">
        <v>449</v>
      </c>
    </row>
    <row r="84" spans="2:3" ht="13.5">
      <c r="B84" s="31" t="s">
        <v>305</v>
      </c>
      <c r="C84" s="32"/>
    </row>
    <row r="85" spans="2:6" ht="13.5">
      <c r="B85" s="33" t="s">
        <v>108</v>
      </c>
      <c r="C85" s="33" t="s">
        <v>109</v>
      </c>
      <c r="D85" s="33" t="s">
        <v>110</v>
      </c>
      <c r="E85" s="33" t="s">
        <v>111</v>
      </c>
      <c r="F85" s="33" t="s">
        <v>868</v>
      </c>
    </row>
    <row r="86" spans="1:6" ht="12.75">
      <c r="A86" s="35">
        <v>1</v>
      </c>
      <c r="B86" s="30" t="s">
        <v>362</v>
      </c>
      <c r="C86" s="73" t="s">
        <v>450</v>
      </c>
      <c r="D86" s="73" t="s">
        <v>257</v>
      </c>
      <c r="E86" s="73" t="s">
        <v>48</v>
      </c>
      <c r="F86" s="37" t="s">
        <v>451</v>
      </c>
    </row>
    <row r="87" spans="1:6" ht="12.75">
      <c r="A87" s="35">
        <v>2</v>
      </c>
      <c r="B87" s="30" t="s">
        <v>418</v>
      </c>
      <c r="C87" s="73" t="s">
        <v>452</v>
      </c>
      <c r="D87" s="73" t="s">
        <v>125</v>
      </c>
      <c r="E87" s="73" t="s">
        <v>71</v>
      </c>
      <c r="F87" s="37" t="s">
        <v>453</v>
      </c>
    </row>
    <row r="88" spans="1:6" ht="12.75">
      <c r="A88" s="35">
        <v>3</v>
      </c>
      <c r="B88" s="30" t="s">
        <v>390</v>
      </c>
      <c r="C88" s="73" t="s">
        <v>452</v>
      </c>
      <c r="D88" s="73" t="s">
        <v>117</v>
      </c>
      <c r="E88" s="73" t="s">
        <v>24</v>
      </c>
      <c r="F88" s="37" t="s">
        <v>454</v>
      </c>
    </row>
    <row r="89" spans="2:6" ht="12.75">
      <c r="B89" s="30" t="s">
        <v>394</v>
      </c>
      <c r="C89" s="73" t="s">
        <v>452</v>
      </c>
      <c r="D89" s="73" t="s">
        <v>117</v>
      </c>
      <c r="E89" s="73" t="s">
        <v>200</v>
      </c>
      <c r="F89" s="37" t="s">
        <v>455</v>
      </c>
    </row>
    <row r="90" spans="2:6" ht="12.75">
      <c r="B90" s="30" t="s">
        <v>396</v>
      </c>
      <c r="C90" s="73" t="s">
        <v>452</v>
      </c>
      <c r="D90" s="73" t="s">
        <v>117</v>
      </c>
      <c r="E90" s="73" t="s">
        <v>23</v>
      </c>
      <c r="F90" s="37" t="s">
        <v>456</v>
      </c>
    </row>
    <row r="91" spans="2:6" ht="12.75">
      <c r="B91" s="30" t="s">
        <v>420</v>
      </c>
      <c r="C91" s="73" t="s">
        <v>452</v>
      </c>
      <c r="D91" s="73" t="s">
        <v>125</v>
      </c>
      <c r="E91" s="73" t="s">
        <v>183</v>
      </c>
      <c r="F91" s="37" t="s">
        <v>457</v>
      </c>
    </row>
  </sheetData>
  <sheetProtection/>
  <mergeCells count="23">
    <mergeCell ref="B53:M53"/>
    <mergeCell ref="B15:M15"/>
    <mergeCell ref="B18:M18"/>
    <mergeCell ref="B21:M21"/>
    <mergeCell ref="B24:M24"/>
    <mergeCell ref="B28:M28"/>
    <mergeCell ref="B31:M31"/>
    <mergeCell ref="N3:N4"/>
    <mergeCell ref="B5:M5"/>
    <mergeCell ref="B8:M8"/>
    <mergeCell ref="B11:M11"/>
    <mergeCell ref="B42:M42"/>
    <mergeCell ref="B47:M47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19" sqref="F19"/>
    </sheetView>
  </sheetViews>
  <sheetFormatPr defaultColWidth="8.75390625" defaultRowHeight="12.75"/>
  <cols>
    <col min="1" max="1" width="3.75390625" style="0" customWidth="1"/>
    <col min="2" max="2" width="23.375" style="0" customWidth="1"/>
    <col min="3" max="3" width="27.875" style="0" customWidth="1"/>
    <col min="4" max="4" width="17.875" style="0" customWidth="1"/>
    <col min="5" max="5" width="13.25390625" style="0" customWidth="1"/>
    <col min="6" max="6" width="31.625" style="0" customWidth="1"/>
    <col min="7" max="7" width="16.375" style="0" customWidth="1"/>
    <col min="8" max="8" width="24.875" style="0" customWidth="1"/>
  </cols>
  <sheetData>
    <row r="1" spans="1:8" ht="12.75">
      <c r="A1" s="34"/>
      <c r="B1" s="129" t="s">
        <v>1049</v>
      </c>
      <c r="C1" s="130"/>
      <c r="D1" s="130"/>
      <c r="E1" s="130"/>
      <c r="F1" s="130"/>
      <c r="G1" s="130"/>
      <c r="H1" s="131"/>
    </row>
    <row r="2" spans="1:8" ht="58.5" customHeight="1" thickBot="1">
      <c r="A2" s="34"/>
      <c r="B2" s="132"/>
      <c r="C2" s="133"/>
      <c r="D2" s="133"/>
      <c r="E2" s="133"/>
      <c r="F2" s="133"/>
      <c r="G2" s="133"/>
      <c r="H2" s="134"/>
    </row>
    <row r="3" spans="1:8" ht="13.5">
      <c r="A3" s="2"/>
      <c r="B3" s="135" t="s">
        <v>0</v>
      </c>
      <c r="C3" s="137" t="s">
        <v>10</v>
      </c>
      <c r="D3" s="125" t="s">
        <v>11</v>
      </c>
      <c r="E3" s="125" t="s">
        <v>7</v>
      </c>
      <c r="F3" s="125" t="s">
        <v>867</v>
      </c>
      <c r="G3" s="125" t="s">
        <v>1018</v>
      </c>
      <c r="H3" s="127" t="s">
        <v>5</v>
      </c>
    </row>
    <row r="4" spans="1:8" ht="15" thickBot="1">
      <c r="A4" s="2"/>
      <c r="B4" s="136"/>
      <c r="C4" s="126"/>
      <c r="D4" s="126"/>
      <c r="E4" s="126"/>
      <c r="F4" s="126"/>
      <c r="G4" s="126"/>
      <c r="H4" s="128"/>
    </row>
    <row r="5" spans="1:8" ht="15.75">
      <c r="A5" s="2"/>
      <c r="B5" s="138" t="s">
        <v>1046</v>
      </c>
      <c r="C5" s="138"/>
      <c r="D5" s="138"/>
      <c r="E5" s="138"/>
      <c r="F5" s="138"/>
      <c r="G5" s="138"/>
      <c r="H5" s="2"/>
    </row>
    <row r="6" spans="1:8" ht="13.5">
      <c r="A6" s="2" t="s">
        <v>861</v>
      </c>
      <c r="B6" s="54" t="s">
        <v>337</v>
      </c>
      <c r="C6" s="6" t="s">
        <v>338</v>
      </c>
      <c r="D6" s="6" t="s">
        <v>339</v>
      </c>
      <c r="E6" s="118" t="s">
        <v>1050</v>
      </c>
      <c r="F6" s="9" t="s">
        <v>921</v>
      </c>
      <c r="G6" s="101" t="s">
        <v>1055</v>
      </c>
      <c r="H6" s="19" t="s">
        <v>882</v>
      </c>
    </row>
    <row r="7" spans="1:8" ht="13.5">
      <c r="A7" s="2" t="s">
        <v>862</v>
      </c>
      <c r="B7" s="98" t="s">
        <v>1051</v>
      </c>
      <c r="C7" s="99" t="s">
        <v>1052</v>
      </c>
      <c r="D7" s="100" t="s">
        <v>1053</v>
      </c>
      <c r="E7" s="119" t="s">
        <v>1050</v>
      </c>
      <c r="F7" s="97" t="s">
        <v>1027</v>
      </c>
      <c r="G7" s="96" t="s">
        <v>1054</v>
      </c>
      <c r="H7" s="95" t="s">
        <v>1024</v>
      </c>
    </row>
    <row r="8" spans="1:8" ht="13.5">
      <c r="A8" s="2"/>
      <c r="B8" s="2"/>
      <c r="C8" s="2"/>
      <c r="D8" s="2"/>
      <c r="E8" s="2"/>
      <c r="F8" s="2"/>
      <c r="G8" s="2"/>
      <c r="H8" s="2"/>
    </row>
    <row r="9" spans="1:8" ht="15.75">
      <c r="A9" s="35"/>
      <c r="B9" s="138" t="s">
        <v>1046</v>
      </c>
      <c r="C9" s="138"/>
      <c r="D9" s="138"/>
      <c r="E9" s="138"/>
      <c r="F9" s="138"/>
      <c r="G9" s="138"/>
      <c r="H9" s="18"/>
    </row>
    <row r="10" spans="1:8" ht="12.75">
      <c r="A10" s="35">
        <v>1</v>
      </c>
      <c r="B10" s="19" t="s">
        <v>1024</v>
      </c>
      <c r="C10" s="94" t="s">
        <v>1025</v>
      </c>
      <c r="D10" s="94" t="s">
        <v>1026</v>
      </c>
      <c r="E10" s="94" t="s">
        <v>31</v>
      </c>
      <c r="F10" s="94" t="s">
        <v>1027</v>
      </c>
      <c r="G10" s="74">
        <v>28.75</v>
      </c>
      <c r="H10" s="19" t="s">
        <v>89</v>
      </c>
    </row>
    <row r="11" spans="1:8" ht="12.75">
      <c r="A11" s="35">
        <v>2</v>
      </c>
      <c r="B11" s="19" t="s">
        <v>1056</v>
      </c>
      <c r="C11" s="94" t="s">
        <v>1058</v>
      </c>
      <c r="D11" s="94" t="s">
        <v>522</v>
      </c>
      <c r="E11" s="94" t="s">
        <v>31</v>
      </c>
      <c r="F11" s="94" t="s">
        <v>1057</v>
      </c>
      <c r="G11" s="74">
        <v>27.5</v>
      </c>
      <c r="H11" s="19" t="s">
        <v>89</v>
      </c>
    </row>
    <row r="12" spans="1:8" ht="12.75">
      <c r="A12" s="35">
        <v>3</v>
      </c>
      <c r="B12" s="19" t="s">
        <v>1030</v>
      </c>
      <c r="C12" s="94" t="s">
        <v>1047</v>
      </c>
      <c r="D12" s="94" t="s">
        <v>1032</v>
      </c>
      <c r="E12" s="94" t="s">
        <v>31</v>
      </c>
      <c r="F12" s="94" t="s">
        <v>1033</v>
      </c>
      <c r="G12" s="74">
        <v>20</v>
      </c>
      <c r="H12" s="19" t="s">
        <v>1035</v>
      </c>
    </row>
  </sheetData>
  <sheetProtection/>
  <mergeCells count="10">
    <mergeCell ref="B9:G9"/>
    <mergeCell ref="B5:G5"/>
    <mergeCell ref="B1:H2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D12" sqref="D12"/>
    </sheetView>
  </sheetViews>
  <sheetFormatPr defaultColWidth="8.75390625" defaultRowHeight="12.75"/>
  <cols>
    <col min="1" max="1" width="5.125" style="35" customWidth="1"/>
    <col min="2" max="2" width="26.00390625" style="18" customWidth="1"/>
    <col min="3" max="3" width="27.375" style="18" customWidth="1"/>
    <col min="4" max="4" width="13.375" style="18" bestFit="1" customWidth="1"/>
    <col min="5" max="5" width="8.375" style="18" bestFit="1" customWidth="1"/>
    <col min="6" max="6" width="22.75390625" style="18" bestFit="1" customWidth="1"/>
    <col min="7" max="7" width="21.625" style="18" bestFit="1" customWidth="1"/>
    <col min="8" max="10" width="5.625" style="18" bestFit="1" customWidth="1"/>
    <col min="11" max="11" width="4.625" style="18" bestFit="1" customWidth="1"/>
    <col min="12" max="12" width="7.875" style="37" bestFit="1" customWidth="1"/>
    <col min="13" max="13" width="8.625" style="18" bestFit="1" customWidth="1"/>
    <col min="14" max="14" width="17.25390625" style="18" bestFit="1" customWidth="1"/>
  </cols>
  <sheetData>
    <row r="1" spans="1:14" s="1" customFormat="1" ht="15" customHeight="1">
      <c r="A1" s="34"/>
      <c r="B1" s="129" t="s">
        <v>911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2:14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1</v>
      </c>
      <c r="I3" s="125"/>
      <c r="J3" s="125"/>
      <c r="K3" s="125"/>
      <c r="L3" s="125" t="s">
        <v>4</v>
      </c>
      <c r="M3" s="125" t="s">
        <v>6</v>
      </c>
      <c r="N3" s="127" t="s">
        <v>5</v>
      </c>
    </row>
    <row r="4" spans="2:14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126"/>
      <c r="M4" s="126"/>
      <c r="N4" s="128"/>
    </row>
    <row r="5" spans="2:13" ht="15.75">
      <c r="B5" s="139" t="s">
        <v>96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35">
        <v>1</v>
      </c>
      <c r="B6" s="19" t="s">
        <v>819</v>
      </c>
      <c r="C6" s="19" t="s">
        <v>820</v>
      </c>
      <c r="D6" s="19" t="s">
        <v>821</v>
      </c>
      <c r="E6" s="19" t="str">
        <f>"0,9022"</f>
        <v>0,9022</v>
      </c>
      <c r="F6" s="19" t="s">
        <v>31</v>
      </c>
      <c r="G6" s="19" t="s">
        <v>727</v>
      </c>
      <c r="H6" s="38" t="s">
        <v>85</v>
      </c>
      <c r="I6" s="39" t="s">
        <v>85</v>
      </c>
      <c r="J6" s="38" t="s">
        <v>59</v>
      </c>
      <c r="K6" s="20"/>
      <c r="L6" s="74">
        <v>180</v>
      </c>
      <c r="M6" s="19" t="str">
        <f>"162,3960"</f>
        <v>162,3960</v>
      </c>
      <c r="N6" s="19" t="s">
        <v>822</v>
      </c>
    </row>
  </sheetData>
  <sheetProtection/>
  <mergeCells count="1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D18" sqref="D18"/>
    </sheetView>
  </sheetViews>
  <sheetFormatPr defaultColWidth="8.75390625" defaultRowHeight="12.75"/>
  <cols>
    <col min="1" max="1" width="5.125" style="35" customWidth="1"/>
    <col min="2" max="2" width="25.375" style="18" customWidth="1"/>
    <col min="3" max="3" width="28.75390625" style="18" customWidth="1"/>
    <col min="4" max="4" width="13.375" style="18" bestFit="1" customWidth="1"/>
    <col min="5" max="5" width="8.375" style="18" bestFit="1" customWidth="1"/>
    <col min="6" max="6" width="22.75390625" style="18" bestFit="1" customWidth="1"/>
    <col min="7" max="7" width="28.625" style="18" bestFit="1" customWidth="1"/>
    <col min="8" max="11" width="5.25390625" style="18" customWidth="1"/>
    <col min="12" max="12" width="7.875" style="37" bestFit="1" customWidth="1"/>
    <col min="13" max="13" width="8.625" style="18" bestFit="1" customWidth="1"/>
    <col min="14" max="14" width="18.375" style="18" bestFit="1" customWidth="1"/>
  </cols>
  <sheetData>
    <row r="1" spans="1:14" s="1" customFormat="1" ht="15" customHeight="1">
      <c r="A1" s="34"/>
      <c r="B1" s="129" t="s">
        <v>910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2:14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9</v>
      </c>
      <c r="H3" s="125" t="s">
        <v>1</v>
      </c>
      <c r="I3" s="125"/>
      <c r="J3" s="125"/>
      <c r="K3" s="125"/>
      <c r="L3" s="125" t="s">
        <v>4</v>
      </c>
      <c r="M3" s="125" t="s">
        <v>6</v>
      </c>
      <c r="N3" s="127" t="s">
        <v>5</v>
      </c>
    </row>
    <row r="4" spans="2:14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126"/>
      <c r="M4" s="126"/>
      <c r="N4" s="128"/>
    </row>
    <row r="5" spans="2:13" ht="15.75">
      <c r="B5" s="139" t="s">
        <v>325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35">
        <v>1</v>
      </c>
      <c r="B6" s="19" t="s">
        <v>849</v>
      </c>
      <c r="C6" s="19" t="s">
        <v>850</v>
      </c>
      <c r="D6" s="19" t="s">
        <v>851</v>
      </c>
      <c r="E6" s="19" t="str">
        <f>"2,0634"</f>
        <v>2,0634</v>
      </c>
      <c r="F6" s="19" t="s">
        <v>31</v>
      </c>
      <c r="G6" s="19" t="s">
        <v>32</v>
      </c>
      <c r="H6" s="39" t="s">
        <v>137</v>
      </c>
      <c r="I6" s="38" t="s">
        <v>335</v>
      </c>
      <c r="J6" s="39" t="s">
        <v>336</v>
      </c>
      <c r="K6" s="38" t="s">
        <v>22</v>
      </c>
      <c r="L6" s="74">
        <v>70</v>
      </c>
      <c r="M6" s="19" t="str">
        <f>"144,4380"</f>
        <v>144,4380</v>
      </c>
      <c r="N6" s="19" t="s">
        <v>852</v>
      </c>
    </row>
    <row r="8" spans="2:13" ht="15.75">
      <c r="B8" s="140" t="s">
        <v>142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4" ht="12.75">
      <c r="A9" s="35">
        <v>1</v>
      </c>
      <c r="B9" s="19" t="s">
        <v>143</v>
      </c>
      <c r="C9" s="19" t="s">
        <v>144</v>
      </c>
      <c r="D9" s="19" t="s">
        <v>145</v>
      </c>
      <c r="E9" s="19" t="str">
        <f>"1,7878"</f>
        <v>1,7878</v>
      </c>
      <c r="F9" s="19" t="s">
        <v>146</v>
      </c>
      <c r="G9" s="19" t="s">
        <v>147</v>
      </c>
      <c r="H9" s="38" t="s">
        <v>148</v>
      </c>
      <c r="I9" s="39" t="s">
        <v>149</v>
      </c>
      <c r="J9" s="20"/>
      <c r="K9" s="20"/>
      <c r="L9" s="74">
        <v>102.5</v>
      </c>
      <c r="M9" s="19" t="str">
        <f>"183,2495"</f>
        <v>183,2495</v>
      </c>
      <c r="N9" s="19" t="s">
        <v>873</v>
      </c>
    </row>
  </sheetData>
  <sheetProtection/>
  <mergeCells count="13">
    <mergeCell ref="F3:F4"/>
    <mergeCell ref="G3:G4"/>
    <mergeCell ref="H3:K3"/>
    <mergeCell ref="L3:L4"/>
    <mergeCell ref="M3:M4"/>
    <mergeCell ref="N3:N4"/>
    <mergeCell ref="B5:M5"/>
    <mergeCell ref="B8:M8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B23" sqref="B23"/>
    </sheetView>
  </sheetViews>
  <sheetFormatPr defaultColWidth="8.75390625" defaultRowHeight="12.75"/>
  <cols>
    <col min="1" max="1" width="5.00390625" style="35" customWidth="1"/>
    <col min="2" max="2" width="25.125" style="18" customWidth="1"/>
    <col min="3" max="3" width="26.00390625" style="18" bestFit="1" customWidth="1"/>
    <col min="4" max="4" width="13.375" style="18" bestFit="1" customWidth="1"/>
    <col min="5" max="5" width="8.375" style="18" bestFit="1" customWidth="1"/>
    <col min="6" max="6" width="17.125" style="18" customWidth="1"/>
    <col min="7" max="7" width="32.25390625" style="18" customWidth="1"/>
    <col min="8" max="15" width="5.25390625" style="18" customWidth="1"/>
    <col min="16" max="16" width="7.875" style="37" bestFit="1" customWidth="1"/>
    <col min="17" max="17" width="8.625" style="18" bestFit="1" customWidth="1"/>
    <col min="18" max="18" width="22.625" style="18" customWidth="1"/>
  </cols>
  <sheetData>
    <row r="1" spans="1:18" s="1" customFormat="1" ht="15" customHeight="1">
      <c r="A1" s="34"/>
      <c r="B1" s="129" t="s">
        <v>909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</row>
    <row r="2" spans="1:18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2:18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2</v>
      </c>
      <c r="I3" s="125"/>
      <c r="J3" s="125"/>
      <c r="K3" s="125"/>
      <c r="L3" s="125" t="s">
        <v>3</v>
      </c>
      <c r="M3" s="125"/>
      <c r="N3" s="125"/>
      <c r="O3" s="125"/>
      <c r="P3" s="125" t="s">
        <v>4</v>
      </c>
      <c r="Q3" s="125" t="s">
        <v>6</v>
      </c>
      <c r="R3" s="127" t="s">
        <v>5</v>
      </c>
    </row>
    <row r="4" spans="2:18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26"/>
      <c r="Q4" s="126"/>
      <c r="R4" s="128"/>
    </row>
    <row r="5" spans="2:17" ht="15.75">
      <c r="B5" s="139" t="s">
        <v>142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8" ht="12.75">
      <c r="A6" s="35">
        <v>1</v>
      </c>
      <c r="B6" s="19" t="s">
        <v>143</v>
      </c>
      <c r="C6" s="19" t="s">
        <v>144</v>
      </c>
      <c r="D6" s="19" t="s">
        <v>145</v>
      </c>
      <c r="E6" s="19" t="str">
        <f>"1,7878"</f>
        <v>1,7878</v>
      </c>
      <c r="F6" s="19" t="s">
        <v>146</v>
      </c>
      <c r="G6" s="19" t="s">
        <v>147</v>
      </c>
      <c r="H6" s="38" t="s">
        <v>150</v>
      </c>
      <c r="I6" s="38" t="s">
        <v>138</v>
      </c>
      <c r="J6" s="39" t="s">
        <v>138</v>
      </c>
      <c r="K6" s="48"/>
      <c r="L6" s="39" t="s">
        <v>148</v>
      </c>
      <c r="M6" s="39" t="s">
        <v>36</v>
      </c>
      <c r="N6" s="39" t="s">
        <v>151</v>
      </c>
      <c r="O6" s="20"/>
      <c r="P6" s="74">
        <v>175</v>
      </c>
      <c r="Q6" s="19" t="str">
        <f>"312,8650"</f>
        <v>312,8650</v>
      </c>
      <c r="R6" s="19" t="s">
        <v>873</v>
      </c>
    </row>
    <row r="8" spans="2:17" ht="15.75">
      <c r="B8" s="140" t="s">
        <v>66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pans="1:18" ht="12.75">
      <c r="A9" s="35">
        <v>1</v>
      </c>
      <c r="B9" s="21" t="s">
        <v>204</v>
      </c>
      <c r="C9" s="21" t="s">
        <v>205</v>
      </c>
      <c r="D9" s="21" t="s">
        <v>206</v>
      </c>
      <c r="E9" s="21" t="str">
        <f>"0,9790"</f>
        <v>0,9790</v>
      </c>
      <c r="F9" s="21" t="s">
        <v>17</v>
      </c>
      <c r="G9" s="21" t="s">
        <v>32</v>
      </c>
      <c r="H9" s="45" t="s">
        <v>175</v>
      </c>
      <c r="I9" s="45" t="s">
        <v>23</v>
      </c>
      <c r="J9" s="45" t="s">
        <v>208</v>
      </c>
      <c r="K9" s="22"/>
      <c r="L9" s="42" t="s">
        <v>209</v>
      </c>
      <c r="M9" s="45" t="s">
        <v>209</v>
      </c>
      <c r="N9" s="45" t="s">
        <v>210</v>
      </c>
      <c r="O9" s="22"/>
      <c r="P9" s="75">
        <v>445</v>
      </c>
      <c r="Q9" s="21" t="str">
        <f>"435,6550"</f>
        <v>435,6550</v>
      </c>
      <c r="R9" s="21" t="s">
        <v>870</v>
      </c>
    </row>
    <row r="10" spans="1:18" ht="12.75">
      <c r="A10" s="35">
        <v>2</v>
      </c>
      <c r="B10" s="19" t="s">
        <v>844</v>
      </c>
      <c r="C10" s="19" t="s">
        <v>845</v>
      </c>
      <c r="D10" s="19" t="s">
        <v>846</v>
      </c>
      <c r="E10" s="19" t="str">
        <f>"0,9782"</f>
        <v>0,9782</v>
      </c>
      <c r="F10" s="19" t="s">
        <v>847</v>
      </c>
      <c r="G10" s="19" t="s">
        <v>900</v>
      </c>
      <c r="H10" s="39" t="s">
        <v>173</v>
      </c>
      <c r="I10" s="39" t="s">
        <v>19</v>
      </c>
      <c r="J10" s="39" t="s">
        <v>20</v>
      </c>
      <c r="K10" s="20"/>
      <c r="L10" s="38" t="s">
        <v>58</v>
      </c>
      <c r="M10" s="39" t="s">
        <v>45</v>
      </c>
      <c r="N10" s="39" t="s">
        <v>46</v>
      </c>
      <c r="O10" s="20"/>
      <c r="P10" s="74">
        <v>327.5</v>
      </c>
      <c r="Q10" s="19" t="str">
        <f>"320,3605"</f>
        <v>320,3605</v>
      </c>
      <c r="R10" s="19" t="s">
        <v>848</v>
      </c>
    </row>
    <row r="11" spans="1:18" ht="12.75">
      <c r="A11" s="35">
        <v>1</v>
      </c>
      <c r="B11" s="23" t="s">
        <v>204</v>
      </c>
      <c r="C11" s="23" t="s">
        <v>211</v>
      </c>
      <c r="D11" s="23" t="s">
        <v>206</v>
      </c>
      <c r="E11" s="23" t="str">
        <f>"0,9790"</f>
        <v>0,9790</v>
      </c>
      <c r="F11" s="23" t="s">
        <v>17</v>
      </c>
      <c r="G11" s="23" t="s">
        <v>32</v>
      </c>
      <c r="H11" s="47" t="s">
        <v>175</v>
      </c>
      <c r="I11" s="47" t="s">
        <v>23</v>
      </c>
      <c r="J11" s="47" t="s">
        <v>208</v>
      </c>
      <c r="K11" s="24"/>
      <c r="L11" s="44" t="s">
        <v>209</v>
      </c>
      <c r="M11" s="47" t="s">
        <v>209</v>
      </c>
      <c r="N11" s="47" t="s">
        <v>210</v>
      </c>
      <c r="O11" s="24"/>
      <c r="P11" s="77">
        <v>445</v>
      </c>
      <c r="Q11" s="23" t="str">
        <f>"435,6550"</f>
        <v>435,6550</v>
      </c>
      <c r="R11" s="23" t="s">
        <v>870</v>
      </c>
    </row>
    <row r="13" spans="2:17" ht="15.75">
      <c r="B13" s="140" t="s">
        <v>77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</row>
    <row r="14" spans="2:18" ht="12.75">
      <c r="B14" s="19" t="s">
        <v>626</v>
      </c>
      <c r="C14" s="19" t="s">
        <v>627</v>
      </c>
      <c r="D14" s="19" t="s">
        <v>628</v>
      </c>
      <c r="E14" s="19" t="str">
        <f>"0,9436"</f>
        <v>0,9436</v>
      </c>
      <c r="F14" s="19" t="s">
        <v>361</v>
      </c>
      <c r="G14" s="19" t="s">
        <v>57</v>
      </c>
      <c r="H14" s="38" t="s">
        <v>48</v>
      </c>
      <c r="I14" s="38" t="s">
        <v>23</v>
      </c>
      <c r="J14" s="38" t="s">
        <v>23</v>
      </c>
      <c r="K14" s="38"/>
      <c r="L14" s="38" t="s">
        <v>50</v>
      </c>
      <c r="M14" s="20"/>
      <c r="N14" s="20"/>
      <c r="O14" s="20"/>
      <c r="P14" s="36">
        <v>0</v>
      </c>
      <c r="Q14" s="19" t="str">
        <f>"0,0000"</f>
        <v>0,0000</v>
      </c>
      <c r="R14" s="19" t="s">
        <v>89</v>
      </c>
    </row>
  </sheetData>
  <sheetProtection/>
  <mergeCells count="15">
    <mergeCell ref="B13:Q13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  <mergeCell ref="B5:Q5"/>
    <mergeCell ref="B8:Q8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C23" sqref="C23"/>
    </sheetView>
  </sheetViews>
  <sheetFormatPr defaultColWidth="8.75390625" defaultRowHeight="12.75"/>
  <cols>
    <col min="1" max="1" width="4.625" style="35" customWidth="1"/>
    <col min="2" max="2" width="24.00390625" style="18" customWidth="1"/>
    <col min="3" max="3" width="27.25390625" style="18" customWidth="1"/>
    <col min="4" max="4" width="13.375" style="18" bestFit="1" customWidth="1"/>
    <col min="5" max="5" width="8.375" style="18" bestFit="1" customWidth="1"/>
    <col min="6" max="6" width="22.75390625" style="18" bestFit="1" customWidth="1"/>
    <col min="7" max="7" width="38.375" style="18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6" width="7.875" style="37" bestFit="1" customWidth="1"/>
    <col min="17" max="17" width="8.625" style="18" bestFit="1" customWidth="1"/>
    <col min="18" max="18" width="17.00390625" style="18" customWidth="1"/>
  </cols>
  <sheetData>
    <row r="1" spans="1:18" s="1" customFormat="1" ht="15" customHeight="1">
      <c r="A1" s="34"/>
      <c r="B1" s="129" t="s">
        <v>908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</row>
    <row r="2" spans="1:18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2:18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2</v>
      </c>
      <c r="I3" s="125"/>
      <c r="J3" s="125"/>
      <c r="K3" s="125"/>
      <c r="L3" s="125" t="s">
        <v>3</v>
      </c>
      <c r="M3" s="125"/>
      <c r="N3" s="125"/>
      <c r="O3" s="125"/>
      <c r="P3" s="125" t="s">
        <v>4</v>
      </c>
      <c r="Q3" s="125" t="s">
        <v>6</v>
      </c>
      <c r="R3" s="127" t="s">
        <v>5</v>
      </c>
    </row>
    <row r="4" spans="2:18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26"/>
      <c r="Q4" s="126"/>
      <c r="R4" s="128"/>
    </row>
    <row r="5" spans="2:17" ht="15.75">
      <c r="B5" s="139" t="s">
        <v>66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8" ht="12.75">
      <c r="A6" s="35">
        <v>1</v>
      </c>
      <c r="B6" s="19" t="s">
        <v>390</v>
      </c>
      <c r="C6" s="19" t="s">
        <v>840</v>
      </c>
      <c r="D6" s="19" t="s">
        <v>392</v>
      </c>
      <c r="E6" s="19" t="str">
        <f>"0,9690"</f>
        <v>0,9690</v>
      </c>
      <c r="F6" s="19" t="s">
        <v>393</v>
      </c>
      <c r="G6" s="19" t="s">
        <v>869</v>
      </c>
      <c r="H6" s="39" t="s">
        <v>24</v>
      </c>
      <c r="I6" s="38" t="s">
        <v>25</v>
      </c>
      <c r="J6" s="20"/>
      <c r="K6" s="20"/>
      <c r="L6" s="39" t="s">
        <v>83</v>
      </c>
      <c r="M6" s="39" t="s">
        <v>84</v>
      </c>
      <c r="N6" s="38" t="s">
        <v>102</v>
      </c>
      <c r="O6" s="20"/>
      <c r="P6" s="74">
        <v>420</v>
      </c>
      <c r="Q6" s="19" t="str">
        <f>"406,9800"</f>
        <v>406,9800</v>
      </c>
      <c r="R6" s="19" t="s">
        <v>89</v>
      </c>
    </row>
    <row r="8" spans="2:17" ht="15.75">
      <c r="B8" s="140" t="s">
        <v>96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pans="1:18" ht="12.75">
      <c r="A9" s="35">
        <v>1</v>
      </c>
      <c r="B9" s="19" t="s">
        <v>841</v>
      </c>
      <c r="C9" s="19" t="s">
        <v>842</v>
      </c>
      <c r="D9" s="19" t="s">
        <v>843</v>
      </c>
      <c r="E9" s="19" t="str">
        <f>"0,8868"</f>
        <v>0,8868</v>
      </c>
      <c r="F9" s="19" t="s">
        <v>136</v>
      </c>
      <c r="G9" s="19" t="s">
        <v>869</v>
      </c>
      <c r="H9" s="39" t="s">
        <v>23</v>
      </c>
      <c r="I9" s="38" t="s">
        <v>37</v>
      </c>
      <c r="J9" s="38" t="s">
        <v>37</v>
      </c>
      <c r="K9" s="20"/>
      <c r="L9" s="39" t="s">
        <v>84</v>
      </c>
      <c r="M9" s="39" t="s">
        <v>235</v>
      </c>
      <c r="N9" s="38" t="s">
        <v>103</v>
      </c>
      <c r="O9" s="20"/>
      <c r="P9" s="74">
        <v>430</v>
      </c>
      <c r="Q9" s="19" t="str">
        <f>"381,3240"</f>
        <v>381,3240</v>
      </c>
      <c r="R9" s="19" t="s">
        <v>141</v>
      </c>
    </row>
  </sheetData>
  <sheetProtection/>
  <mergeCells count="14">
    <mergeCell ref="P3:P4"/>
    <mergeCell ref="Q3:Q4"/>
    <mergeCell ref="R3:R4"/>
    <mergeCell ref="B5:Q5"/>
    <mergeCell ref="B8:Q8"/>
    <mergeCell ref="B1:R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T6" sqref="T6"/>
    </sheetView>
  </sheetViews>
  <sheetFormatPr defaultColWidth="8.75390625" defaultRowHeight="12.75"/>
  <cols>
    <col min="1" max="1" width="4.75390625" style="35" customWidth="1"/>
    <col min="2" max="2" width="20.875" style="18" customWidth="1"/>
    <col min="3" max="3" width="28.875" style="18" customWidth="1"/>
    <col min="4" max="4" width="13.375" style="18" bestFit="1" customWidth="1"/>
    <col min="5" max="5" width="8.375" style="18" bestFit="1" customWidth="1"/>
    <col min="6" max="6" width="13.25390625" style="18" customWidth="1"/>
    <col min="7" max="7" width="28.125" style="18" bestFit="1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8" width="5.625" style="18" bestFit="1" customWidth="1"/>
    <col min="19" max="19" width="4.625" style="18" bestFit="1" customWidth="1"/>
    <col min="20" max="20" width="7.875" style="37" bestFit="1" customWidth="1"/>
    <col min="21" max="21" width="8.625" style="18" bestFit="1" customWidth="1"/>
    <col min="22" max="22" width="14.375" style="18" bestFit="1" customWidth="1"/>
  </cols>
  <sheetData>
    <row r="1" spans="1:22" s="1" customFormat="1" ht="15" customHeight="1">
      <c r="A1" s="34"/>
      <c r="B1" s="129" t="s">
        <v>860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1"/>
    </row>
    <row r="2" spans="1:22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</row>
    <row r="3" spans="2:22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1</v>
      </c>
      <c r="I3" s="125"/>
      <c r="J3" s="125"/>
      <c r="K3" s="125"/>
      <c r="L3" s="125" t="s">
        <v>2</v>
      </c>
      <c r="M3" s="125"/>
      <c r="N3" s="125"/>
      <c r="O3" s="125"/>
      <c r="P3" s="125" t="s">
        <v>3</v>
      </c>
      <c r="Q3" s="125"/>
      <c r="R3" s="125"/>
      <c r="S3" s="125"/>
      <c r="T3" s="125" t="s">
        <v>4</v>
      </c>
      <c r="U3" s="125" t="s">
        <v>6</v>
      </c>
      <c r="V3" s="127" t="s">
        <v>5</v>
      </c>
    </row>
    <row r="4" spans="2:22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26"/>
      <c r="U4" s="126"/>
      <c r="V4" s="128"/>
    </row>
    <row r="5" spans="2:21" ht="15.75">
      <c r="B5" s="139" t="s">
        <v>66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2" ht="12.75">
      <c r="A6" s="35">
        <v>1</v>
      </c>
      <c r="B6" s="19" t="s">
        <v>320</v>
      </c>
      <c r="C6" s="19" t="s">
        <v>321</v>
      </c>
      <c r="D6" s="19" t="s">
        <v>322</v>
      </c>
      <c r="E6" s="19" t="str">
        <f>"0,9806"</f>
        <v>0,9806</v>
      </c>
      <c r="F6" s="19" t="s">
        <v>323</v>
      </c>
      <c r="G6" s="19" t="s">
        <v>32</v>
      </c>
      <c r="H6" s="38" t="s">
        <v>235</v>
      </c>
      <c r="I6" s="39" t="s">
        <v>103</v>
      </c>
      <c r="J6" s="38" t="s">
        <v>74</v>
      </c>
      <c r="K6" s="20"/>
      <c r="L6" s="39" t="s">
        <v>188</v>
      </c>
      <c r="M6" s="39" t="s">
        <v>189</v>
      </c>
      <c r="N6" s="38" t="s">
        <v>101</v>
      </c>
      <c r="O6" s="20"/>
      <c r="P6" s="39" t="s">
        <v>103</v>
      </c>
      <c r="Q6" s="38" t="s">
        <v>74</v>
      </c>
      <c r="R6" s="38" t="s">
        <v>74</v>
      </c>
      <c r="S6" s="20"/>
      <c r="T6" s="74">
        <v>790</v>
      </c>
      <c r="U6" s="19" t="str">
        <f>"774,6740"</f>
        <v>774,6740</v>
      </c>
      <c r="V6" s="19" t="s">
        <v>324</v>
      </c>
    </row>
  </sheetData>
  <sheetProtection/>
  <mergeCells count="14">
    <mergeCell ref="T3:T4"/>
    <mergeCell ref="U3:U4"/>
    <mergeCell ref="V3:V4"/>
    <mergeCell ref="B5:U5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D1">
      <selection activeCell="E8" sqref="E8"/>
    </sheetView>
  </sheetViews>
  <sheetFormatPr defaultColWidth="8.75390625" defaultRowHeight="12.75"/>
  <cols>
    <col min="1" max="1" width="5.25390625" style="35" customWidth="1"/>
    <col min="2" max="2" width="18.25390625" style="18" customWidth="1"/>
    <col min="3" max="3" width="27.00390625" style="18" customWidth="1"/>
    <col min="4" max="4" width="13.375" style="18" bestFit="1" customWidth="1"/>
    <col min="5" max="5" width="8.375" style="18" bestFit="1" customWidth="1"/>
    <col min="6" max="6" width="14.375" style="18" customWidth="1"/>
    <col min="7" max="7" width="29.00390625" style="18" bestFit="1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8" width="5.625" style="18" bestFit="1" customWidth="1"/>
    <col min="19" max="19" width="4.625" style="18" bestFit="1" customWidth="1"/>
    <col min="20" max="20" width="7.875" style="37" bestFit="1" customWidth="1"/>
    <col min="21" max="21" width="8.625" style="18" bestFit="1" customWidth="1"/>
    <col min="22" max="22" width="22.125" style="18" bestFit="1" customWidth="1"/>
  </cols>
  <sheetData>
    <row r="1" spans="1:22" s="1" customFormat="1" ht="15" customHeight="1">
      <c r="A1" s="34"/>
      <c r="B1" s="129" t="s">
        <v>879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1"/>
    </row>
    <row r="2" spans="1:22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</row>
    <row r="3" spans="2:22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1</v>
      </c>
      <c r="I3" s="125"/>
      <c r="J3" s="125"/>
      <c r="K3" s="125"/>
      <c r="L3" s="125" t="s">
        <v>2</v>
      </c>
      <c r="M3" s="125"/>
      <c r="N3" s="125"/>
      <c r="O3" s="125"/>
      <c r="P3" s="125" t="s">
        <v>3</v>
      </c>
      <c r="Q3" s="125"/>
      <c r="R3" s="125"/>
      <c r="S3" s="125"/>
      <c r="T3" s="125" t="s">
        <v>4</v>
      </c>
      <c r="U3" s="125" t="s">
        <v>6</v>
      </c>
      <c r="V3" s="127" t="s">
        <v>5</v>
      </c>
    </row>
    <row r="4" spans="2:22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26"/>
      <c r="U4" s="126"/>
      <c r="V4" s="128"/>
    </row>
    <row r="5" spans="2:21" ht="15.75">
      <c r="B5" s="139" t="s">
        <v>278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2" ht="12.75">
      <c r="A6" s="35">
        <v>1</v>
      </c>
      <c r="B6" s="19" t="s">
        <v>315</v>
      </c>
      <c r="C6" s="19" t="s">
        <v>316</v>
      </c>
      <c r="D6" s="19" t="s">
        <v>317</v>
      </c>
      <c r="E6" s="19" t="str">
        <f>"0,8618"</f>
        <v>0,8618</v>
      </c>
      <c r="F6" s="19" t="s">
        <v>31</v>
      </c>
      <c r="G6" s="19" t="s">
        <v>318</v>
      </c>
      <c r="H6" s="39" t="s">
        <v>86</v>
      </c>
      <c r="I6" s="38" t="s">
        <v>103</v>
      </c>
      <c r="J6" s="38" t="s">
        <v>103</v>
      </c>
      <c r="K6" s="20"/>
      <c r="L6" s="39" t="s">
        <v>71</v>
      </c>
      <c r="M6" s="38" t="s">
        <v>58</v>
      </c>
      <c r="N6" s="39" t="s">
        <v>58</v>
      </c>
      <c r="O6" s="20"/>
      <c r="P6" s="39" t="s">
        <v>101</v>
      </c>
      <c r="Q6" s="39" t="s">
        <v>83</v>
      </c>
      <c r="R6" s="39" t="s">
        <v>70</v>
      </c>
      <c r="S6" s="20"/>
      <c r="T6" s="74">
        <v>715</v>
      </c>
      <c r="U6" s="19" t="str">
        <f>"616,1870"</f>
        <v>616,1870</v>
      </c>
      <c r="V6" s="19" t="s">
        <v>319</v>
      </c>
    </row>
  </sheetData>
  <sheetProtection/>
  <mergeCells count="14">
    <mergeCell ref="T3:T4"/>
    <mergeCell ref="U3:U4"/>
    <mergeCell ref="V3:V4"/>
    <mergeCell ref="B5:U5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E21" sqref="E21"/>
    </sheetView>
  </sheetViews>
  <sheetFormatPr defaultColWidth="8.75390625" defaultRowHeight="12.75"/>
  <cols>
    <col min="1" max="1" width="4.875" style="35" customWidth="1"/>
    <col min="2" max="2" width="19.25390625" style="18" customWidth="1"/>
    <col min="3" max="3" width="26.875" style="18" bestFit="1" customWidth="1"/>
    <col min="4" max="4" width="13.375" style="18" bestFit="1" customWidth="1"/>
    <col min="5" max="5" width="8.375" style="18" bestFit="1" customWidth="1"/>
    <col min="6" max="6" width="13.125" style="18" customWidth="1"/>
    <col min="7" max="7" width="30.625" style="18" bestFit="1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8" width="5.625" style="18" bestFit="1" customWidth="1"/>
    <col min="19" max="19" width="4.625" style="18" bestFit="1" customWidth="1"/>
    <col min="20" max="20" width="7.875" style="37" bestFit="1" customWidth="1"/>
    <col min="21" max="21" width="8.625" style="18" bestFit="1" customWidth="1"/>
    <col min="22" max="22" width="15.375" style="18" bestFit="1" customWidth="1"/>
  </cols>
  <sheetData>
    <row r="1" spans="1:22" s="1" customFormat="1" ht="15" customHeight="1">
      <c r="A1" s="34"/>
      <c r="B1" s="129" t="s">
        <v>878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1"/>
    </row>
    <row r="2" spans="1:22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</row>
    <row r="3" spans="2:22" s="2" customFormat="1" ht="12.75" customHeight="1">
      <c r="B3" s="158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1</v>
      </c>
      <c r="I3" s="125"/>
      <c r="J3" s="125"/>
      <c r="K3" s="125"/>
      <c r="L3" s="125" t="s">
        <v>2</v>
      </c>
      <c r="M3" s="125"/>
      <c r="N3" s="125"/>
      <c r="O3" s="125"/>
      <c r="P3" s="125" t="s">
        <v>3</v>
      </c>
      <c r="Q3" s="125"/>
      <c r="R3" s="125"/>
      <c r="S3" s="125"/>
      <c r="T3" s="125" t="s">
        <v>4</v>
      </c>
      <c r="U3" s="125" t="s">
        <v>6</v>
      </c>
      <c r="V3" s="127" t="s">
        <v>5</v>
      </c>
    </row>
    <row r="4" spans="2:22" s="2" customFormat="1" ht="33.75" customHeight="1" thickBot="1">
      <c r="B4" s="159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26"/>
      <c r="U4" s="126"/>
      <c r="V4" s="128"/>
    </row>
    <row r="5" spans="2:21" ht="15.75">
      <c r="B5" s="139" t="s">
        <v>27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2" ht="12.75">
      <c r="A6" s="35">
        <v>1</v>
      </c>
      <c r="B6" s="21" t="s">
        <v>307</v>
      </c>
      <c r="C6" s="21" t="s">
        <v>308</v>
      </c>
      <c r="D6" s="21" t="s">
        <v>292</v>
      </c>
      <c r="E6" s="21" t="str">
        <f>"1,0348"</f>
        <v>1,0348</v>
      </c>
      <c r="F6" s="21" t="s">
        <v>31</v>
      </c>
      <c r="G6" s="21" t="s">
        <v>309</v>
      </c>
      <c r="H6" s="42" t="s">
        <v>84</v>
      </c>
      <c r="I6" s="45" t="s">
        <v>84</v>
      </c>
      <c r="J6" s="45" t="s">
        <v>102</v>
      </c>
      <c r="K6" s="22"/>
      <c r="L6" s="42" t="s">
        <v>61</v>
      </c>
      <c r="M6" s="45" t="s">
        <v>61</v>
      </c>
      <c r="N6" s="45" t="s">
        <v>23</v>
      </c>
      <c r="O6" s="22"/>
      <c r="P6" s="45" t="s">
        <v>50</v>
      </c>
      <c r="Q6" s="42" t="s">
        <v>70</v>
      </c>
      <c r="R6" s="45" t="s">
        <v>70</v>
      </c>
      <c r="S6" s="22"/>
      <c r="T6" s="75">
        <v>670</v>
      </c>
      <c r="U6" s="21" t="str">
        <f>"693,3160"</f>
        <v>693,3160</v>
      </c>
      <c r="V6" s="21" t="s">
        <v>89</v>
      </c>
    </row>
    <row r="7" spans="1:22" ht="12.75">
      <c r="A7" s="35">
        <v>2</v>
      </c>
      <c r="B7" s="19" t="s">
        <v>310</v>
      </c>
      <c r="C7" s="19" t="s">
        <v>311</v>
      </c>
      <c r="D7" s="19" t="s">
        <v>312</v>
      </c>
      <c r="E7" s="19" t="str">
        <f>"1,0612"</f>
        <v>1,0612</v>
      </c>
      <c r="F7" s="19" t="s">
        <v>31</v>
      </c>
      <c r="G7" s="19" t="s">
        <v>313</v>
      </c>
      <c r="H7" s="39" t="s">
        <v>189</v>
      </c>
      <c r="I7" s="38" t="s">
        <v>102</v>
      </c>
      <c r="J7" s="38" t="s">
        <v>103</v>
      </c>
      <c r="K7" s="20"/>
      <c r="L7" s="39" t="s">
        <v>33</v>
      </c>
      <c r="M7" s="39" t="s">
        <v>167</v>
      </c>
      <c r="N7" s="39" t="s">
        <v>58</v>
      </c>
      <c r="O7" s="20"/>
      <c r="P7" s="38" t="s">
        <v>70</v>
      </c>
      <c r="Q7" s="39" t="s">
        <v>70</v>
      </c>
      <c r="R7" s="38" t="s">
        <v>84</v>
      </c>
      <c r="S7" s="20"/>
      <c r="T7" s="74">
        <v>660</v>
      </c>
      <c r="U7" s="19" t="str">
        <f>"700,3920"</f>
        <v>700,3920</v>
      </c>
      <c r="V7" s="19" t="s">
        <v>89</v>
      </c>
    </row>
    <row r="8" spans="1:22" ht="12.75">
      <c r="A8" s="35">
        <v>1</v>
      </c>
      <c r="B8" s="23" t="s">
        <v>310</v>
      </c>
      <c r="C8" s="23" t="s">
        <v>314</v>
      </c>
      <c r="D8" s="23" t="s">
        <v>312</v>
      </c>
      <c r="E8" s="23" t="str">
        <f>"1,0612"</f>
        <v>1,0612</v>
      </c>
      <c r="F8" s="23" t="s">
        <v>31</v>
      </c>
      <c r="G8" s="23" t="s">
        <v>313</v>
      </c>
      <c r="H8" s="47" t="s">
        <v>189</v>
      </c>
      <c r="I8" s="44" t="s">
        <v>102</v>
      </c>
      <c r="J8" s="44" t="s">
        <v>103</v>
      </c>
      <c r="K8" s="24"/>
      <c r="L8" s="47" t="s">
        <v>33</v>
      </c>
      <c r="M8" s="47" t="s">
        <v>167</v>
      </c>
      <c r="N8" s="47" t="s">
        <v>58</v>
      </c>
      <c r="O8" s="24"/>
      <c r="P8" s="44" t="s">
        <v>70</v>
      </c>
      <c r="Q8" s="47" t="s">
        <v>70</v>
      </c>
      <c r="R8" s="44" t="s">
        <v>84</v>
      </c>
      <c r="S8" s="24"/>
      <c r="T8" s="77">
        <v>660</v>
      </c>
      <c r="U8" s="23" t="str">
        <f>"710,1975"</f>
        <v>710,1975</v>
      </c>
      <c r="V8" s="23" t="s">
        <v>89</v>
      </c>
    </row>
    <row r="9" ht="12.75">
      <c r="Q9" s="50"/>
    </row>
  </sheetData>
  <sheetProtection/>
  <mergeCells count="14">
    <mergeCell ref="T3:T4"/>
    <mergeCell ref="U3:U4"/>
    <mergeCell ref="V3:V4"/>
    <mergeCell ref="B5:U5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14"/>
  <sheetViews>
    <sheetView tabSelected="1" workbookViewId="0" topLeftCell="A1">
      <selection activeCell="A13" sqref="A13"/>
    </sheetView>
  </sheetViews>
  <sheetFormatPr defaultColWidth="8.75390625" defaultRowHeight="12.75"/>
  <cols>
    <col min="1" max="1" width="4.75390625" style="35" customWidth="1"/>
    <col min="2" max="2" width="20.75390625" style="18" customWidth="1"/>
    <col min="3" max="3" width="26.875" style="18" bestFit="1" customWidth="1"/>
    <col min="4" max="4" width="13.375" style="18" bestFit="1" customWidth="1"/>
    <col min="5" max="5" width="8.375" style="18" bestFit="1" customWidth="1"/>
    <col min="6" max="6" width="19.375" style="18" customWidth="1"/>
    <col min="7" max="7" width="38.125" style="18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8" width="5.625" style="18" bestFit="1" customWidth="1"/>
    <col min="19" max="19" width="4.625" style="18" bestFit="1" customWidth="1"/>
    <col min="20" max="20" width="7.875" style="37" bestFit="1" customWidth="1"/>
    <col min="21" max="21" width="8.625" style="18" bestFit="1" customWidth="1"/>
    <col min="22" max="22" width="16.75390625" style="18" bestFit="1" customWidth="1"/>
  </cols>
  <sheetData>
    <row r="1" spans="1:22" s="1" customFormat="1" ht="15" customHeight="1">
      <c r="A1" s="34"/>
      <c r="B1" s="129" t="s">
        <v>876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1"/>
    </row>
    <row r="2" spans="1:22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</row>
    <row r="3" spans="2:22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1</v>
      </c>
      <c r="I3" s="125"/>
      <c r="J3" s="125"/>
      <c r="K3" s="125"/>
      <c r="L3" s="125" t="s">
        <v>2</v>
      </c>
      <c r="M3" s="125"/>
      <c r="N3" s="125"/>
      <c r="O3" s="125"/>
      <c r="P3" s="125" t="s">
        <v>3</v>
      </c>
      <c r="Q3" s="125"/>
      <c r="R3" s="125"/>
      <c r="S3" s="125"/>
      <c r="T3" s="125" t="s">
        <v>4</v>
      </c>
      <c r="U3" s="125" t="s">
        <v>6</v>
      </c>
      <c r="V3" s="127" t="s">
        <v>5</v>
      </c>
    </row>
    <row r="4" spans="2:22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26"/>
      <c r="U4" s="126"/>
      <c r="V4" s="128"/>
    </row>
    <row r="5" spans="2:21" ht="15.75">
      <c r="B5" s="139" t="s">
        <v>161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2" ht="12.75">
      <c r="A6" s="35">
        <v>1</v>
      </c>
      <c r="B6" s="19" t="s">
        <v>287</v>
      </c>
      <c r="C6" s="19" t="s">
        <v>288</v>
      </c>
      <c r="D6" s="19" t="s">
        <v>289</v>
      </c>
      <c r="E6" s="19" t="str">
        <f>"1,6454"</f>
        <v>1,6454</v>
      </c>
      <c r="F6" s="19" t="s">
        <v>136</v>
      </c>
      <c r="G6" s="19" t="s">
        <v>869</v>
      </c>
      <c r="H6" s="39" t="s">
        <v>151</v>
      </c>
      <c r="I6" s="38" t="s">
        <v>19</v>
      </c>
      <c r="J6" s="39" t="s">
        <v>19</v>
      </c>
      <c r="K6" s="20"/>
      <c r="L6" s="39" t="s">
        <v>137</v>
      </c>
      <c r="M6" s="38" t="s">
        <v>150</v>
      </c>
      <c r="N6" s="38" t="s">
        <v>150</v>
      </c>
      <c r="O6" s="20"/>
      <c r="P6" s="39" t="s">
        <v>19</v>
      </c>
      <c r="Q6" s="38" t="s">
        <v>33</v>
      </c>
      <c r="R6" s="38" t="s">
        <v>167</v>
      </c>
      <c r="S6" s="20"/>
      <c r="T6" s="74">
        <v>295</v>
      </c>
      <c r="U6" s="19" t="str">
        <f>"485,3930"</f>
        <v>485,3930</v>
      </c>
      <c r="V6" s="19" t="s">
        <v>877</v>
      </c>
    </row>
    <row r="8" spans="2:21" ht="15.75">
      <c r="B8" s="140" t="s">
        <v>27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</row>
    <row r="9" spans="1:22" ht="12.75">
      <c r="A9" s="35">
        <v>1</v>
      </c>
      <c r="B9" s="19" t="s">
        <v>290</v>
      </c>
      <c r="C9" s="19" t="s">
        <v>291</v>
      </c>
      <c r="D9" s="19" t="s">
        <v>292</v>
      </c>
      <c r="E9" s="19" t="str">
        <f>"1,0348"</f>
        <v>1,0348</v>
      </c>
      <c r="F9" s="19" t="s">
        <v>293</v>
      </c>
      <c r="G9" s="19" t="s">
        <v>32</v>
      </c>
      <c r="H9" s="39" t="s">
        <v>38</v>
      </c>
      <c r="I9" s="38" t="s">
        <v>71</v>
      </c>
      <c r="J9" s="38" t="s">
        <v>71</v>
      </c>
      <c r="K9" s="20"/>
      <c r="L9" s="39" t="s">
        <v>167</v>
      </c>
      <c r="M9" s="39" t="s">
        <v>23</v>
      </c>
      <c r="N9" s="38" t="s">
        <v>200</v>
      </c>
      <c r="O9" s="20"/>
      <c r="P9" s="39" t="s">
        <v>85</v>
      </c>
      <c r="Q9" s="39" t="s">
        <v>45</v>
      </c>
      <c r="R9" s="39" t="s">
        <v>59</v>
      </c>
      <c r="S9" s="20"/>
      <c r="T9" s="74">
        <v>525</v>
      </c>
      <c r="U9" s="19" t="str">
        <f>"543,2700"</f>
        <v>543,2700</v>
      </c>
      <c r="V9" s="19" t="s">
        <v>89</v>
      </c>
    </row>
    <row r="11" spans="2:21" ht="15.75">
      <c r="B11" s="140" t="s">
        <v>77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</row>
    <row r="12" spans="1:22" ht="12.75">
      <c r="A12" s="35">
        <v>1</v>
      </c>
      <c r="B12" s="21" t="s">
        <v>294</v>
      </c>
      <c r="C12" s="21" t="s">
        <v>295</v>
      </c>
      <c r="D12" s="21" t="s">
        <v>296</v>
      </c>
      <c r="E12" s="21" t="str">
        <f>"0,9282"</f>
        <v>0,9282</v>
      </c>
      <c r="F12" s="21" t="s">
        <v>31</v>
      </c>
      <c r="G12" s="21" t="s">
        <v>57</v>
      </c>
      <c r="H12" s="42" t="s">
        <v>58</v>
      </c>
      <c r="I12" s="45" t="s">
        <v>188</v>
      </c>
      <c r="J12" s="45" t="s">
        <v>189</v>
      </c>
      <c r="K12" s="22"/>
      <c r="L12" s="45" t="s">
        <v>33</v>
      </c>
      <c r="M12" s="45" t="s">
        <v>61</v>
      </c>
      <c r="N12" s="45" t="s">
        <v>23</v>
      </c>
      <c r="O12" s="22"/>
      <c r="P12" s="45" t="s">
        <v>58</v>
      </c>
      <c r="Q12" s="45" t="s">
        <v>62</v>
      </c>
      <c r="R12" s="45" t="s">
        <v>189</v>
      </c>
      <c r="S12" s="22"/>
      <c r="T12" s="75">
        <v>590</v>
      </c>
      <c r="U12" s="21" t="str">
        <f>"547,6380"</f>
        <v>547,6380</v>
      </c>
      <c r="V12" s="21" t="s">
        <v>297</v>
      </c>
    </row>
    <row r="13" spans="1:22" ht="12.75">
      <c r="A13" s="166" t="s">
        <v>1122</v>
      </c>
      <c r="B13" s="19" t="s">
        <v>298</v>
      </c>
      <c r="C13" s="19" t="s">
        <v>299</v>
      </c>
      <c r="D13" s="19" t="s">
        <v>300</v>
      </c>
      <c r="E13" s="19" t="str">
        <f>"0,9214"</f>
        <v>0,9214</v>
      </c>
      <c r="F13" s="19" t="s">
        <v>293</v>
      </c>
      <c r="G13" s="19" t="s">
        <v>32</v>
      </c>
      <c r="H13" s="38" t="s">
        <v>63</v>
      </c>
      <c r="I13" s="39" t="s">
        <v>228</v>
      </c>
      <c r="J13" s="39" t="s">
        <v>83</v>
      </c>
      <c r="K13" s="20"/>
      <c r="L13" s="39" t="s">
        <v>61</v>
      </c>
      <c r="M13" s="38" t="s">
        <v>200</v>
      </c>
      <c r="N13" s="39" t="s">
        <v>200</v>
      </c>
      <c r="O13" s="20"/>
      <c r="P13" s="39" t="s">
        <v>63</v>
      </c>
      <c r="Q13" s="39" t="s">
        <v>228</v>
      </c>
      <c r="R13" s="39" t="s">
        <v>83</v>
      </c>
      <c r="S13" s="20"/>
      <c r="T13" s="74">
        <v>645</v>
      </c>
      <c r="U13" s="19" t="str">
        <f>"594,3030"</f>
        <v>594,3030</v>
      </c>
      <c r="V13" s="19" t="s">
        <v>89</v>
      </c>
    </row>
    <row r="14" spans="1:22" ht="12.75">
      <c r="A14" s="35">
        <v>1</v>
      </c>
      <c r="B14" s="23" t="s">
        <v>301</v>
      </c>
      <c r="C14" s="23" t="s">
        <v>302</v>
      </c>
      <c r="D14" s="23" t="s">
        <v>300</v>
      </c>
      <c r="E14" s="23" t="str">
        <f>"0,9214"</f>
        <v>0,9214</v>
      </c>
      <c r="F14" s="23" t="s">
        <v>31</v>
      </c>
      <c r="G14" s="23" t="s">
        <v>57</v>
      </c>
      <c r="H14" s="44" t="s">
        <v>59</v>
      </c>
      <c r="I14" s="47" t="s">
        <v>46</v>
      </c>
      <c r="J14" s="44" t="s">
        <v>62</v>
      </c>
      <c r="K14" s="24"/>
      <c r="L14" s="47" t="s">
        <v>175</v>
      </c>
      <c r="M14" s="47" t="s">
        <v>61</v>
      </c>
      <c r="N14" s="44" t="s">
        <v>23</v>
      </c>
      <c r="O14" s="24"/>
      <c r="P14" s="47" t="s">
        <v>189</v>
      </c>
      <c r="Q14" s="47" t="s">
        <v>207</v>
      </c>
      <c r="R14" s="47" t="s">
        <v>50</v>
      </c>
      <c r="S14" s="24"/>
      <c r="T14" s="77">
        <v>590</v>
      </c>
      <c r="U14" s="23" t="str">
        <f>"551,2368"</f>
        <v>551,2368</v>
      </c>
      <c r="V14" s="23" t="s">
        <v>303</v>
      </c>
    </row>
  </sheetData>
  <sheetProtection/>
  <mergeCells count="16">
    <mergeCell ref="T3:T4"/>
    <mergeCell ref="U3:U4"/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D19" sqref="D19"/>
    </sheetView>
  </sheetViews>
  <sheetFormatPr defaultColWidth="8.75390625" defaultRowHeight="12.75"/>
  <cols>
    <col min="1" max="1" width="5.25390625" style="35" customWidth="1"/>
    <col min="2" max="2" width="21.75390625" style="18" customWidth="1"/>
    <col min="3" max="3" width="26.125" style="18" customWidth="1"/>
    <col min="4" max="4" width="13.375" style="18" bestFit="1" customWidth="1"/>
    <col min="5" max="5" width="8.375" style="18" bestFit="1" customWidth="1"/>
    <col min="6" max="6" width="16.875" style="18" customWidth="1"/>
    <col min="7" max="7" width="28.875" style="18" bestFit="1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8" width="5.625" style="18" bestFit="1" customWidth="1"/>
    <col min="19" max="19" width="4.625" style="18" bestFit="1" customWidth="1"/>
    <col min="20" max="20" width="7.875" style="37" bestFit="1" customWidth="1"/>
    <col min="21" max="21" width="8.625" style="18" bestFit="1" customWidth="1"/>
    <col min="22" max="22" width="17.00390625" style="18" bestFit="1" customWidth="1"/>
  </cols>
  <sheetData>
    <row r="1" spans="1:22" s="1" customFormat="1" ht="15" customHeight="1">
      <c r="A1" s="34"/>
      <c r="B1" s="129" t="s">
        <v>874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1"/>
    </row>
    <row r="2" spans="1:22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</row>
    <row r="3" spans="2:22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1</v>
      </c>
      <c r="I3" s="125"/>
      <c r="J3" s="125"/>
      <c r="K3" s="125"/>
      <c r="L3" s="125" t="s">
        <v>2</v>
      </c>
      <c r="M3" s="125"/>
      <c r="N3" s="125"/>
      <c r="O3" s="125"/>
      <c r="P3" s="125" t="s">
        <v>3</v>
      </c>
      <c r="Q3" s="125"/>
      <c r="R3" s="125"/>
      <c r="S3" s="125"/>
      <c r="T3" s="125" t="s">
        <v>4</v>
      </c>
      <c r="U3" s="125" t="s">
        <v>6</v>
      </c>
      <c r="V3" s="127" t="s">
        <v>5</v>
      </c>
    </row>
    <row r="4" spans="2:22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26"/>
      <c r="U4" s="126"/>
      <c r="V4" s="128"/>
    </row>
    <row r="5" spans="2:21" ht="15.75">
      <c r="B5" s="139" t="s">
        <v>27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2" ht="12.75">
      <c r="A6" s="35">
        <v>1</v>
      </c>
      <c r="B6" s="19" t="s">
        <v>270</v>
      </c>
      <c r="C6" s="19" t="s">
        <v>271</v>
      </c>
      <c r="D6" s="19" t="s">
        <v>272</v>
      </c>
      <c r="E6" s="19" t="str">
        <f>"1,0290"</f>
        <v>1,0290</v>
      </c>
      <c r="F6" s="19" t="s">
        <v>31</v>
      </c>
      <c r="G6" s="19" t="s">
        <v>199</v>
      </c>
      <c r="H6" s="38" t="s">
        <v>51</v>
      </c>
      <c r="I6" s="39" t="s">
        <v>51</v>
      </c>
      <c r="J6" s="38" t="s">
        <v>84</v>
      </c>
      <c r="K6" s="20"/>
      <c r="L6" s="39" t="s">
        <v>38</v>
      </c>
      <c r="M6" s="39" t="s">
        <v>85</v>
      </c>
      <c r="N6" s="38" t="s">
        <v>273</v>
      </c>
      <c r="O6" s="20"/>
      <c r="P6" s="39" t="s">
        <v>102</v>
      </c>
      <c r="Q6" s="39" t="s">
        <v>209</v>
      </c>
      <c r="R6" s="20"/>
      <c r="S6" s="20"/>
      <c r="T6" s="74">
        <v>712.5</v>
      </c>
      <c r="U6" s="19" t="str">
        <f>"733,1625"</f>
        <v>733,1625</v>
      </c>
      <c r="V6" s="19" t="s">
        <v>89</v>
      </c>
    </row>
    <row r="8" spans="2:21" ht="15.75">
      <c r="B8" s="140" t="s">
        <v>77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</row>
    <row r="9" spans="1:22" ht="12.75">
      <c r="A9" s="35">
        <v>1</v>
      </c>
      <c r="B9" s="19" t="s">
        <v>912</v>
      </c>
      <c r="C9" s="19" t="s">
        <v>274</v>
      </c>
      <c r="D9" s="19" t="s">
        <v>238</v>
      </c>
      <c r="E9" s="19" t="str">
        <f>"0,9242"</f>
        <v>0,9242</v>
      </c>
      <c r="F9" s="19" t="s">
        <v>31</v>
      </c>
      <c r="G9" s="19" t="s">
        <v>875</v>
      </c>
      <c r="H9" s="39" t="s">
        <v>246</v>
      </c>
      <c r="I9" s="39" t="s">
        <v>275</v>
      </c>
      <c r="J9" s="39" t="s">
        <v>276</v>
      </c>
      <c r="K9" s="20"/>
      <c r="L9" s="39" t="s">
        <v>194</v>
      </c>
      <c r="M9" s="39" t="s">
        <v>85</v>
      </c>
      <c r="N9" s="39" t="s">
        <v>273</v>
      </c>
      <c r="O9" s="20"/>
      <c r="P9" s="39" t="s">
        <v>102</v>
      </c>
      <c r="Q9" s="39" t="s">
        <v>210</v>
      </c>
      <c r="R9" s="38" t="s">
        <v>87</v>
      </c>
      <c r="S9" s="20"/>
      <c r="T9" s="74">
        <v>787.5</v>
      </c>
      <c r="U9" s="19" t="str">
        <f>"727,8075"</f>
        <v>727,8075</v>
      </c>
      <c r="V9" s="19" t="s">
        <v>277</v>
      </c>
    </row>
    <row r="11" spans="2:21" ht="15.75">
      <c r="B11" s="140" t="s">
        <v>278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</row>
    <row r="12" spans="1:22" ht="12.75">
      <c r="A12" s="35">
        <v>1</v>
      </c>
      <c r="B12" s="19" t="s">
        <v>279</v>
      </c>
      <c r="C12" s="19" t="s">
        <v>280</v>
      </c>
      <c r="D12" s="19" t="s">
        <v>281</v>
      </c>
      <c r="E12" s="19" t="str">
        <f>"0,8720"</f>
        <v>0,8720</v>
      </c>
      <c r="F12" s="19" t="s">
        <v>282</v>
      </c>
      <c r="G12" s="19" t="s">
        <v>283</v>
      </c>
      <c r="H12" s="38" t="s">
        <v>235</v>
      </c>
      <c r="I12" s="38" t="s">
        <v>235</v>
      </c>
      <c r="J12" s="39" t="s">
        <v>235</v>
      </c>
      <c r="K12" s="20"/>
      <c r="L12" s="39" t="s">
        <v>58</v>
      </c>
      <c r="M12" s="38" t="s">
        <v>59</v>
      </c>
      <c r="N12" s="38" t="s">
        <v>284</v>
      </c>
      <c r="O12" s="20"/>
      <c r="P12" s="38" t="s">
        <v>84</v>
      </c>
      <c r="Q12" s="39" t="s">
        <v>84</v>
      </c>
      <c r="R12" s="38" t="s">
        <v>235</v>
      </c>
      <c r="S12" s="20"/>
      <c r="T12" s="74">
        <v>730</v>
      </c>
      <c r="U12" s="19" t="str">
        <f>"636,5600"</f>
        <v>636,5600</v>
      </c>
      <c r="V12" s="19" t="s">
        <v>285</v>
      </c>
    </row>
    <row r="13" spans="13:14" ht="12.75">
      <c r="M13" s="53"/>
      <c r="N13" s="53"/>
    </row>
  </sheetData>
  <sheetProtection/>
  <mergeCells count="16">
    <mergeCell ref="T3:T4"/>
    <mergeCell ref="U3:U4"/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E1">
      <selection activeCell="N6" sqref="N6"/>
    </sheetView>
  </sheetViews>
  <sheetFormatPr defaultColWidth="8.75390625" defaultRowHeight="12.75"/>
  <cols>
    <col min="1" max="1" width="4.875" style="35" customWidth="1"/>
    <col min="2" max="2" width="22.00390625" style="18" customWidth="1"/>
    <col min="3" max="3" width="26.00390625" style="18" bestFit="1" customWidth="1"/>
    <col min="4" max="4" width="13.375" style="18" bestFit="1" customWidth="1"/>
    <col min="5" max="5" width="8.375" style="18" bestFit="1" customWidth="1"/>
    <col min="6" max="6" width="22.75390625" style="18" bestFit="1" customWidth="1"/>
    <col min="7" max="7" width="37.75390625" style="18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9" width="5.625" style="18" bestFit="1" customWidth="1"/>
    <col min="20" max="20" width="7.875" style="37" bestFit="1" customWidth="1"/>
    <col min="21" max="21" width="8.625" style="18" bestFit="1" customWidth="1"/>
    <col min="22" max="22" width="29.875" style="18" bestFit="1" customWidth="1"/>
  </cols>
  <sheetData>
    <row r="1" spans="1:22" s="1" customFormat="1" ht="15" customHeight="1">
      <c r="A1" s="34"/>
      <c r="B1" s="129" t="s">
        <v>866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1"/>
    </row>
    <row r="2" spans="1:22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</row>
    <row r="3" spans="2:22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1</v>
      </c>
      <c r="I3" s="125"/>
      <c r="J3" s="125"/>
      <c r="K3" s="125"/>
      <c r="L3" s="125" t="s">
        <v>2</v>
      </c>
      <c r="M3" s="125"/>
      <c r="N3" s="125"/>
      <c r="O3" s="125"/>
      <c r="P3" s="125" t="s">
        <v>3</v>
      </c>
      <c r="Q3" s="125"/>
      <c r="R3" s="125"/>
      <c r="S3" s="125"/>
      <c r="T3" s="125" t="s">
        <v>4</v>
      </c>
      <c r="U3" s="125" t="s">
        <v>6</v>
      </c>
      <c r="V3" s="127" t="s">
        <v>5</v>
      </c>
    </row>
    <row r="4" spans="2:22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26"/>
      <c r="U4" s="126"/>
      <c r="V4" s="128"/>
    </row>
    <row r="5" spans="2:21" ht="15.75">
      <c r="B5" s="139" t="s">
        <v>132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2" ht="12.75">
      <c r="A6" s="35">
        <v>1</v>
      </c>
      <c r="B6" s="19" t="s">
        <v>133</v>
      </c>
      <c r="C6" s="19" t="s">
        <v>134</v>
      </c>
      <c r="D6" s="19" t="s">
        <v>135</v>
      </c>
      <c r="E6" s="19" t="str">
        <f>"2,3938"</f>
        <v>2,3938</v>
      </c>
      <c r="F6" s="19" t="s">
        <v>136</v>
      </c>
      <c r="G6" s="19" t="s">
        <v>869</v>
      </c>
      <c r="H6" s="39" t="s">
        <v>137</v>
      </c>
      <c r="I6" s="39" t="s">
        <v>138</v>
      </c>
      <c r="J6" s="38" t="s">
        <v>21</v>
      </c>
      <c r="K6" s="20"/>
      <c r="L6" s="39" t="s">
        <v>139</v>
      </c>
      <c r="M6" s="39" t="s">
        <v>140</v>
      </c>
      <c r="N6" s="38" t="s">
        <v>137</v>
      </c>
      <c r="O6" s="20"/>
      <c r="P6" s="38" t="s">
        <v>34</v>
      </c>
      <c r="Q6" s="39" t="s">
        <v>34</v>
      </c>
      <c r="R6" s="39" t="s">
        <v>36</v>
      </c>
      <c r="S6" s="38"/>
      <c r="T6" s="74">
        <v>222.5</v>
      </c>
      <c r="U6" s="19" t="str">
        <f>"532,6205"</f>
        <v>532,6205</v>
      </c>
      <c r="V6" s="19" t="s">
        <v>141</v>
      </c>
    </row>
    <row r="8" spans="2:21" ht="15.75">
      <c r="B8" s="140" t="s">
        <v>142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</row>
    <row r="9" spans="1:22" ht="12.75">
      <c r="A9" s="35">
        <v>1</v>
      </c>
      <c r="B9" s="21" t="s">
        <v>143</v>
      </c>
      <c r="C9" s="21" t="s">
        <v>144</v>
      </c>
      <c r="D9" s="21" t="s">
        <v>145</v>
      </c>
      <c r="E9" s="21" t="str">
        <f>"1,7878"</f>
        <v>1,7878</v>
      </c>
      <c r="F9" s="21" t="s">
        <v>146</v>
      </c>
      <c r="G9" s="21" t="s">
        <v>147</v>
      </c>
      <c r="H9" s="42" t="s">
        <v>148</v>
      </c>
      <c r="I9" s="45" t="s">
        <v>149</v>
      </c>
      <c r="J9" s="22"/>
      <c r="K9" s="22"/>
      <c r="L9" s="42" t="s">
        <v>150</v>
      </c>
      <c r="M9" s="42" t="s">
        <v>138</v>
      </c>
      <c r="N9" s="45" t="s">
        <v>138</v>
      </c>
      <c r="O9" s="22"/>
      <c r="P9" s="45" t="s">
        <v>148</v>
      </c>
      <c r="Q9" s="45" t="s">
        <v>36</v>
      </c>
      <c r="R9" s="45" t="s">
        <v>151</v>
      </c>
      <c r="S9" s="22"/>
      <c r="T9" s="75">
        <v>277.5</v>
      </c>
      <c r="U9" s="21" t="str">
        <f>"496,1145"</f>
        <v>496,1145</v>
      </c>
      <c r="V9" s="21" t="s">
        <v>873</v>
      </c>
    </row>
    <row r="10" spans="1:22" ht="12.75">
      <c r="A10" s="35">
        <v>2</v>
      </c>
      <c r="B10" s="19" t="s">
        <v>152</v>
      </c>
      <c r="C10" s="19" t="s">
        <v>153</v>
      </c>
      <c r="D10" s="19" t="s">
        <v>154</v>
      </c>
      <c r="E10" s="19" t="str">
        <f>"1,8108"</f>
        <v>1,8108</v>
      </c>
      <c r="F10" s="19" t="s">
        <v>81</v>
      </c>
      <c r="G10" s="19" t="s">
        <v>82</v>
      </c>
      <c r="H10" s="39" t="s">
        <v>155</v>
      </c>
      <c r="I10" s="38" t="s">
        <v>156</v>
      </c>
      <c r="J10" s="39" t="s">
        <v>156</v>
      </c>
      <c r="K10" s="20"/>
      <c r="L10" s="39" t="s">
        <v>157</v>
      </c>
      <c r="M10" s="38" t="s">
        <v>158</v>
      </c>
      <c r="N10" s="39" t="s">
        <v>158</v>
      </c>
      <c r="O10" s="20"/>
      <c r="P10" s="39" t="s">
        <v>159</v>
      </c>
      <c r="Q10" s="39" t="s">
        <v>36</v>
      </c>
      <c r="R10" s="39" t="s">
        <v>151</v>
      </c>
      <c r="S10" s="20"/>
      <c r="T10" s="74">
        <v>232.5</v>
      </c>
      <c r="U10" s="19" t="str">
        <f>"421,0110"</f>
        <v>421,0110</v>
      </c>
      <c r="V10" s="19" t="s">
        <v>160</v>
      </c>
    </row>
    <row r="12" spans="2:21" ht="15.75">
      <c r="B12" s="140" t="s">
        <v>161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</row>
    <row r="13" spans="1:22" ht="12.75">
      <c r="A13" s="35">
        <v>1</v>
      </c>
      <c r="B13" s="19" t="s">
        <v>162</v>
      </c>
      <c r="C13" s="19" t="s">
        <v>163</v>
      </c>
      <c r="D13" s="19" t="s">
        <v>164</v>
      </c>
      <c r="E13" s="19" t="str">
        <f>"1,6502"</f>
        <v>1,6502</v>
      </c>
      <c r="F13" s="19" t="s">
        <v>31</v>
      </c>
      <c r="G13" s="19" t="s">
        <v>32</v>
      </c>
      <c r="H13" s="39" t="s">
        <v>148</v>
      </c>
      <c r="I13" s="39" t="s">
        <v>151</v>
      </c>
      <c r="J13" s="39" t="s">
        <v>19</v>
      </c>
      <c r="K13" s="48"/>
      <c r="L13" s="39" t="s">
        <v>165</v>
      </c>
      <c r="M13" s="39" t="s">
        <v>34</v>
      </c>
      <c r="N13" s="39" t="s">
        <v>159</v>
      </c>
      <c r="O13" s="48"/>
      <c r="P13" s="39" t="s">
        <v>19</v>
      </c>
      <c r="Q13" s="39" t="s">
        <v>166</v>
      </c>
      <c r="R13" s="39" t="s">
        <v>167</v>
      </c>
      <c r="S13" s="20"/>
      <c r="T13" s="74">
        <v>355</v>
      </c>
      <c r="U13" s="19" t="str">
        <f>"585,8210"</f>
        <v>585,8210</v>
      </c>
      <c r="V13" s="19" t="s">
        <v>89</v>
      </c>
    </row>
    <row r="15" spans="2:21" ht="15.75">
      <c r="B15" s="140" t="s">
        <v>13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</row>
    <row r="16" spans="1:22" ht="12.75">
      <c r="A16" s="35">
        <v>1</v>
      </c>
      <c r="B16" s="19" t="s">
        <v>168</v>
      </c>
      <c r="C16" s="19" t="s">
        <v>169</v>
      </c>
      <c r="D16" s="19" t="s">
        <v>170</v>
      </c>
      <c r="E16" s="19" t="str">
        <f>"1,9550"</f>
        <v>1,9550</v>
      </c>
      <c r="F16" s="19" t="s">
        <v>17</v>
      </c>
      <c r="G16" s="19" t="s">
        <v>18</v>
      </c>
      <c r="H16" s="39" t="s">
        <v>35</v>
      </c>
      <c r="I16" s="39" t="s">
        <v>149</v>
      </c>
      <c r="J16" s="39" t="s">
        <v>171</v>
      </c>
      <c r="K16" s="48"/>
      <c r="L16" s="39" t="s">
        <v>137</v>
      </c>
      <c r="M16" s="39" t="s">
        <v>150</v>
      </c>
      <c r="N16" s="39" t="s">
        <v>172</v>
      </c>
      <c r="O16" s="38" t="s">
        <v>138</v>
      </c>
      <c r="P16" s="39" t="s">
        <v>173</v>
      </c>
      <c r="Q16" s="39" t="s">
        <v>174</v>
      </c>
      <c r="R16" s="39" t="s">
        <v>175</v>
      </c>
      <c r="S16" s="20"/>
      <c r="T16" s="74">
        <v>305</v>
      </c>
      <c r="U16" s="19" t="str">
        <f>"596,2750"</f>
        <v>596,2750</v>
      </c>
      <c r="V16" s="19" t="s">
        <v>176</v>
      </c>
    </row>
    <row r="18" spans="2:21" ht="15.75">
      <c r="B18" s="140" t="s">
        <v>177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</row>
    <row r="19" spans="1:22" ht="12.75">
      <c r="A19" s="35">
        <v>1</v>
      </c>
      <c r="B19" s="19" t="s">
        <v>178</v>
      </c>
      <c r="C19" s="19" t="s">
        <v>179</v>
      </c>
      <c r="D19" s="19" t="s">
        <v>180</v>
      </c>
      <c r="E19" s="19" t="str">
        <f>"1,1170"</f>
        <v>1,1170</v>
      </c>
      <c r="F19" s="19" t="s">
        <v>181</v>
      </c>
      <c r="G19" s="19" t="s">
        <v>182</v>
      </c>
      <c r="H19" s="39" t="s">
        <v>37</v>
      </c>
      <c r="I19" s="38" t="s">
        <v>38</v>
      </c>
      <c r="J19" s="38" t="s">
        <v>38</v>
      </c>
      <c r="K19" s="20"/>
      <c r="L19" s="39" t="s">
        <v>19</v>
      </c>
      <c r="M19" s="39" t="s">
        <v>183</v>
      </c>
      <c r="N19" s="38" t="s">
        <v>33</v>
      </c>
      <c r="O19" s="20"/>
      <c r="P19" s="39" t="s">
        <v>62</v>
      </c>
      <c r="Q19" s="38" t="s">
        <v>63</v>
      </c>
      <c r="R19" s="38" t="s">
        <v>63</v>
      </c>
      <c r="S19" s="20"/>
      <c r="T19" s="74">
        <v>505</v>
      </c>
      <c r="U19" s="19" t="str">
        <f>"564,0850"</f>
        <v>564,0850</v>
      </c>
      <c r="V19" s="19" t="s">
        <v>184</v>
      </c>
    </row>
    <row r="21" spans="2:21" ht="15.75">
      <c r="B21" s="140" t="s">
        <v>27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</row>
    <row r="22" spans="1:22" ht="12.75">
      <c r="A22" s="35">
        <v>1</v>
      </c>
      <c r="B22" s="21" t="s">
        <v>185</v>
      </c>
      <c r="C22" s="21" t="s">
        <v>186</v>
      </c>
      <c r="D22" s="21" t="s">
        <v>187</v>
      </c>
      <c r="E22" s="21" t="str">
        <f>"1,0456"</f>
        <v>1,0456</v>
      </c>
      <c r="F22" s="21" t="s">
        <v>81</v>
      </c>
      <c r="G22" s="21" t="s">
        <v>82</v>
      </c>
      <c r="H22" s="45" t="s">
        <v>71</v>
      </c>
      <c r="I22" s="42" t="s">
        <v>45</v>
      </c>
      <c r="J22" s="45" t="s">
        <v>45</v>
      </c>
      <c r="K22" s="22"/>
      <c r="L22" s="45" t="s">
        <v>173</v>
      </c>
      <c r="M22" s="45" t="s">
        <v>183</v>
      </c>
      <c r="N22" s="45" t="s">
        <v>33</v>
      </c>
      <c r="O22" s="22"/>
      <c r="P22" s="45" t="s">
        <v>188</v>
      </c>
      <c r="Q22" s="45" t="s">
        <v>189</v>
      </c>
      <c r="R22" s="42" t="s">
        <v>63</v>
      </c>
      <c r="S22" s="22"/>
      <c r="T22" s="75">
        <v>545</v>
      </c>
      <c r="U22" s="21" t="str">
        <f>"569,8520"</f>
        <v>569,8520</v>
      </c>
      <c r="V22" s="21" t="s">
        <v>190</v>
      </c>
    </row>
    <row r="23" spans="1:22" ht="12.75">
      <c r="A23" s="35">
        <v>2</v>
      </c>
      <c r="B23" s="19" t="s">
        <v>191</v>
      </c>
      <c r="C23" s="19" t="s">
        <v>192</v>
      </c>
      <c r="D23" s="19" t="s">
        <v>193</v>
      </c>
      <c r="E23" s="19" t="str">
        <f>"1,0564"</f>
        <v>1,0564</v>
      </c>
      <c r="F23" s="19" t="s">
        <v>31</v>
      </c>
      <c r="G23" s="19" t="s">
        <v>32</v>
      </c>
      <c r="H23" s="39" t="s">
        <v>194</v>
      </c>
      <c r="I23" s="39" t="s">
        <v>85</v>
      </c>
      <c r="J23" s="39" t="s">
        <v>58</v>
      </c>
      <c r="K23" s="20"/>
      <c r="L23" s="39" t="s">
        <v>33</v>
      </c>
      <c r="M23" s="38" t="s">
        <v>60</v>
      </c>
      <c r="N23" s="38"/>
      <c r="O23" s="20"/>
      <c r="P23" s="39" t="s">
        <v>58</v>
      </c>
      <c r="Q23" s="39" t="s">
        <v>59</v>
      </c>
      <c r="R23" s="39" t="s">
        <v>62</v>
      </c>
      <c r="S23" s="20"/>
      <c r="T23" s="74">
        <v>535</v>
      </c>
      <c r="U23" s="19" t="str">
        <f>"565,1740"</f>
        <v>565,1740</v>
      </c>
      <c r="V23" s="19" t="s">
        <v>195</v>
      </c>
    </row>
    <row r="24" spans="1:22" ht="12.75">
      <c r="A24" s="35">
        <v>3</v>
      </c>
      <c r="B24" s="25" t="s">
        <v>196</v>
      </c>
      <c r="C24" s="25" t="s">
        <v>197</v>
      </c>
      <c r="D24" s="25" t="s">
        <v>198</v>
      </c>
      <c r="E24" s="25" t="str">
        <f>"1,0428"</f>
        <v>1,0428</v>
      </c>
      <c r="F24" s="25" t="s">
        <v>31</v>
      </c>
      <c r="G24" s="25" t="s">
        <v>199</v>
      </c>
      <c r="H24" s="46" t="s">
        <v>200</v>
      </c>
      <c r="I24" s="46" t="s">
        <v>194</v>
      </c>
      <c r="J24" s="46" t="s">
        <v>38</v>
      </c>
      <c r="K24" s="26"/>
      <c r="L24" s="46" t="s">
        <v>173</v>
      </c>
      <c r="M24" s="43" t="s">
        <v>19</v>
      </c>
      <c r="N24" s="43" t="s">
        <v>19</v>
      </c>
      <c r="O24" s="26"/>
      <c r="P24" s="46" t="s">
        <v>59</v>
      </c>
      <c r="Q24" s="46" t="s">
        <v>189</v>
      </c>
      <c r="R24" s="43" t="s">
        <v>101</v>
      </c>
      <c r="S24" s="26"/>
      <c r="T24" s="76">
        <v>510</v>
      </c>
      <c r="U24" s="25" t="str">
        <f>"531,8280"</f>
        <v>531,8280</v>
      </c>
      <c r="V24" s="25" t="s">
        <v>89</v>
      </c>
    </row>
    <row r="25" spans="1:22" ht="12.75">
      <c r="A25" s="35">
        <v>4</v>
      </c>
      <c r="B25" s="19" t="s">
        <v>201</v>
      </c>
      <c r="C25" s="19" t="s">
        <v>202</v>
      </c>
      <c r="D25" s="19" t="s">
        <v>203</v>
      </c>
      <c r="E25" s="19" t="str">
        <f>"1,0876"</f>
        <v>1,0876</v>
      </c>
      <c r="F25" s="19" t="s">
        <v>81</v>
      </c>
      <c r="G25" s="19" t="s">
        <v>82</v>
      </c>
      <c r="H25" s="39" t="s">
        <v>19</v>
      </c>
      <c r="I25" s="39" t="s">
        <v>33</v>
      </c>
      <c r="J25" s="38" t="s">
        <v>167</v>
      </c>
      <c r="K25" s="20"/>
      <c r="L25" s="39" t="s">
        <v>36</v>
      </c>
      <c r="M25" s="38" t="s">
        <v>173</v>
      </c>
      <c r="N25" s="38" t="s">
        <v>173</v>
      </c>
      <c r="O25" s="20"/>
      <c r="P25" s="39" t="s">
        <v>23</v>
      </c>
      <c r="Q25" s="39" t="s">
        <v>24</v>
      </c>
      <c r="R25" s="38" t="s">
        <v>194</v>
      </c>
      <c r="S25" s="20"/>
      <c r="T25" s="74">
        <v>395</v>
      </c>
      <c r="U25" s="19" t="str">
        <f>"429,6020"</f>
        <v>429,6020</v>
      </c>
      <c r="V25" s="19" t="s">
        <v>160</v>
      </c>
    </row>
    <row r="27" spans="2:21" ht="15.75">
      <c r="B27" s="140" t="s">
        <v>66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</row>
    <row r="28" spans="1:22" ht="12.75">
      <c r="A28" s="35">
        <v>1</v>
      </c>
      <c r="B28" s="21" t="s">
        <v>204</v>
      </c>
      <c r="C28" s="21" t="s">
        <v>205</v>
      </c>
      <c r="D28" s="21" t="s">
        <v>206</v>
      </c>
      <c r="E28" s="21" t="str">
        <f>"0,9790"</f>
        <v>0,9790</v>
      </c>
      <c r="F28" s="21" t="s">
        <v>17</v>
      </c>
      <c r="G28" s="21" t="s">
        <v>32</v>
      </c>
      <c r="H28" s="45" t="s">
        <v>62</v>
      </c>
      <c r="I28" s="45" t="s">
        <v>63</v>
      </c>
      <c r="J28" s="45" t="s">
        <v>207</v>
      </c>
      <c r="K28" s="22"/>
      <c r="L28" s="45" t="s">
        <v>175</v>
      </c>
      <c r="M28" s="45" t="s">
        <v>23</v>
      </c>
      <c r="N28" s="45" t="s">
        <v>208</v>
      </c>
      <c r="O28" s="22"/>
      <c r="P28" s="42" t="s">
        <v>209</v>
      </c>
      <c r="Q28" s="45" t="s">
        <v>209</v>
      </c>
      <c r="R28" s="45" t="s">
        <v>210</v>
      </c>
      <c r="S28" s="22"/>
      <c r="T28" s="75">
        <v>677.5</v>
      </c>
      <c r="U28" s="21" t="str">
        <f>"663,2725"</f>
        <v>663,2725</v>
      </c>
      <c r="V28" s="21" t="s">
        <v>870</v>
      </c>
    </row>
    <row r="29" spans="1:22" ht="12.75">
      <c r="A29" s="35">
        <v>1</v>
      </c>
      <c r="B29" s="19" t="s">
        <v>204</v>
      </c>
      <c r="C29" s="19" t="s">
        <v>211</v>
      </c>
      <c r="D29" s="19" t="s">
        <v>206</v>
      </c>
      <c r="E29" s="19" t="str">
        <f>"0,9790"</f>
        <v>0,9790</v>
      </c>
      <c r="F29" s="19" t="s">
        <v>17</v>
      </c>
      <c r="G29" s="19" t="s">
        <v>32</v>
      </c>
      <c r="H29" s="39" t="s">
        <v>62</v>
      </c>
      <c r="I29" s="39" t="s">
        <v>63</v>
      </c>
      <c r="J29" s="39" t="s">
        <v>207</v>
      </c>
      <c r="K29" s="20"/>
      <c r="L29" s="39" t="s">
        <v>175</v>
      </c>
      <c r="M29" s="39" t="s">
        <v>23</v>
      </c>
      <c r="N29" s="39" t="s">
        <v>208</v>
      </c>
      <c r="O29" s="20"/>
      <c r="P29" s="38" t="s">
        <v>209</v>
      </c>
      <c r="Q29" s="39" t="s">
        <v>209</v>
      </c>
      <c r="R29" s="39" t="s">
        <v>210</v>
      </c>
      <c r="S29" s="20"/>
      <c r="T29" s="74">
        <v>677.5</v>
      </c>
      <c r="U29" s="19" t="str">
        <f>"663,2725"</f>
        <v>663,2725</v>
      </c>
      <c r="V29" s="19" t="s">
        <v>870</v>
      </c>
    </row>
    <row r="30" spans="1:22" ht="12.75">
      <c r="A30" s="35">
        <v>2</v>
      </c>
      <c r="B30" s="25" t="s">
        <v>212</v>
      </c>
      <c r="C30" s="25" t="s">
        <v>213</v>
      </c>
      <c r="D30" s="25" t="s">
        <v>214</v>
      </c>
      <c r="E30" s="25" t="str">
        <f>"0,9760"</f>
        <v>0,9760</v>
      </c>
      <c r="F30" s="25" t="s">
        <v>31</v>
      </c>
      <c r="G30" s="25" t="s">
        <v>100</v>
      </c>
      <c r="H30" s="46" t="s">
        <v>59</v>
      </c>
      <c r="I30" s="46" t="s">
        <v>188</v>
      </c>
      <c r="J30" s="43" t="s">
        <v>215</v>
      </c>
      <c r="K30" s="26"/>
      <c r="L30" s="46" t="s">
        <v>23</v>
      </c>
      <c r="M30" s="46" t="s">
        <v>24</v>
      </c>
      <c r="N30" s="46" t="s">
        <v>25</v>
      </c>
      <c r="O30" s="26"/>
      <c r="P30" s="46" t="s">
        <v>101</v>
      </c>
      <c r="Q30" s="46" t="s">
        <v>50</v>
      </c>
      <c r="R30" s="46" t="s">
        <v>70</v>
      </c>
      <c r="S30" s="26"/>
      <c r="T30" s="76">
        <v>627.5</v>
      </c>
      <c r="U30" s="25" t="str">
        <f>"612,4400"</f>
        <v>612,4400</v>
      </c>
      <c r="V30" s="25" t="s">
        <v>872</v>
      </c>
    </row>
    <row r="31" spans="1:22" ht="12.75">
      <c r="A31" s="35">
        <v>3</v>
      </c>
      <c r="B31" s="19" t="s">
        <v>216</v>
      </c>
      <c r="C31" s="19" t="s">
        <v>217</v>
      </c>
      <c r="D31" s="19" t="s">
        <v>218</v>
      </c>
      <c r="E31" s="19" t="str">
        <f>"0,9712"</f>
        <v>0,9712</v>
      </c>
      <c r="F31" s="19" t="s">
        <v>181</v>
      </c>
      <c r="G31" s="19" t="s">
        <v>182</v>
      </c>
      <c r="H31" s="39" t="s">
        <v>38</v>
      </c>
      <c r="I31" s="39" t="s">
        <v>71</v>
      </c>
      <c r="J31" s="38" t="s">
        <v>73</v>
      </c>
      <c r="K31" s="20"/>
      <c r="L31" s="39" t="s">
        <v>183</v>
      </c>
      <c r="M31" s="39" t="s">
        <v>60</v>
      </c>
      <c r="N31" s="39" t="s">
        <v>219</v>
      </c>
      <c r="O31" s="20"/>
      <c r="P31" s="38" t="s">
        <v>71</v>
      </c>
      <c r="Q31" s="39" t="s">
        <v>188</v>
      </c>
      <c r="R31" s="38" t="s">
        <v>62</v>
      </c>
      <c r="S31" s="20"/>
      <c r="T31" s="74">
        <v>537.5</v>
      </c>
      <c r="U31" s="19" t="str">
        <f>"522,0200"</f>
        <v>522,0200</v>
      </c>
      <c r="V31" s="19" t="s">
        <v>220</v>
      </c>
    </row>
    <row r="32" spans="1:22" ht="12.75">
      <c r="A32" s="35">
        <v>4</v>
      </c>
      <c r="B32" s="23" t="s">
        <v>221</v>
      </c>
      <c r="C32" s="23" t="s">
        <v>222</v>
      </c>
      <c r="D32" s="23" t="s">
        <v>223</v>
      </c>
      <c r="E32" s="23" t="str">
        <f>"0,9874"</f>
        <v>0,9874</v>
      </c>
      <c r="F32" s="23" t="s">
        <v>81</v>
      </c>
      <c r="G32" s="23" t="s">
        <v>82</v>
      </c>
      <c r="H32" s="47" t="s">
        <v>38</v>
      </c>
      <c r="I32" s="47" t="s">
        <v>71</v>
      </c>
      <c r="J32" s="47" t="s">
        <v>58</v>
      </c>
      <c r="K32" s="24"/>
      <c r="L32" s="47" t="s">
        <v>224</v>
      </c>
      <c r="M32" s="47" t="s">
        <v>20</v>
      </c>
      <c r="N32" s="44" t="s">
        <v>183</v>
      </c>
      <c r="O32" s="24"/>
      <c r="P32" s="47" t="s">
        <v>59</v>
      </c>
      <c r="Q32" s="44" t="s">
        <v>188</v>
      </c>
      <c r="R32" s="44" t="s">
        <v>188</v>
      </c>
      <c r="S32" s="24"/>
      <c r="T32" s="77">
        <v>512.5</v>
      </c>
      <c r="U32" s="23" t="str">
        <f>"506,0425"</f>
        <v>506,0425</v>
      </c>
      <c r="V32" s="23" t="s">
        <v>89</v>
      </c>
    </row>
    <row r="34" spans="2:21" ht="15.75">
      <c r="B34" s="140" t="s">
        <v>77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</row>
    <row r="35" spans="2:22" ht="12.75">
      <c r="B35" s="19" t="s">
        <v>225</v>
      </c>
      <c r="C35" s="19" t="s">
        <v>226</v>
      </c>
      <c r="D35" s="19" t="s">
        <v>227</v>
      </c>
      <c r="E35" s="19" t="str">
        <f>"0,9320"</f>
        <v>0,9320</v>
      </c>
      <c r="F35" s="19" t="s">
        <v>17</v>
      </c>
      <c r="G35" s="19" t="s">
        <v>44</v>
      </c>
      <c r="H35" s="38" t="s">
        <v>46</v>
      </c>
      <c r="I35" s="38" t="s">
        <v>188</v>
      </c>
      <c r="J35" s="38" t="s">
        <v>188</v>
      </c>
      <c r="K35" s="20"/>
      <c r="L35" s="38"/>
      <c r="M35" s="20"/>
      <c r="N35" s="20"/>
      <c r="O35" s="20"/>
      <c r="P35" s="38"/>
      <c r="Q35" s="20"/>
      <c r="R35" s="20"/>
      <c r="S35" s="20"/>
      <c r="T35" s="36">
        <v>0</v>
      </c>
      <c r="U35" s="19" t="str">
        <f>"0,0000"</f>
        <v>0,0000</v>
      </c>
      <c r="V35" s="19" t="s">
        <v>229</v>
      </c>
    </row>
    <row r="36" spans="1:22" ht="12.75">
      <c r="A36" s="35">
        <v>1</v>
      </c>
      <c r="B36" s="25" t="s">
        <v>230</v>
      </c>
      <c r="C36" s="25" t="s">
        <v>231</v>
      </c>
      <c r="D36" s="25" t="s">
        <v>232</v>
      </c>
      <c r="E36" s="25" t="str">
        <f>"0,9158"</f>
        <v>0,9158</v>
      </c>
      <c r="F36" s="25" t="s">
        <v>181</v>
      </c>
      <c r="G36" s="25" t="s">
        <v>182</v>
      </c>
      <c r="H36" s="46" t="s">
        <v>84</v>
      </c>
      <c r="I36" s="43" t="s">
        <v>233</v>
      </c>
      <c r="J36" s="43" t="s">
        <v>102</v>
      </c>
      <c r="K36" s="26"/>
      <c r="L36" s="46" t="s">
        <v>37</v>
      </c>
      <c r="M36" s="46" t="s">
        <v>234</v>
      </c>
      <c r="N36" s="46" t="s">
        <v>38</v>
      </c>
      <c r="O36" s="26"/>
      <c r="P36" s="46" t="s">
        <v>102</v>
      </c>
      <c r="Q36" s="46" t="s">
        <v>235</v>
      </c>
      <c r="R36" s="43" t="s">
        <v>87</v>
      </c>
      <c r="S36" s="26"/>
      <c r="T36" s="76">
        <v>715</v>
      </c>
      <c r="U36" s="25" t="str">
        <f>"654,7970"</f>
        <v>654,7970</v>
      </c>
      <c r="V36" s="25" t="s">
        <v>220</v>
      </c>
    </row>
    <row r="37" spans="1:22" ht="12.75">
      <c r="A37" s="35">
        <v>2</v>
      </c>
      <c r="B37" s="19" t="s">
        <v>236</v>
      </c>
      <c r="C37" s="19" t="s">
        <v>237</v>
      </c>
      <c r="D37" s="19" t="s">
        <v>238</v>
      </c>
      <c r="E37" s="19" t="str">
        <f>"0,9242"</f>
        <v>0,9242</v>
      </c>
      <c r="F37" s="19" t="s">
        <v>239</v>
      </c>
      <c r="G37" s="19" t="s">
        <v>32</v>
      </c>
      <c r="H37" s="39" t="s">
        <v>59</v>
      </c>
      <c r="I37" s="39" t="s">
        <v>46</v>
      </c>
      <c r="J37" s="38" t="s">
        <v>62</v>
      </c>
      <c r="K37" s="20"/>
      <c r="L37" s="38" t="s">
        <v>61</v>
      </c>
      <c r="M37" s="39" t="s">
        <v>61</v>
      </c>
      <c r="N37" s="39" t="s">
        <v>200</v>
      </c>
      <c r="O37" s="20"/>
      <c r="P37" s="39" t="s">
        <v>189</v>
      </c>
      <c r="Q37" s="38" t="s">
        <v>101</v>
      </c>
      <c r="R37" s="38" t="s">
        <v>50</v>
      </c>
      <c r="S37" s="20"/>
      <c r="T37" s="74">
        <v>580</v>
      </c>
      <c r="U37" s="19" t="str">
        <f>"536,0360"</f>
        <v>536,0360</v>
      </c>
      <c r="V37" s="19" t="s">
        <v>240</v>
      </c>
    </row>
    <row r="40" spans="2:3" ht="18">
      <c r="B40" s="28" t="s">
        <v>106</v>
      </c>
      <c r="C40" s="28"/>
    </row>
    <row r="42" spans="2:3" ht="15.75">
      <c r="B42" s="29" t="s">
        <v>113</v>
      </c>
      <c r="C42" s="29"/>
    </row>
    <row r="44" spans="2:3" ht="13.5">
      <c r="B44" s="31" t="s">
        <v>107</v>
      </c>
      <c r="C44" s="32"/>
    </row>
    <row r="45" spans="2:6" ht="13.5">
      <c r="B45" s="33" t="s">
        <v>108</v>
      </c>
      <c r="C45" s="33" t="s">
        <v>109</v>
      </c>
      <c r="D45" s="33" t="s">
        <v>110</v>
      </c>
      <c r="E45" s="33" t="s">
        <v>111</v>
      </c>
      <c r="F45" s="33" t="s">
        <v>868</v>
      </c>
    </row>
    <row r="46" spans="1:6" ht="12.75">
      <c r="A46" s="35">
        <v>1</v>
      </c>
      <c r="B46" s="30" t="s">
        <v>204</v>
      </c>
      <c r="C46" s="73" t="s">
        <v>107</v>
      </c>
      <c r="D46" s="73" t="s">
        <v>117</v>
      </c>
      <c r="E46" s="73" t="s">
        <v>247</v>
      </c>
      <c r="F46" s="37" t="s">
        <v>248</v>
      </c>
    </row>
    <row r="47" spans="1:6" ht="12.75">
      <c r="A47" s="35">
        <v>2</v>
      </c>
      <c r="B47" s="30" t="s">
        <v>230</v>
      </c>
      <c r="C47" s="73" t="s">
        <v>107</v>
      </c>
      <c r="D47" s="73" t="s">
        <v>120</v>
      </c>
      <c r="E47" s="73" t="s">
        <v>249</v>
      </c>
      <c r="F47" s="37" t="s">
        <v>250</v>
      </c>
    </row>
    <row r="48" spans="1:6" ht="12.75">
      <c r="A48" s="35">
        <v>3</v>
      </c>
      <c r="B48" s="30" t="s">
        <v>212</v>
      </c>
      <c r="C48" s="73" t="s">
        <v>107</v>
      </c>
      <c r="D48" s="73" t="s">
        <v>117</v>
      </c>
      <c r="E48" s="73" t="s">
        <v>251</v>
      </c>
      <c r="F48" s="37" t="s">
        <v>252</v>
      </c>
    </row>
    <row r="49" spans="2:6" ht="12.75">
      <c r="B49" s="30" t="s">
        <v>185</v>
      </c>
      <c r="C49" s="73" t="s">
        <v>107</v>
      </c>
      <c r="D49" s="73" t="s">
        <v>116</v>
      </c>
      <c r="E49" s="73" t="s">
        <v>253</v>
      </c>
      <c r="F49" s="37" t="s">
        <v>254</v>
      </c>
    </row>
    <row r="50" spans="2:6" ht="12.75">
      <c r="B50" s="30" t="s">
        <v>191</v>
      </c>
      <c r="C50" s="73" t="s">
        <v>107</v>
      </c>
      <c r="D50" s="73" t="s">
        <v>116</v>
      </c>
      <c r="E50" s="73" t="s">
        <v>255</v>
      </c>
      <c r="F50" s="37" t="s">
        <v>256</v>
      </c>
    </row>
    <row r="51" spans="2:6" ht="12.75">
      <c r="B51" s="30" t="s">
        <v>178</v>
      </c>
      <c r="C51" s="73" t="s">
        <v>107</v>
      </c>
      <c r="D51" s="73" t="s">
        <v>257</v>
      </c>
      <c r="E51" s="73" t="s">
        <v>258</v>
      </c>
      <c r="F51" s="37" t="s">
        <v>259</v>
      </c>
    </row>
    <row r="52" spans="2:6" ht="12.75">
      <c r="B52" s="30" t="s">
        <v>236</v>
      </c>
      <c r="C52" s="73" t="s">
        <v>107</v>
      </c>
      <c r="D52" s="73" t="s">
        <v>120</v>
      </c>
      <c r="E52" s="73" t="s">
        <v>260</v>
      </c>
      <c r="F52" s="37" t="s">
        <v>261</v>
      </c>
    </row>
    <row r="53" spans="2:6" ht="12.75">
      <c r="B53" s="30" t="s">
        <v>196</v>
      </c>
      <c r="C53" s="73" t="s">
        <v>107</v>
      </c>
      <c r="D53" s="73" t="s">
        <v>116</v>
      </c>
      <c r="E53" s="73" t="s">
        <v>262</v>
      </c>
      <c r="F53" s="37" t="s">
        <v>263</v>
      </c>
    </row>
    <row r="54" spans="2:6" ht="12.75">
      <c r="B54" s="30" t="s">
        <v>216</v>
      </c>
      <c r="C54" s="73" t="s">
        <v>107</v>
      </c>
      <c r="D54" s="73" t="s">
        <v>117</v>
      </c>
      <c r="E54" s="73" t="s">
        <v>264</v>
      </c>
      <c r="F54" s="37" t="s">
        <v>265</v>
      </c>
    </row>
    <row r="55" spans="2:6" ht="12.75">
      <c r="B55" s="30" t="s">
        <v>221</v>
      </c>
      <c r="C55" s="73" t="s">
        <v>107</v>
      </c>
      <c r="D55" s="73" t="s">
        <v>117</v>
      </c>
      <c r="E55" s="73" t="s">
        <v>266</v>
      </c>
      <c r="F55" s="37" t="s">
        <v>267</v>
      </c>
    </row>
    <row r="56" spans="2:6" ht="12.75">
      <c r="B56" s="30" t="s">
        <v>201</v>
      </c>
      <c r="C56" s="73" t="s">
        <v>107</v>
      </c>
      <c r="D56" s="73" t="s">
        <v>116</v>
      </c>
      <c r="E56" s="73" t="s">
        <v>268</v>
      </c>
      <c r="F56" s="37" t="s">
        <v>269</v>
      </c>
    </row>
  </sheetData>
  <sheetProtection/>
  <mergeCells count="21">
    <mergeCell ref="B12:U12"/>
    <mergeCell ref="B27:U27"/>
    <mergeCell ref="B15:U15"/>
    <mergeCell ref="V3:V4"/>
    <mergeCell ref="B5:U5"/>
    <mergeCell ref="B8:U8"/>
    <mergeCell ref="B34:U34"/>
    <mergeCell ref="T3:T4"/>
    <mergeCell ref="U3:U4"/>
    <mergeCell ref="G3:G4"/>
    <mergeCell ref="H3:K3"/>
    <mergeCell ref="B21:U21"/>
    <mergeCell ref="B1:V2"/>
    <mergeCell ref="B3:B4"/>
    <mergeCell ref="C3:C4"/>
    <mergeCell ref="D3:D4"/>
    <mergeCell ref="E3:E4"/>
    <mergeCell ref="P3:S3"/>
    <mergeCell ref="L3:O3"/>
    <mergeCell ref="F3:F4"/>
    <mergeCell ref="B18:U18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27" sqref="F27"/>
    </sheetView>
  </sheetViews>
  <sheetFormatPr defaultColWidth="8.75390625" defaultRowHeight="12.75"/>
  <cols>
    <col min="1" max="1" width="3.875" style="0" customWidth="1"/>
    <col min="2" max="2" width="21.00390625" style="0" customWidth="1"/>
    <col min="3" max="3" width="28.375" style="0" customWidth="1"/>
    <col min="4" max="4" width="13.875" style="0" customWidth="1"/>
    <col min="5" max="5" width="13.625" style="0" customWidth="1"/>
    <col min="6" max="6" width="33.00390625" style="0" customWidth="1"/>
    <col min="7" max="7" width="12.125" style="0" customWidth="1"/>
    <col min="8" max="8" width="18.75390625" style="0" customWidth="1"/>
  </cols>
  <sheetData>
    <row r="1" spans="1:8" ht="12.75">
      <c r="A1" s="34"/>
      <c r="B1" s="129" t="s">
        <v>1048</v>
      </c>
      <c r="C1" s="130"/>
      <c r="D1" s="130"/>
      <c r="E1" s="130"/>
      <c r="F1" s="130"/>
      <c r="G1" s="130"/>
      <c r="H1" s="131"/>
    </row>
    <row r="2" spans="1:8" ht="51" customHeight="1" thickBot="1">
      <c r="A2" s="34"/>
      <c r="B2" s="132"/>
      <c r="C2" s="133"/>
      <c r="D2" s="133"/>
      <c r="E2" s="133"/>
      <c r="F2" s="133"/>
      <c r="G2" s="133"/>
      <c r="H2" s="134"/>
    </row>
    <row r="3" spans="1:8" ht="13.5">
      <c r="A3" s="2"/>
      <c r="B3" s="135" t="s">
        <v>0</v>
      </c>
      <c r="C3" s="137" t="s">
        <v>10</v>
      </c>
      <c r="D3" s="125" t="s">
        <v>11</v>
      </c>
      <c r="E3" s="125" t="s">
        <v>7</v>
      </c>
      <c r="F3" s="125" t="s">
        <v>867</v>
      </c>
      <c r="G3" s="125" t="s">
        <v>1018</v>
      </c>
      <c r="H3" s="127" t="s">
        <v>5</v>
      </c>
    </row>
    <row r="4" spans="1:8" ht="15" thickBot="1">
      <c r="A4" s="2"/>
      <c r="B4" s="136"/>
      <c r="C4" s="126"/>
      <c r="D4" s="126"/>
      <c r="E4" s="126"/>
      <c r="F4" s="126"/>
      <c r="G4" s="126"/>
      <c r="H4" s="128"/>
    </row>
    <row r="5" spans="1:8" ht="15.75">
      <c r="A5" s="35"/>
      <c r="B5" s="139" t="s">
        <v>1046</v>
      </c>
      <c r="C5" s="139"/>
      <c r="D5" s="139"/>
      <c r="E5" s="139"/>
      <c r="F5" s="139"/>
      <c r="G5" s="139"/>
      <c r="H5" s="18"/>
    </row>
    <row r="6" spans="1:8" ht="12.75">
      <c r="A6" s="35">
        <v>1</v>
      </c>
      <c r="B6" s="19" t="s">
        <v>1024</v>
      </c>
      <c r="C6" s="94" t="s">
        <v>1025</v>
      </c>
      <c r="D6" s="94" t="s">
        <v>1026</v>
      </c>
      <c r="E6" s="94" t="s">
        <v>31</v>
      </c>
      <c r="F6" s="94" t="s">
        <v>1027</v>
      </c>
      <c r="G6" s="74">
        <v>87.5</v>
      </c>
      <c r="H6" s="19" t="s">
        <v>89</v>
      </c>
    </row>
    <row r="7" spans="1:8" ht="12.75">
      <c r="A7" s="35">
        <v>2</v>
      </c>
      <c r="B7" s="19" t="s">
        <v>1030</v>
      </c>
      <c r="C7" s="94" t="s">
        <v>1047</v>
      </c>
      <c r="D7" s="94" t="s">
        <v>1032</v>
      </c>
      <c r="E7" s="94" t="s">
        <v>31</v>
      </c>
      <c r="F7" s="94" t="s">
        <v>1033</v>
      </c>
      <c r="G7" s="74">
        <v>87.5</v>
      </c>
      <c r="H7" s="19" t="s">
        <v>1035</v>
      </c>
    </row>
    <row r="8" spans="1:8" ht="12.75">
      <c r="A8" s="35">
        <v>3</v>
      </c>
      <c r="B8" s="54" t="s">
        <v>645</v>
      </c>
      <c r="C8" s="6" t="s">
        <v>646</v>
      </c>
      <c r="D8" s="6" t="s">
        <v>647</v>
      </c>
      <c r="E8" s="6" t="s">
        <v>1013</v>
      </c>
      <c r="F8" s="6" t="s">
        <v>921</v>
      </c>
      <c r="G8" s="63" t="s">
        <v>272</v>
      </c>
      <c r="H8" s="6" t="s">
        <v>89</v>
      </c>
    </row>
  </sheetData>
  <sheetProtection/>
  <mergeCells count="9">
    <mergeCell ref="B5:G5"/>
    <mergeCell ref="B1:H2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workbookViewId="0" topLeftCell="A7">
      <selection activeCell="G31" sqref="G31"/>
    </sheetView>
  </sheetViews>
  <sheetFormatPr defaultColWidth="9.125" defaultRowHeight="12.75"/>
  <cols>
    <col min="1" max="1" width="4.375" style="34" customWidth="1"/>
    <col min="2" max="2" width="21.125" style="57" customWidth="1"/>
    <col min="3" max="3" width="26.25390625" style="1" bestFit="1" customWidth="1"/>
    <col min="4" max="4" width="13.375" style="1" bestFit="1" customWidth="1"/>
    <col min="5" max="5" width="8.375" style="1" bestFit="1" customWidth="1"/>
    <col min="6" max="6" width="15.875" style="4" customWidth="1"/>
    <col min="7" max="7" width="33.75390625" style="4" customWidth="1"/>
    <col min="8" max="10" width="5.625" style="1" bestFit="1" customWidth="1"/>
    <col min="11" max="11" width="4.625" style="1" bestFit="1" customWidth="1"/>
    <col min="12" max="14" width="5.625" style="1" bestFit="1" customWidth="1"/>
    <col min="15" max="15" width="4.625" style="1" bestFit="1" customWidth="1"/>
    <col min="16" max="18" width="5.625" style="1" bestFit="1" customWidth="1"/>
    <col min="19" max="19" width="4.625" style="1" bestFit="1" customWidth="1"/>
    <col min="20" max="20" width="7.875" style="34" bestFit="1" customWidth="1"/>
    <col min="21" max="21" width="8.625" style="1" bestFit="1" customWidth="1"/>
    <col min="22" max="22" width="36.875" style="4" customWidth="1"/>
    <col min="23" max="16384" width="9.125" style="1" customWidth="1"/>
  </cols>
  <sheetData>
    <row r="1" spans="2:22" ht="15" customHeight="1">
      <c r="B1" s="129" t="s">
        <v>864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1"/>
    </row>
    <row r="2" spans="2:22" ht="81.75" customHeight="1" thickBot="1"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</row>
    <row r="3" spans="2:22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9</v>
      </c>
      <c r="H3" s="125" t="s">
        <v>1</v>
      </c>
      <c r="I3" s="125"/>
      <c r="J3" s="125"/>
      <c r="K3" s="125"/>
      <c r="L3" s="125" t="s">
        <v>2</v>
      </c>
      <c r="M3" s="125"/>
      <c r="N3" s="125"/>
      <c r="O3" s="125"/>
      <c r="P3" s="125" t="s">
        <v>3</v>
      </c>
      <c r="Q3" s="125"/>
      <c r="R3" s="125"/>
      <c r="S3" s="125"/>
      <c r="T3" s="125" t="s">
        <v>4</v>
      </c>
      <c r="U3" s="125" t="s">
        <v>6</v>
      </c>
      <c r="V3" s="127" t="s">
        <v>5</v>
      </c>
    </row>
    <row r="4" spans="2:22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26"/>
      <c r="U4" s="126"/>
      <c r="V4" s="128"/>
    </row>
    <row r="5" spans="2:21" ht="15.75">
      <c r="B5" s="141" t="s">
        <v>13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2" ht="12.75">
      <c r="A6" s="34" t="s">
        <v>861</v>
      </c>
      <c r="B6" s="54" t="s">
        <v>14</v>
      </c>
      <c r="C6" s="5" t="s">
        <v>15</v>
      </c>
      <c r="D6" s="5" t="s">
        <v>16</v>
      </c>
      <c r="E6" s="5" t="str">
        <f>"2,0972"</f>
        <v>2,0972</v>
      </c>
      <c r="F6" s="6" t="s">
        <v>17</v>
      </c>
      <c r="G6" s="6" t="s">
        <v>18</v>
      </c>
      <c r="H6" s="66" t="s">
        <v>19</v>
      </c>
      <c r="I6" s="69" t="s">
        <v>19</v>
      </c>
      <c r="J6" s="66" t="s">
        <v>20</v>
      </c>
      <c r="K6" s="7"/>
      <c r="L6" s="69" t="s">
        <v>21</v>
      </c>
      <c r="M6" s="66" t="s">
        <v>22</v>
      </c>
      <c r="N6" s="69" t="s">
        <v>22</v>
      </c>
      <c r="O6" s="7"/>
      <c r="P6" s="69" t="s">
        <v>23</v>
      </c>
      <c r="Q6" s="69" t="s">
        <v>24</v>
      </c>
      <c r="R6" s="66" t="s">
        <v>25</v>
      </c>
      <c r="S6" s="7"/>
      <c r="T6" s="63" t="s">
        <v>26</v>
      </c>
      <c r="U6" s="5" t="str">
        <f>"749,7490"</f>
        <v>749,7490</v>
      </c>
      <c r="V6" s="6" t="s">
        <v>871</v>
      </c>
    </row>
    <row r="8" spans="2:21" ht="15.75">
      <c r="B8" s="142" t="s">
        <v>27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</row>
    <row r="9" spans="1:22" ht="12.75">
      <c r="A9" s="34" t="s">
        <v>861</v>
      </c>
      <c r="B9" s="55" t="s">
        <v>28</v>
      </c>
      <c r="C9" s="8" t="s">
        <v>29</v>
      </c>
      <c r="D9" s="8" t="s">
        <v>30</v>
      </c>
      <c r="E9" s="8" t="str">
        <f>"1,0306"</f>
        <v>1,0306</v>
      </c>
      <c r="F9" s="9" t="s">
        <v>31</v>
      </c>
      <c r="G9" s="9" t="s">
        <v>32</v>
      </c>
      <c r="H9" s="67" t="s">
        <v>33</v>
      </c>
      <c r="I9" s="67" t="s">
        <v>33</v>
      </c>
      <c r="J9" s="71" t="s">
        <v>33</v>
      </c>
      <c r="K9" s="10"/>
      <c r="L9" s="71" t="s">
        <v>34</v>
      </c>
      <c r="M9" s="71" t="s">
        <v>35</v>
      </c>
      <c r="N9" s="67" t="s">
        <v>36</v>
      </c>
      <c r="O9" s="10"/>
      <c r="P9" s="71" t="s">
        <v>37</v>
      </c>
      <c r="Q9" s="67" t="s">
        <v>38</v>
      </c>
      <c r="R9" s="67" t="s">
        <v>38</v>
      </c>
      <c r="S9" s="10"/>
      <c r="T9" s="64" t="s">
        <v>39</v>
      </c>
      <c r="U9" s="8" t="str">
        <f>"404,5105"</f>
        <v>404,5105</v>
      </c>
      <c r="V9" s="9" t="s">
        <v>717</v>
      </c>
    </row>
    <row r="10" spans="1:22" ht="12.75">
      <c r="A10" s="34" t="s">
        <v>861</v>
      </c>
      <c r="B10" s="54" t="s">
        <v>40</v>
      </c>
      <c r="C10" s="5" t="s">
        <v>41</v>
      </c>
      <c r="D10" s="5" t="s">
        <v>42</v>
      </c>
      <c r="E10" s="5" t="str">
        <f>"1,0298"</f>
        <v>1,0298</v>
      </c>
      <c r="F10" s="6" t="s">
        <v>43</v>
      </c>
      <c r="G10" s="6" t="s">
        <v>44</v>
      </c>
      <c r="H10" s="69" t="s">
        <v>45</v>
      </c>
      <c r="I10" s="69" t="s">
        <v>46</v>
      </c>
      <c r="J10" s="66" t="s">
        <v>47</v>
      </c>
      <c r="K10" s="7"/>
      <c r="L10" s="69" t="s">
        <v>48</v>
      </c>
      <c r="M10" s="69" t="s">
        <v>49</v>
      </c>
      <c r="N10" s="69" t="s">
        <v>24</v>
      </c>
      <c r="O10" s="7"/>
      <c r="P10" s="69" t="s">
        <v>50</v>
      </c>
      <c r="Q10" s="66" t="s">
        <v>51</v>
      </c>
      <c r="R10" s="69" t="s">
        <v>51</v>
      </c>
      <c r="S10" s="7"/>
      <c r="T10" s="63" t="s">
        <v>52</v>
      </c>
      <c r="U10" s="5" t="str">
        <f>"638,4760"</f>
        <v>638,4760</v>
      </c>
      <c r="V10" s="6" t="s">
        <v>53</v>
      </c>
    </row>
    <row r="11" spans="1:22" ht="12.75">
      <c r="A11" s="34" t="s">
        <v>862</v>
      </c>
      <c r="B11" s="56" t="s">
        <v>54</v>
      </c>
      <c r="C11" s="11" t="s">
        <v>55</v>
      </c>
      <c r="D11" s="11" t="s">
        <v>56</v>
      </c>
      <c r="E11" s="11" t="str">
        <f>"1,0504"</f>
        <v>1,0504</v>
      </c>
      <c r="F11" s="12" t="s">
        <v>31</v>
      </c>
      <c r="G11" s="12" t="s">
        <v>57</v>
      </c>
      <c r="H11" s="70" t="s">
        <v>58</v>
      </c>
      <c r="I11" s="68" t="s">
        <v>59</v>
      </c>
      <c r="J11" s="68" t="s">
        <v>59</v>
      </c>
      <c r="K11" s="13"/>
      <c r="L11" s="70" t="s">
        <v>60</v>
      </c>
      <c r="M11" s="68" t="s">
        <v>61</v>
      </c>
      <c r="N11" s="68" t="s">
        <v>61</v>
      </c>
      <c r="O11" s="13"/>
      <c r="P11" s="70" t="s">
        <v>46</v>
      </c>
      <c r="Q11" s="70" t="s">
        <v>62</v>
      </c>
      <c r="R11" s="68" t="s">
        <v>63</v>
      </c>
      <c r="S11" s="13"/>
      <c r="T11" s="65" t="s">
        <v>64</v>
      </c>
      <c r="U11" s="11" t="str">
        <f>"569,8420"</f>
        <v>569,8420</v>
      </c>
      <c r="V11" s="12" t="s">
        <v>65</v>
      </c>
    </row>
    <row r="13" spans="2:21" ht="15.75">
      <c r="B13" s="142" t="s">
        <v>66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</row>
    <row r="14" spans="1:22" ht="12.75">
      <c r="A14" s="34" t="s">
        <v>861</v>
      </c>
      <c r="B14" s="54" t="s">
        <v>67</v>
      </c>
      <c r="C14" s="5" t="s">
        <v>68</v>
      </c>
      <c r="D14" s="5" t="s">
        <v>69</v>
      </c>
      <c r="E14" s="5" t="str">
        <f>"0,9916"</f>
        <v>0,9916</v>
      </c>
      <c r="F14" s="6" t="s">
        <v>17</v>
      </c>
      <c r="G14" s="6" t="s">
        <v>18</v>
      </c>
      <c r="H14" s="69" t="s">
        <v>50</v>
      </c>
      <c r="I14" s="69" t="s">
        <v>70</v>
      </c>
      <c r="J14" s="66" t="s">
        <v>51</v>
      </c>
      <c r="K14" s="7"/>
      <c r="L14" s="69" t="s">
        <v>71</v>
      </c>
      <c r="M14" s="69" t="s">
        <v>72</v>
      </c>
      <c r="N14" s="66" t="s">
        <v>73</v>
      </c>
      <c r="O14" s="7"/>
      <c r="P14" s="69" t="s">
        <v>74</v>
      </c>
      <c r="Q14" s="69" t="s">
        <v>75</v>
      </c>
      <c r="R14" s="7"/>
      <c r="S14" s="7"/>
      <c r="T14" s="63" t="s">
        <v>76</v>
      </c>
      <c r="U14" s="5" t="str">
        <f>"743,7000"</f>
        <v>743,7000</v>
      </c>
      <c r="V14" s="6" t="s">
        <v>870</v>
      </c>
    </row>
    <row r="16" spans="2:21" ht="15.75">
      <c r="B16" s="142" t="s">
        <v>77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</row>
    <row r="17" spans="1:22" ht="12.75">
      <c r="A17" s="34" t="s">
        <v>861</v>
      </c>
      <c r="B17" s="55" t="s">
        <v>78</v>
      </c>
      <c r="C17" s="8" t="s">
        <v>79</v>
      </c>
      <c r="D17" s="8" t="s">
        <v>80</v>
      </c>
      <c r="E17" s="8" t="str">
        <f>"0,9210"</f>
        <v>0,9210</v>
      </c>
      <c r="F17" s="9" t="s">
        <v>81</v>
      </c>
      <c r="G17" s="9" t="s">
        <v>82</v>
      </c>
      <c r="H17" s="71" t="s">
        <v>83</v>
      </c>
      <c r="I17" s="71" t="s">
        <v>51</v>
      </c>
      <c r="J17" s="67" t="s">
        <v>84</v>
      </c>
      <c r="K17" s="10"/>
      <c r="L17" s="71" t="s">
        <v>37</v>
      </c>
      <c r="M17" s="71" t="s">
        <v>38</v>
      </c>
      <c r="N17" s="67" t="s">
        <v>85</v>
      </c>
      <c r="O17" s="10"/>
      <c r="P17" s="71" t="s">
        <v>86</v>
      </c>
      <c r="Q17" s="71" t="s">
        <v>87</v>
      </c>
      <c r="R17" s="67" t="s">
        <v>74</v>
      </c>
      <c r="S17" s="10"/>
      <c r="T17" s="64" t="s">
        <v>88</v>
      </c>
      <c r="U17" s="8" t="str">
        <f>"663,1200"</f>
        <v>663,1200</v>
      </c>
      <c r="V17" s="9" t="s">
        <v>89</v>
      </c>
    </row>
    <row r="18" spans="1:22" ht="12.75">
      <c r="A18" s="34" t="s">
        <v>862</v>
      </c>
      <c r="B18" s="54" t="s">
        <v>90</v>
      </c>
      <c r="C18" s="5" t="s">
        <v>91</v>
      </c>
      <c r="D18" s="5" t="s">
        <v>92</v>
      </c>
      <c r="E18" s="5" t="str">
        <f>"0,9588"</f>
        <v>0,9588</v>
      </c>
      <c r="F18" s="6" t="s">
        <v>31</v>
      </c>
      <c r="G18" s="6" t="s">
        <v>32</v>
      </c>
      <c r="H18" s="69" t="s">
        <v>50</v>
      </c>
      <c r="I18" s="69" t="s">
        <v>93</v>
      </c>
      <c r="J18" s="66" t="s">
        <v>94</v>
      </c>
      <c r="K18" s="7"/>
      <c r="L18" s="69" t="s">
        <v>37</v>
      </c>
      <c r="M18" s="69" t="s">
        <v>38</v>
      </c>
      <c r="N18" s="7"/>
      <c r="O18" s="7"/>
      <c r="P18" s="69" t="s">
        <v>84</v>
      </c>
      <c r="Q18" s="66" t="s">
        <v>86</v>
      </c>
      <c r="R18" s="69" t="s">
        <v>86</v>
      </c>
      <c r="S18" s="7"/>
      <c r="T18" s="63" t="s">
        <v>95</v>
      </c>
      <c r="U18" s="5" t="str">
        <f>"668,7630"</f>
        <v>668,7630</v>
      </c>
      <c r="V18" s="6" t="s">
        <v>89</v>
      </c>
    </row>
    <row r="20" spans="2:21" ht="15.75">
      <c r="B20" s="142" t="s">
        <v>96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</row>
    <row r="21" spans="1:22" ht="12.75">
      <c r="A21" s="34" t="s">
        <v>861</v>
      </c>
      <c r="B21" s="54" t="s">
        <v>97</v>
      </c>
      <c r="C21" s="5" t="s">
        <v>98</v>
      </c>
      <c r="D21" s="5" t="s">
        <v>99</v>
      </c>
      <c r="E21" s="5" t="str">
        <f>"0,8850"</f>
        <v>0,8850</v>
      </c>
      <c r="F21" s="6" t="s">
        <v>31</v>
      </c>
      <c r="G21" s="6" t="s">
        <v>100</v>
      </c>
      <c r="H21" s="69" t="s">
        <v>101</v>
      </c>
      <c r="I21" s="69" t="s">
        <v>70</v>
      </c>
      <c r="J21" s="66" t="s">
        <v>84</v>
      </c>
      <c r="K21" s="7"/>
      <c r="L21" s="69" t="s">
        <v>85</v>
      </c>
      <c r="M21" s="69" t="s">
        <v>58</v>
      </c>
      <c r="N21" s="69" t="s">
        <v>59</v>
      </c>
      <c r="O21" s="72"/>
      <c r="P21" s="69" t="s">
        <v>102</v>
      </c>
      <c r="Q21" s="69" t="s">
        <v>103</v>
      </c>
      <c r="R21" s="69" t="s">
        <v>104</v>
      </c>
      <c r="S21" s="7"/>
      <c r="T21" s="63" t="s">
        <v>105</v>
      </c>
      <c r="U21" s="5" t="str">
        <f>"657,1125"</f>
        <v>657,1125</v>
      </c>
      <c r="V21" s="6" t="s">
        <v>89</v>
      </c>
    </row>
    <row r="23" spans="2:3" ht="18">
      <c r="B23" s="58" t="s">
        <v>106</v>
      </c>
      <c r="C23" s="14"/>
    </row>
    <row r="24" spans="2:3" ht="15.75">
      <c r="B24" s="59" t="s">
        <v>113</v>
      </c>
      <c r="C24" s="15"/>
    </row>
    <row r="25" spans="2:3" ht="13.5">
      <c r="B25" s="60" t="s">
        <v>107</v>
      </c>
      <c r="C25" s="16"/>
    </row>
    <row r="26" spans="2:6" ht="13.5">
      <c r="B26" s="61" t="s">
        <v>108</v>
      </c>
      <c r="C26" s="17" t="s">
        <v>109</v>
      </c>
      <c r="D26" s="17" t="s">
        <v>110</v>
      </c>
      <c r="E26" s="17" t="s">
        <v>111</v>
      </c>
      <c r="F26" s="17" t="s">
        <v>865</v>
      </c>
    </row>
    <row r="27" spans="1:6" ht="12.75">
      <c r="A27" s="34" t="s">
        <v>861</v>
      </c>
      <c r="B27" s="62" t="s">
        <v>67</v>
      </c>
      <c r="C27" s="1" t="s">
        <v>107</v>
      </c>
      <c r="D27" s="1" t="s">
        <v>117</v>
      </c>
      <c r="E27" s="1" t="s">
        <v>118</v>
      </c>
      <c r="F27" s="34" t="s">
        <v>119</v>
      </c>
    </row>
    <row r="28" spans="1:6" ht="12.75">
      <c r="A28" s="34" t="s">
        <v>862</v>
      </c>
      <c r="B28" s="62" t="s">
        <v>90</v>
      </c>
      <c r="C28" s="1" t="s">
        <v>107</v>
      </c>
      <c r="D28" s="1" t="s">
        <v>120</v>
      </c>
      <c r="E28" s="1" t="s">
        <v>121</v>
      </c>
      <c r="F28" s="34" t="s">
        <v>122</v>
      </c>
    </row>
    <row r="29" spans="1:6" ht="12.75">
      <c r="A29" s="34" t="s">
        <v>863</v>
      </c>
      <c r="B29" s="62" t="s">
        <v>78</v>
      </c>
      <c r="C29" s="1" t="s">
        <v>107</v>
      </c>
      <c r="D29" s="1" t="s">
        <v>120</v>
      </c>
      <c r="E29" s="1" t="s">
        <v>123</v>
      </c>
      <c r="F29" s="34" t="s">
        <v>124</v>
      </c>
    </row>
    <row r="30" spans="2:6" ht="12.75">
      <c r="B30" s="62" t="s">
        <v>97</v>
      </c>
      <c r="C30" s="1" t="s">
        <v>107</v>
      </c>
      <c r="D30" s="1" t="s">
        <v>125</v>
      </c>
      <c r="E30" s="1" t="s">
        <v>126</v>
      </c>
      <c r="F30" s="34" t="s">
        <v>127</v>
      </c>
    </row>
    <row r="31" spans="2:6" ht="12.75">
      <c r="B31" s="62" t="s">
        <v>40</v>
      </c>
      <c r="C31" s="1" t="s">
        <v>107</v>
      </c>
      <c r="D31" s="1" t="s">
        <v>116</v>
      </c>
      <c r="E31" s="1" t="s">
        <v>128</v>
      </c>
      <c r="F31" s="34" t="s">
        <v>129</v>
      </c>
    </row>
    <row r="32" spans="2:6" ht="12.75">
      <c r="B32" s="62" t="s">
        <v>54</v>
      </c>
      <c r="C32" s="1" t="s">
        <v>107</v>
      </c>
      <c r="D32" s="1" t="s">
        <v>116</v>
      </c>
      <c r="E32" s="1" t="s">
        <v>130</v>
      </c>
      <c r="F32" s="34" t="s">
        <v>131</v>
      </c>
    </row>
  </sheetData>
  <sheetProtection/>
  <mergeCells count="18">
    <mergeCell ref="B16:U16"/>
    <mergeCell ref="B20:U20"/>
    <mergeCell ref="V3:V4"/>
    <mergeCell ref="G3:G4"/>
    <mergeCell ref="F3:F4"/>
    <mergeCell ref="B5:U5"/>
    <mergeCell ref="B8:U8"/>
    <mergeCell ref="B13:U13"/>
    <mergeCell ref="E3:E4"/>
    <mergeCell ref="T3:T4"/>
    <mergeCell ref="U3:U4"/>
    <mergeCell ref="B1:V2"/>
    <mergeCell ref="H3:K3"/>
    <mergeCell ref="L3:O3"/>
    <mergeCell ref="P3:S3"/>
    <mergeCell ref="B3:B4"/>
    <mergeCell ref="C3:C4"/>
    <mergeCell ref="D3:D4"/>
  </mergeCells>
  <printOptions/>
  <pageMargins left="0.19" right="0.47" top="0.45" bottom="0.49" header="0.5" footer="0.5"/>
  <pageSetup fitToHeight="100" fitToWidth="1" horizontalDpi="300" verticalDpi="300" orientation="landscape" scale="5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4">
      <selection activeCell="I24" sqref="I24"/>
    </sheetView>
  </sheetViews>
  <sheetFormatPr defaultColWidth="8.75390625" defaultRowHeight="12.75"/>
  <cols>
    <col min="1" max="12" width="8.75390625" style="0" customWidth="1"/>
    <col min="13" max="13" width="76.875" style="0" customWidth="1"/>
  </cols>
  <sheetData>
    <row r="1" spans="1:13" ht="12.75">
      <c r="A1" s="129" t="s">
        <v>1101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ht="102.7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4" spans="1:13" ht="15.75">
      <c r="A4" s="117" t="s">
        <v>1096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5.75">
      <c r="A5" s="117" t="s">
        <v>1097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5.75">
      <c r="A6" s="117" t="s">
        <v>1098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5.75">
      <c r="A7" s="117" t="s">
        <v>1099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5.75">
      <c r="A8" s="117" t="s">
        <v>1106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5.75">
      <c r="A9" s="117" t="s">
        <v>1104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5.75">
      <c r="A10" s="117" t="s">
        <v>1102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5.75">
      <c r="A11" s="117" t="s">
        <v>1103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ht="15.75">
      <c r="A12" s="117"/>
    </row>
    <row r="13" ht="13.5" thickBot="1"/>
    <row r="14" spans="1:13" ht="12.75">
      <c r="A14" s="129" t="s">
        <v>1107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2"/>
    </row>
    <row r="15" spans="1:13" ht="64.5" customHeight="1" thickBo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5"/>
    </row>
    <row r="17" spans="1:12" ht="15.75">
      <c r="A17" s="117" t="s">
        <v>1096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ht="15.75">
      <c r="A18" s="117" t="s">
        <v>1100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1:12" ht="15.75">
      <c r="A19" s="117" t="s">
        <v>1105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ht="15.75">
      <c r="A20" s="117"/>
    </row>
  </sheetData>
  <sheetProtection/>
  <mergeCells count="2">
    <mergeCell ref="A1:M2"/>
    <mergeCell ref="A14:M15"/>
  </mergeCells>
  <printOptions/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0">
      <selection activeCell="K23" sqref="K23"/>
    </sheetView>
  </sheetViews>
  <sheetFormatPr defaultColWidth="8.75390625" defaultRowHeight="12.75"/>
  <cols>
    <col min="1" max="12" width="8.75390625" style="0" customWidth="1"/>
    <col min="13" max="13" width="25.25390625" style="0" customWidth="1"/>
  </cols>
  <sheetData>
    <row r="1" spans="1:13" ht="12.75">
      <c r="A1" s="129" t="s">
        <v>1112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ht="132.7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5" spans="1:4" ht="12.75">
      <c r="A5" t="s">
        <v>1108</v>
      </c>
      <c r="D5">
        <v>69</v>
      </c>
    </row>
    <row r="6" spans="1:4" ht="12.75">
      <c r="A6" t="s">
        <v>854</v>
      </c>
      <c r="D6">
        <v>33</v>
      </c>
    </row>
    <row r="7" spans="1:4" ht="12.75">
      <c r="A7" t="s">
        <v>1110</v>
      </c>
      <c r="D7">
        <v>26</v>
      </c>
    </row>
    <row r="8" spans="1:4" ht="12.75">
      <c r="A8" t="s">
        <v>897</v>
      </c>
      <c r="D8">
        <v>22</v>
      </c>
    </row>
    <row r="9" spans="1:4" ht="12.75">
      <c r="A9" t="s">
        <v>1113</v>
      </c>
      <c r="D9">
        <v>19</v>
      </c>
    </row>
    <row r="10" spans="1:4" ht="12.75">
      <c r="A10" t="s">
        <v>958</v>
      </c>
      <c r="D10">
        <v>17</v>
      </c>
    </row>
    <row r="11" spans="1:4" ht="12.75">
      <c r="A11" t="s">
        <v>648</v>
      </c>
      <c r="D11">
        <v>16</v>
      </c>
    </row>
    <row r="12" spans="1:4" ht="12.75">
      <c r="A12" t="s">
        <v>1118</v>
      </c>
      <c r="D12">
        <v>9</v>
      </c>
    </row>
    <row r="13" spans="1:4" ht="12.75">
      <c r="A13" t="s">
        <v>1115</v>
      </c>
      <c r="D13">
        <v>6</v>
      </c>
    </row>
    <row r="14" spans="1:4" ht="12.75">
      <c r="A14" t="s">
        <v>1109</v>
      </c>
      <c r="D14">
        <v>6</v>
      </c>
    </row>
    <row r="15" spans="1:4" ht="12.75">
      <c r="A15" t="s">
        <v>1119</v>
      </c>
      <c r="D15">
        <v>6</v>
      </c>
    </row>
    <row r="16" spans="1:4" ht="12.75">
      <c r="A16" t="s">
        <v>1116</v>
      </c>
      <c r="D16">
        <v>5</v>
      </c>
    </row>
    <row r="17" spans="1:4" ht="12.75">
      <c r="A17" t="s">
        <v>1114</v>
      </c>
      <c r="D17">
        <v>4</v>
      </c>
    </row>
    <row r="18" spans="1:4" ht="12.75">
      <c r="A18" t="s">
        <v>1111</v>
      </c>
      <c r="D18">
        <v>3</v>
      </c>
    </row>
    <row r="19" spans="1:4" ht="12.75">
      <c r="A19" t="s">
        <v>1117</v>
      </c>
      <c r="D19">
        <v>2</v>
      </c>
    </row>
  </sheetData>
  <sheetProtection/>
  <mergeCells count="1">
    <mergeCell ref="A1:M2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20" sqref="F20"/>
    </sheetView>
  </sheetViews>
  <sheetFormatPr defaultColWidth="8.75390625" defaultRowHeight="12.75"/>
  <cols>
    <col min="1" max="1" width="3.75390625" style="0" customWidth="1"/>
    <col min="2" max="2" width="23.875" style="0" customWidth="1"/>
    <col min="3" max="3" width="28.75390625" style="0" customWidth="1"/>
    <col min="4" max="4" width="17.00390625" style="0" customWidth="1"/>
    <col min="5" max="5" width="16.875" style="0" customWidth="1"/>
    <col min="6" max="6" width="28.00390625" style="0" customWidth="1"/>
    <col min="7" max="7" width="15.875" style="0" customWidth="1"/>
    <col min="8" max="8" width="21.125" style="0" customWidth="1"/>
  </cols>
  <sheetData>
    <row r="1" spans="1:8" ht="12.75">
      <c r="A1" s="34"/>
      <c r="B1" s="129" t="s">
        <v>1041</v>
      </c>
      <c r="C1" s="130"/>
      <c r="D1" s="130"/>
      <c r="E1" s="130"/>
      <c r="F1" s="130"/>
      <c r="G1" s="130"/>
      <c r="H1" s="131"/>
    </row>
    <row r="2" spans="1:8" ht="48" customHeight="1" thickBot="1">
      <c r="A2" s="34"/>
      <c r="B2" s="132"/>
      <c r="C2" s="133"/>
      <c r="D2" s="133"/>
      <c r="E2" s="133"/>
      <c r="F2" s="133"/>
      <c r="G2" s="133"/>
      <c r="H2" s="134"/>
    </row>
    <row r="3" spans="1:8" ht="13.5">
      <c r="A3" s="2"/>
      <c r="B3" s="135" t="s">
        <v>0</v>
      </c>
      <c r="C3" s="137" t="s">
        <v>10</v>
      </c>
      <c r="D3" s="125" t="s">
        <v>11</v>
      </c>
      <c r="E3" s="125" t="s">
        <v>7</v>
      </c>
      <c r="F3" s="125" t="s">
        <v>867</v>
      </c>
      <c r="G3" s="125" t="s">
        <v>1018</v>
      </c>
      <c r="H3" s="127" t="s">
        <v>5</v>
      </c>
    </row>
    <row r="4" spans="1:8" ht="15" thickBot="1">
      <c r="A4" s="2"/>
      <c r="B4" s="136"/>
      <c r="C4" s="126"/>
      <c r="D4" s="126"/>
      <c r="E4" s="126"/>
      <c r="F4" s="126"/>
      <c r="G4" s="126"/>
      <c r="H4" s="128"/>
    </row>
    <row r="5" spans="1:8" ht="15.75">
      <c r="A5" s="35"/>
      <c r="B5" s="139" t="s">
        <v>66</v>
      </c>
      <c r="C5" s="139"/>
      <c r="D5" s="139"/>
      <c r="E5" s="139"/>
      <c r="F5" s="139"/>
      <c r="G5" s="139"/>
      <c r="H5" s="18"/>
    </row>
    <row r="6" spans="1:8" ht="12.75">
      <c r="A6" s="35">
        <v>1</v>
      </c>
      <c r="B6" s="19" t="s">
        <v>1042</v>
      </c>
      <c r="C6" s="19" t="s">
        <v>1043</v>
      </c>
      <c r="D6" s="19" t="s">
        <v>595</v>
      </c>
      <c r="E6" s="19" t="s">
        <v>1044</v>
      </c>
      <c r="F6" s="19" t="s">
        <v>147</v>
      </c>
      <c r="G6" s="74">
        <v>145</v>
      </c>
      <c r="H6" s="19" t="s">
        <v>1045</v>
      </c>
    </row>
    <row r="7" spans="1:8" ht="12.75">
      <c r="A7" s="35"/>
      <c r="B7" s="18"/>
      <c r="C7" s="18"/>
      <c r="D7" s="18"/>
      <c r="E7" s="18"/>
      <c r="F7" s="18"/>
      <c r="G7" s="37"/>
      <c r="H7" s="18"/>
    </row>
    <row r="8" spans="1:8" ht="15.75">
      <c r="A8" s="35"/>
      <c r="B8" s="140" t="s">
        <v>77</v>
      </c>
      <c r="C8" s="140"/>
      <c r="D8" s="140"/>
      <c r="E8" s="140"/>
      <c r="F8" s="140"/>
      <c r="G8" s="140"/>
      <c r="H8" s="18"/>
    </row>
    <row r="9" spans="1:8" ht="12.75">
      <c r="A9" s="35">
        <v>1</v>
      </c>
      <c r="B9" s="19" t="s">
        <v>1024</v>
      </c>
      <c r="C9" s="19" t="s">
        <v>1025</v>
      </c>
      <c r="D9" s="19" t="s">
        <v>1026</v>
      </c>
      <c r="E9" s="19" t="s">
        <v>31</v>
      </c>
      <c r="F9" s="19" t="s">
        <v>1027</v>
      </c>
      <c r="G9" s="74">
        <v>135</v>
      </c>
      <c r="H9" s="19" t="s">
        <v>89</v>
      </c>
    </row>
    <row r="10" spans="1:8" ht="12.75">
      <c r="A10" s="35"/>
      <c r="B10" s="18"/>
      <c r="C10" s="18"/>
      <c r="D10" s="18"/>
      <c r="E10" s="18"/>
      <c r="F10" s="18"/>
      <c r="G10" s="37"/>
      <c r="H10" s="18"/>
    </row>
    <row r="11" spans="1:8" ht="15.75">
      <c r="A11" s="35"/>
      <c r="B11" s="140" t="s">
        <v>96</v>
      </c>
      <c r="C11" s="140"/>
      <c r="D11" s="140"/>
      <c r="E11" s="140"/>
      <c r="F11" s="140"/>
      <c r="G11" s="140"/>
      <c r="H11" s="18"/>
    </row>
    <row r="12" spans="1:8" ht="12.75">
      <c r="A12" s="35">
        <v>1</v>
      </c>
      <c r="B12" s="19" t="s">
        <v>1030</v>
      </c>
      <c r="C12" s="19" t="s">
        <v>1031</v>
      </c>
      <c r="D12" s="19" t="s">
        <v>1032</v>
      </c>
      <c r="E12" s="19" t="s">
        <v>31</v>
      </c>
      <c r="F12" s="19" t="s">
        <v>1033</v>
      </c>
      <c r="G12" s="74">
        <v>155</v>
      </c>
      <c r="H12" s="19" t="s">
        <v>1035</v>
      </c>
    </row>
  </sheetData>
  <sheetProtection/>
  <mergeCells count="11">
    <mergeCell ref="H3:H4"/>
    <mergeCell ref="B5:G5"/>
    <mergeCell ref="B8:G8"/>
    <mergeCell ref="B11:G11"/>
    <mergeCell ref="B1:H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2" sqref="F12"/>
    </sheetView>
  </sheetViews>
  <sheetFormatPr defaultColWidth="8.75390625" defaultRowHeight="12.75"/>
  <cols>
    <col min="1" max="1" width="3.875" style="0" customWidth="1"/>
    <col min="2" max="2" width="22.75390625" style="0" customWidth="1"/>
    <col min="3" max="3" width="28.875" style="0" customWidth="1"/>
    <col min="4" max="4" width="14.875" style="0" customWidth="1"/>
    <col min="5" max="5" width="13.875" style="0" customWidth="1"/>
    <col min="6" max="6" width="32.75390625" style="0" customWidth="1"/>
    <col min="7" max="7" width="14.00390625" style="0" customWidth="1"/>
    <col min="8" max="8" width="21.25390625" style="0" customWidth="1"/>
  </cols>
  <sheetData>
    <row r="1" spans="1:8" ht="12.75">
      <c r="A1" s="34"/>
      <c r="B1" s="129" t="s">
        <v>1017</v>
      </c>
      <c r="C1" s="130"/>
      <c r="D1" s="130"/>
      <c r="E1" s="130"/>
      <c r="F1" s="130"/>
      <c r="G1" s="130"/>
      <c r="H1" s="131"/>
    </row>
    <row r="2" spans="1:8" ht="47.25" customHeight="1" thickBot="1">
      <c r="A2" s="34"/>
      <c r="B2" s="132"/>
      <c r="C2" s="133"/>
      <c r="D2" s="133"/>
      <c r="E2" s="133"/>
      <c r="F2" s="133"/>
      <c r="G2" s="133"/>
      <c r="H2" s="134"/>
    </row>
    <row r="3" spans="1:8" ht="13.5">
      <c r="A3" s="2"/>
      <c r="B3" s="135" t="s">
        <v>0</v>
      </c>
      <c r="C3" s="137" t="s">
        <v>10</v>
      </c>
      <c r="D3" s="125" t="s">
        <v>11</v>
      </c>
      <c r="E3" s="125" t="s">
        <v>7</v>
      </c>
      <c r="F3" s="125" t="s">
        <v>867</v>
      </c>
      <c r="G3" s="125" t="s">
        <v>1018</v>
      </c>
      <c r="H3" s="127" t="s">
        <v>5</v>
      </c>
    </row>
    <row r="4" spans="1:8" ht="15" thickBot="1">
      <c r="A4" s="2"/>
      <c r="B4" s="136"/>
      <c r="C4" s="126"/>
      <c r="D4" s="126"/>
      <c r="E4" s="126"/>
      <c r="F4" s="126"/>
      <c r="G4" s="126"/>
      <c r="H4" s="128"/>
    </row>
    <row r="5" spans="1:8" ht="15.75">
      <c r="A5" s="34"/>
      <c r="B5" s="141" t="s">
        <v>1019</v>
      </c>
      <c r="C5" s="139"/>
      <c r="D5" s="139"/>
      <c r="E5" s="139"/>
      <c r="F5" s="139"/>
      <c r="G5" s="139"/>
      <c r="H5" s="4"/>
    </row>
    <row r="6" spans="1:8" ht="12.75">
      <c r="A6" s="34" t="s">
        <v>861</v>
      </c>
      <c r="B6" s="54" t="s">
        <v>1020</v>
      </c>
      <c r="C6" s="5" t="s">
        <v>1021</v>
      </c>
      <c r="D6" s="5" t="s">
        <v>1022</v>
      </c>
      <c r="E6" s="6" t="s">
        <v>31</v>
      </c>
      <c r="F6" s="6" t="s">
        <v>423</v>
      </c>
      <c r="G6" s="63" t="s">
        <v>1023</v>
      </c>
      <c r="H6" s="6" t="s">
        <v>89</v>
      </c>
    </row>
    <row r="7" spans="1:8" ht="12.75">
      <c r="A7" s="34"/>
      <c r="B7" s="57"/>
      <c r="C7" s="1"/>
      <c r="D7" s="1"/>
      <c r="E7" s="4"/>
      <c r="F7" s="4"/>
      <c r="G7" s="34"/>
      <c r="H7" s="4"/>
    </row>
    <row r="8" spans="1:8" ht="15.75">
      <c r="A8" s="34"/>
      <c r="B8" s="142" t="s">
        <v>77</v>
      </c>
      <c r="C8" s="140"/>
      <c r="D8" s="140"/>
      <c r="E8" s="140"/>
      <c r="F8" s="140"/>
      <c r="G8" s="140"/>
      <c r="H8" s="4"/>
    </row>
    <row r="9" spans="1:8" ht="12.75">
      <c r="A9" s="34" t="s">
        <v>861</v>
      </c>
      <c r="B9" s="54" t="s">
        <v>1024</v>
      </c>
      <c r="C9" s="5" t="s">
        <v>1025</v>
      </c>
      <c r="D9" s="5" t="s">
        <v>1026</v>
      </c>
      <c r="E9" s="6" t="s">
        <v>31</v>
      </c>
      <c r="F9" s="6" t="s">
        <v>1027</v>
      </c>
      <c r="G9" s="63" t="s">
        <v>1028</v>
      </c>
      <c r="H9" s="6" t="s">
        <v>89</v>
      </c>
    </row>
    <row r="10" spans="1:8" ht="12.75">
      <c r="A10" s="34"/>
      <c r="B10" s="57"/>
      <c r="C10" s="1"/>
      <c r="D10" s="1"/>
      <c r="E10" s="4"/>
      <c r="F10" s="4"/>
      <c r="G10" s="34"/>
      <c r="H10" s="4"/>
    </row>
    <row r="11" spans="1:8" ht="15.75">
      <c r="A11" s="34"/>
      <c r="B11" s="142" t="s">
        <v>96</v>
      </c>
      <c r="C11" s="140"/>
      <c r="D11" s="140"/>
      <c r="E11" s="140"/>
      <c r="F11" s="140"/>
      <c r="G11" s="140"/>
      <c r="H11" s="4"/>
    </row>
    <row r="12" spans="1:8" ht="12.75">
      <c r="A12" s="34" t="s">
        <v>861</v>
      </c>
      <c r="B12" s="55" t="s">
        <v>645</v>
      </c>
      <c r="C12" s="8" t="s">
        <v>646</v>
      </c>
      <c r="D12" s="8" t="s">
        <v>647</v>
      </c>
      <c r="E12" s="9" t="s">
        <v>1013</v>
      </c>
      <c r="F12" s="9" t="s">
        <v>921</v>
      </c>
      <c r="G12" s="64" t="s">
        <v>1029</v>
      </c>
      <c r="H12" s="9" t="s">
        <v>89</v>
      </c>
    </row>
    <row r="13" spans="1:8" ht="12.75">
      <c r="A13" s="34" t="s">
        <v>861</v>
      </c>
      <c r="B13" s="54" t="s">
        <v>1030</v>
      </c>
      <c r="C13" s="5" t="s">
        <v>1031</v>
      </c>
      <c r="D13" s="5" t="s">
        <v>1032</v>
      </c>
      <c r="E13" s="6" t="s">
        <v>31</v>
      </c>
      <c r="F13" s="6" t="s">
        <v>1033</v>
      </c>
      <c r="G13" s="63" t="s">
        <v>1034</v>
      </c>
      <c r="H13" s="6" t="s">
        <v>1035</v>
      </c>
    </row>
    <row r="14" spans="1:8" ht="12.75">
      <c r="A14" s="34" t="s">
        <v>862</v>
      </c>
      <c r="B14" s="56" t="s">
        <v>645</v>
      </c>
      <c r="C14" s="11" t="s">
        <v>1036</v>
      </c>
      <c r="D14" s="11" t="s">
        <v>647</v>
      </c>
      <c r="E14" s="12" t="s">
        <v>1013</v>
      </c>
      <c r="F14" s="6" t="s">
        <v>921</v>
      </c>
      <c r="G14" s="65" t="s">
        <v>1029</v>
      </c>
      <c r="H14" s="12" t="s">
        <v>89</v>
      </c>
    </row>
    <row r="15" spans="1:8" ht="12.75">
      <c r="A15" s="34"/>
      <c r="B15" s="57"/>
      <c r="C15" s="1"/>
      <c r="D15" s="1"/>
      <c r="E15" s="4"/>
      <c r="F15" s="4"/>
      <c r="G15" s="34"/>
      <c r="H15" s="4"/>
    </row>
    <row r="16" spans="1:8" ht="15.75">
      <c r="A16" s="34"/>
      <c r="B16" s="142" t="s">
        <v>278</v>
      </c>
      <c r="C16" s="140"/>
      <c r="D16" s="140"/>
      <c r="E16" s="140"/>
      <c r="F16" s="140"/>
      <c r="G16" s="140"/>
      <c r="H16" s="4"/>
    </row>
    <row r="17" spans="1:8" ht="12.75">
      <c r="A17" s="34" t="s">
        <v>861</v>
      </c>
      <c r="B17" s="54" t="s">
        <v>1037</v>
      </c>
      <c r="C17" s="5" t="s">
        <v>1038</v>
      </c>
      <c r="D17" s="5" t="s">
        <v>1039</v>
      </c>
      <c r="E17" s="6" t="s">
        <v>31</v>
      </c>
      <c r="F17" s="6" t="s">
        <v>921</v>
      </c>
      <c r="G17" s="63" t="s">
        <v>1040</v>
      </c>
      <c r="H17" s="6" t="s">
        <v>899</v>
      </c>
    </row>
  </sheetData>
  <sheetProtection/>
  <mergeCells count="12">
    <mergeCell ref="B5:G5"/>
    <mergeCell ref="B8:G8"/>
    <mergeCell ref="B11:G11"/>
    <mergeCell ref="B16:G16"/>
    <mergeCell ref="B1:H2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I18" sqref="I18"/>
    </sheetView>
  </sheetViews>
  <sheetFormatPr defaultColWidth="8.75390625" defaultRowHeight="12.75"/>
  <cols>
    <col min="1" max="1" width="3.25390625" style="0" customWidth="1"/>
    <col min="2" max="2" width="23.375" style="0" customWidth="1"/>
    <col min="3" max="3" width="28.00390625" style="0" customWidth="1"/>
    <col min="4" max="4" width="14.875" style="0" customWidth="1"/>
    <col min="5" max="5" width="8.75390625" style="0" customWidth="1"/>
    <col min="6" max="6" width="13.25390625" style="0" customWidth="1"/>
    <col min="7" max="7" width="39.00390625" style="0" customWidth="1"/>
    <col min="8" max="17" width="8.75390625" style="0" customWidth="1"/>
    <col min="18" max="18" width="19.75390625" style="0" customWidth="1"/>
  </cols>
  <sheetData>
    <row r="1" spans="1:19" ht="12.75">
      <c r="A1" s="34"/>
      <c r="B1" s="129" t="s">
        <v>914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1"/>
    </row>
    <row r="2" spans="1:19" ht="72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  <c r="S2" s="1"/>
    </row>
    <row r="3" spans="1:19" ht="13.5">
      <c r="A3" s="2"/>
      <c r="B3" s="135" t="s">
        <v>0</v>
      </c>
      <c r="C3" s="137" t="s">
        <v>10</v>
      </c>
      <c r="D3" s="125" t="s">
        <v>11</v>
      </c>
      <c r="E3" s="125" t="s">
        <v>915</v>
      </c>
      <c r="F3" s="125" t="s">
        <v>7</v>
      </c>
      <c r="G3" s="125" t="s">
        <v>867</v>
      </c>
      <c r="H3" s="125" t="s">
        <v>916</v>
      </c>
      <c r="I3" s="125"/>
      <c r="J3" s="125"/>
      <c r="K3" s="125"/>
      <c r="L3" s="125" t="s">
        <v>919</v>
      </c>
      <c r="M3" s="125"/>
      <c r="N3" s="125"/>
      <c r="O3" s="125"/>
      <c r="P3" s="125" t="s">
        <v>4</v>
      </c>
      <c r="Q3" s="125" t="s">
        <v>6</v>
      </c>
      <c r="R3" s="127" t="s">
        <v>5</v>
      </c>
      <c r="S3" s="2"/>
    </row>
    <row r="4" spans="1:19" ht="56.25" customHeight="1" thickBot="1">
      <c r="A4" s="2"/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26"/>
      <c r="Q4" s="126"/>
      <c r="R4" s="128"/>
      <c r="S4" s="2"/>
    </row>
    <row r="5" spans="1:18" ht="15.75">
      <c r="A5" s="35"/>
      <c r="B5" s="139" t="s">
        <v>27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8"/>
    </row>
    <row r="6" spans="1:18" ht="12.75">
      <c r="A6" s="35">
        <v>1</v>
      </c>
      <c r="B6" s="19" t="s">
        <v>554</v>
      </c>
      <c r="C6" s="19" t="s">
        <v>917</v>
      </c>
      <c r="D6" s="19" t="s">
        <v>556</v>
      </c>
      <c r="E6" s="19" t="str">
        <f>"1,0624"</f>
        <v>1,0624</v>
      </c>
      <c r="F6" s="19" t="s">
        <v>31</v>
      </c>
      <c r="G6" s="19" t="s">
        <v>918</v>
      </c>
      <c r="H6" s="39" t="s">
        <v>137</v>
      </c>
      <c r="I6" s="39" t="s">
        <v>336</v>
      </c>
      <c r="J6" s="39" t="s">
        <v>747</v>
      </c>
      <c r="K6" s="20"/>
      <c r="L6" s="39" t="s">
        <v>329</v>
      </c>
      <c r="M6" s="38" t="s">
        <v>172</v>
      </c>
      <c r="N6" s="39" t="s">
        <v>172</v>
      </c>
      <c r="O6" s="20"/>
      <c r="P6" s="74">
        <v>142.5</v>
      </c>
      <c r="Q6" s="19" t="str">
        <f>"151,3920"</f>
        <v>151,3920</v>
      </c>
      <c r="R6" s="19" t="s">
        <v>557</v>
      </c>
    </row>
    <row r="7" spans="1:18" ht="12.75">
      <c r="A7" s="3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37"/>
      <c r="Q7" s="18"/>
      <c r="R7" s="18"/>
    </row>
    <row r="8" spans="1:18" ht="15.75">
      <c r="A8" s="35"/>
      <c r="B8" s="140" t="s">
        <v>66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8"/>
    </row>
    <row r="9" spans="1:18" ht="12.75">
      <c r="A9" s="35">
        <v>1</v>
      </c>
      <c r="B9" s="19" t="s">
        <v>603</v>
      </c>
      <c r="C9" s="19" t="s">
        <v>604</v>
      </c>
      <c r="D9" s="19" t="s">
        <v>581</v>
      </c>
      <c r="E9" s="19" t="str">
        <f>"0,9846"</f>
        <v>0,9846</v>
      </c>
      <c r="F9" s="19" t="s">
        <v>31</v>
      </c>
      <c r="G9" s="19" t="s">
        <v>892</v>
      </c>
      <c r="H9" s="39" t="s">
        <v>34</v>
      </c>
      <c r="I9" s="38" t="s">
        <v>159</v>
      </c>
      <c r="J9" s="38" t="s">
        <v>159</v>
      </c>
      <c r="K9" s="20"/>
      <c r="L9" s="39" t="s">
        <v>150</v>
      </c>
      <c r="M9" s="39" t="s">
        <v>138</v>
      </c>
      <c r="N9" s="38" t="s">
        <v>336</v>
      </c>
      <c r="O9" s="20"/>
      <c r="P9" s="74">
        <v>155</v>
      </c>
      <c r="Q9" s="19" t="str">
        <f>"152,6130"</f>
        <v>152,6130</v>
      </c>
      <c r="R9" s="19" t="s">
        <v>89</v>
      </c>
    </row>
  </sheetData>
  <sheetProtection/>
  <mergeCells count="14">
    <mergeCell ref="B5:Q5"/>
    <mergeCell ref="B8:Q8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1">
      <selection activeCell="B6" sqref="B6:D6"/>
    </sheetView>
  </sheetViews>
  <sheetFormatPr defaultColWidth="8.75390625" defaultRowHeight="12.75"/>
  <cols>
    <col min="1" max="1" width="5.00390625" style="0" customWidth="1"/>
    <col min="2" max="2" width="28.125" style="0" customWidth="1"/>
    <col min="3" max="3" width="30.75390625" style="0" customWidth="1"/>
    <col min="4" max="4" width="14.00390625" style="0" customWidth="1"/>
    <col min="5" max="5" width="8.75390625" style="0" customWidth="1"/>
    <col min="6" max="6" width="12.875" style="0" customWidth="1"/>
    <col min="7" max="7" width="35.00390625" style="0" customWidth="1"/>
    <col min="8" max="17" width="8.75390625" style="0" customWidth="1"/>
    <col min="18" max="18" width="24.75390625" style="0" customWidth="1"/>
  </cols>
  <sheetData>
    <row r="1" spans="1:20" ht="12.75">
      <c r="A1" s="34"/>
      <c r="B1" s="129" t="s">
        <v>920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1"/>
      <c r="T1" s="1"/>
    </row>
    <row r="2" spans="1:20" ht="57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  <c r="S2" s="1"/>
      <c r="T2" s="1"/>
    </row>
    <row r="3" spans="1:20" ht="13.5">
      <c r="A3" s="2"/>
      <c r="B3" s="135" t="s">
        <v>0</v>
      </c>
      <c r="C3" s="137" t="s">
        <v>10</v>
      </c>
      <c r="D3" s="125" t="s">
        <v>11</v>
      </c>
      <c r="E3" s="125" t="s">
        <v>915</v>
      </c>
      <c r="F3" s="125" t="s">
        <v>7</v>
      </c>
      <c r="G3" s="125" t="s">
        <v>867</v>
      </c>
      <c r="H3" s="125" t="s">
        <v>2</v>
      </c>
      <c r="I3" s="125"/>
      <c r="J3" s="125"/>
      <c r="K3" s="125"/>
      <c r="L3" s="125" t="s">
        <v>3</v>
      </c>
      <c r="M3" s="125"/>
      <c r="N3" s="125"/>
      <c r="O3" s="125"/>
      <c r="P3" s="125" t="s">
        <v>4</v>
      </c>
      <c r="Q3" s="125" t="s">
        <v>6</v>
      </c>
      <c r="R3" s="127" t="s">
        <v>5</v>
      </c>
      <c r="S3" s="2"/>
      <c r="T3" s="2"/>
    </row>
    <row r="4" spans="1:20" ht="15" thickBot="1">
      <c r="A4" s="2"/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26"/>
      <c r="Q4" s="126"/>
      <c r="R4" s="128"/>
      <c r="S4" s="2"/>
      <c r="T4" s="2"/>
    </row>
    <row r="5" spans="1:20" ht="15.75">
      <c r="A5" s="34"/>
      <c r="B5" s="141" t="s">
        <v>161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4"/>
      <c r="S5" s="1"/>
      <c r="T5" s="1"/>
    </row>
    <row r="6" spans="1:20" ht="12.75">
      <c r="A6" s="34" t="s">
        <v>861</v>
      </c>
      <c r="B6" s="54" t="s">
        <v>337</v>
      </c>
      <c r="C6" s="5" t="s">
        <v>338</v>
      </c>
      <c r="D6" s="5" t="s">
        <v>339</v>
      </c>
      <c r="E6" s="5" t="str">
        <f>"1,6850"</f>
        <v>1,6850</v>
      </c>
      <c r="F6" s="6" t="s">
        <v>31</v>
      </c>
      <c r="G6" s="6" t="s">
        <v>921</v>
      </c>
      <c r="H6" s="69" t="s">
        <v>137</v>
      </c>
      <c r="I6" s="69" t="s">
        <v>150</v>
      </c>
      <c r="J6" s="69" t="s">
        <v>172</v>
      </c>
      <c r="K6" s="7"/>
      <c r="L6" s="69" t="s">
        <v>329</v>
      </c>
      <c r="M6" s="69" t="s">
        <v>139</v>
      </c>
      <c r="N6" s="66" t="s">
        <v>479</v>
      </c>
      <c r="O6" s="7"/>
      <c r="P6" s="63" t="s">
        <v>922</v>
      </c>
      <c r="Q6" s="5" t="str">
        <f>"185,3500"</f>
        <v>185,3500</v>
      </c>
      <c r="R6" s="6" t="s">
        <v>882</v>
      </c>
      <c r="S6" s="1"/>
      <c r="T6" s="1"/>
    </row>
  </sheetData>
  <sheetProtection/>
  <mergeCells count="13">
    <mergeCell ref="H3:K3"/>
    <mergeCell ref="L3:O3"/>
    <mergeCell ref="P3:P4"/>
    <mergeCell ref="Q3:Q4"/>
    <mergeCell ref="R3:R4"/>
    <mergeCell ref="B5:Q5"/>
    <mergeCell ref="B1:R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23" sqref="F23"/>
    </sheetView>
  </sheetViews>
  <sheetFormatPr defaultColWidth="8.75390625" defaultRowHeight="12.75"/>
  <cols>
    <col min="1" max="1" width="4.125" style="35" customWidth="1"/>
    <col min="2" max="2" width="31.875" style="18" bestFit="1" customWidth="1"/>
    <col min="3" max="3" width="31.125" style="18" customWidth="1"/>
    <col min="4" max="4" width="13.375" style="18" bestFit="1" customWidth="1"/>
    <col min="5" max="5" width="7.375" style="18" customWidth="1"/>
    <col min="6" max="6" width="22.75390625" style="18" bestFit="1" customWidth="1"/>
    <col min="7" max="7" width="30.75390625" style="18" bestFit="1" customWidth="1"/>
    <col min="8" max="10" width="5.625" style="18" bestFit="1" customWidth="1"/>
    <col min="11" max="11" width="4.625" style="18" bestFit="1" customWidth="1"/>
    <col min="12" max="12" width="7.875" style="37" bestFit="1" customWidth="1"/>
    <col min="13" max="13" width="6.625" style="18" bestFit="1" customWidth="1"/>
    <col min="14" max="14" width="17.375" style="18" customWidth="1"/>
  </cols>
  <sheetData>
    <row r="1" spans="1:14" s="1" customFormat="1" ht="15" customHeight="1">
      <c r="A1" s="34"/>
      <c r="B1" s="129" t="s">
        <v>907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2:14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3</v>
      </c>
      <c r="I3" s="125"/>
      <c r="J3" s="125"/>
      <c r="K3" s="125"/>
      <c r="L3" s="125" t="s">
        <v>4</v>
      </c>
      <c r="M3" s="125" t="s">
        <v>6</v>
      </c>
      <c r="N3" s="127" t="s">
        <v>5</v>
      </c>
    </row>
    <row r="4" spans="2:14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126"/>
      <c r="M4" s="126"/>
      <c r="N4" s="128"/>
    </row>
    <row r="5" spans="2:13" ht="15.75">
      <c r="B5" s="139" t="s">
        <v>142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35">
        <v>1</v>
      </c>
      <c r="B6" s="19" t="s">
        <v>331</v>
      </c>
      <c r="C6" s="19" t="s">
        <v>332</v>
      </c>
      <c r="D6" s="19" t="s">
        <v>333</v>
      </c>
      <c r="E6" s="19" t="str">
        <f>"1,7830"</f>
        <v>1,7830</v>
      </c>
      <c r="F6" s="19" t="s">
        <v>31</v>
      </c>
      <c r="G6" s="19" t="s">
        <v>334</v>
      </c>
      <c r="H6" s="38" t="s">
        <v>60</v>
      </c>
      <c r="I6" s="38" t="s">
        <v>60</v>
      </c>
      <c r="J6" s="38" t="s">
        <v>60</v>
      </c>
      <c r="K6" s="20"/>
      <c r="L6" s="36">
        <v>0</v>
      </c>
      <c r="M6" s="19" t="str">
        <f>"0,0000"</f>
        <v>0,0000</v>
      </c>
      <c r="N6" s="19" t="s">
        <v>881</v>
      </c>
    </row>
  </sheetData>
  <sheetProtection/>
  <mergeCells count="1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4"/>
  <sheetViews>
    <sheetView workbookViewId="0" topLeftCell="A4">
      <selection activeCell="G10" sqref="G10"/>
    </sheetView>
  </sheetViews>
  <sheetFormatPr defaultColWidth="8.75390625" defaultRowHeight="12.75"/>
  <cols>
    <col min="1" max="1" width="5.125" style="35" customWidth="1"/>
    <col min="2" max="2" width="31.875" style="18" bestFit="1" customWidth="1"/>
    <col min="3" max="3" width="26.875" style="18" bestFit="1" customWidth="1"/>
    <col min="4" max="4" width="13.375" style="18" bestFit="1" customWidth="1"/>
    <col min="5" max="5" width="8.375" style="18" bestFit="1" customWidth="1"/>
    <col min="6" max="6" width="22.75390625" style="18" bestFit="1" customWidth="1"/>
    <col min="7" max="7" width="38.75390625" style="18" customWidth="1"/>
    <col min="8" max="11" width="5.625" style="18" bestFit="1" customWidth="1"/>
    <col min="12" max="12" width="7.875" style="37" bestFit="1" customWidth="1"/>
    <col min="13" max="13" width="8.625" style="18" bestFit="1" customWidth="1"/>
    <col min="14" max="14" width="23.375" style="18" customWidth="1"/>
  </cols>
  <sheetData>
    <row r="1" spans="1:14" s="1" customFormat="1" ht="15" customHeight="1">
      <c r="A1" s="34"/>
      <c r="B1" s="129" t="s">
        <v>905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81.75" customHeight="1" thickBot="1">
      <c r="A2" s="34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2:14" s="2" customFormat="1" ht="12.75" customHeight="1">
      <c r="B3" s="135" t="s">
        <v>0</v>
      </c>
      <c r="C3" s="137" t="s">
        <v>10</v>
      </c>
      <c r="D3" s="125" t="s">
        <v>11</v>
      </c>
      <c r="E3" s="125" t="s">
        <v>12</v>
      </c>
      <c r="F3" s="125" t="s">
        <v>7</v>
      </c>
      <c r="G3" s="125" t="s">
        <v>867</v>
      </c>
      <c r="H3" s="125" t="s">
        <v>3</v>
      </c>
      <c r="I3" s="125"/>
      <c r="J3" s="125"/>
      <c r="K3" s="125"/>
      <c r="L3" s="125" t="s">
        <v>4</v>
      </c>
      <c r="M3" s="125" t="s">
        <v>6</v>
      </c>
      <c r="N3" s="127" t="s">
        <v>5</v>
      </c>
    </row>
    <row r="4" spans="2:14" s="2" customFormat="1" ht="33.75" customHeight="1" thickBot="1">
      <c r="B4" s="136"/>
      <c r="C4" s="126"/>
      <c r="D4" s="126"/>
      <c r="E4" s="126"/>
      <c r="F4" s="126"/>
      <c r="G4" s="126"/>
      <c r="H4" s="3">
        <v>1</v>
      </c>
      <c r="I4" s="3">
        <v>2</v>
      </c>
      <c r="J4" s="3">
        <v>3</v>
      </c>
      <c r="K4" s="3" t="s">
        <v>8</v>
      </c>
      <c r="L4" s="126"/>
      <c r="M4" s="126"/>
      <c r="N4" s="128"/>
    </row>
    <row r="5" spans="2:13" ht="15.75">
      <c r="B5" s="139" t="s">
        <v>13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4" ht="12.75">
      <c r="A6" s="35">
        <v>1</v>
      </c>
      <c r="B6" s="19" t="s">
        <v>764</v>
      </c>
      <c r="C6" s="19" t="s">
        <v>765</v>
      </c>
      <c r="D6" s="19" t="s">
        <v>766</v>
      </c>
      <c r="E6" s="19" t="str">
        <f>"2,1320"</f>
        <v>2,1320</v>
      </c>
      <c r="F6" s="19" t="s">
        <v>31</v>
      </c>
      <c r="G6" s="19" t="s">
        <v>32</v>
      </c>
      <c r="H6" s="39" t="s">
        <v>148</v>
      </c>
      <c r="I6" s="39" t="s">
        <v>36</v>
      </c>
      <c r="J6" s="38" t="s">
        <v>151</v>
      </c>
      <c r="K6" s="20"/>
      <c r="L6" s="74">
        <v>105</v>
      </c>
      <c r="M6" s="19" t="str">
        <f>"223,8600"</f>
        <v>223,8600</v>
      </c>
      <c r="N6" s="19" t="s">
        <v>767</v>
      </c>
    </row>
    <row r="8" spans="2:13" ht="15.75">
      <c r="B8" s="140" t="s">
        <v>142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4" ht="12.75">
      <c r="A9" s="35">
        <v>1</v>
      </c>
      <c r="B9" s="21" t="s">
        <v>768</v>
      </c>
      <c r="C9" s="21" t="s">
        <v>769</v>
      </c>
      <c r="D9" s="21" t="s">
        <v>496</v>
      </c>
      <c r="E9" s="21" t="str">
        <f>"1,8798"</f>
        <v>1,8798</v>
      </c>
      <c r="F9" s="21" t="s">
        <v>31</v>
      </c>
      <c r="G9" s="21" t="s">
        <v>32</v>
      </c>
      <c r="H9" s="45" t="s">
        <v>159</v>
      </c>
      <c r="I9" s="45" t="s">
        <v>149</v>
      </c>
      <c r="J9" s="42" t="s">
        <v>173</v>
      </c>
      <c r="K9" s="22"/>
      <c r="L9" s="75">
        <v>102.5</v>
      </c>
      <c r="M9" s="21" t="str">
        <f>"192,6795"</f>
        <v>192,6795</v>
      </c>
      <c r="N9" s="21" t="s">
        <v>717</v>
      </c>
    </row>
    <row r="10" spans="1:14" ht="12.75">
      <c r="A10" s="35">
        <v>1</v>
      </c>
      <c r="B10" s="19" t="s">
        <v>770</v>
      </c>
      <c r="C10" s="19" t="s">
        <v>771</v>
      </c>
      <c r="D10" s="19" t="s">
        <v>491</v>
      </c>
      <c r="E10" s="19" t="str">
        <f>"1,8006"</f>
        <v>1,8006</v>
      </c>
      <c r="F10" s="19" t="s">
        <v>136</v>
      </c>
      <c r="G10" s="21" t="s">
        <v>869</v>
      </c>
      <c r="H10" s="39" t="s">
        <v>151</v>
      </c>
      <c r="I10" s="39" t="s">
        <v>19</v>
      </c>
      <c r="J10" s="38" t="s">
        <v>166</v>
      </c>
      <c r="K10" s="20"/>
      <c r="L10" s="74">
        <v>120</v>
      </c>
      <c r="M10" s="19" t="str">
        <f>"216,0720"</f>
        <v>216,0720</v>
      </c>
      <c r="N10" s="19" t="s">
        <v>141</v>
      </c>
    </row>
    <row r="11" spans="1:14" ht="12.75">
      <c r="A11" s="35">
        <v>2</v>
      </c>
      <c r="B11" s="25" t="s">
        <v>143</v>
      </c>
      <c r="C11" s="25" t="s">
        <v>144</v>
      </c>
      <c r="D11" s="25" t="s">
        <v>145</v>
      </c>
      <c r="E11" s="25" t="str">
        <f>"1,7878"</f>
        <v>1,7878</v>
      </c>
      <c r="F11" s="25" t="s">
        <v>146</v>
      </c>
      <c r="G11" s="19" t="s">
        <v>147</v>
      </c>
      <c r="H11" s="46" t="s">
        <v>148</v>
      </c>
      <c r="I11" s="46" t="s">
        <v>151</v>
      </c>
      <c r="J11" s="26"/>
      <c r="K11" s="26"/>
      <c r="L11" s="76">
        <v>110</v>
      </c>
      <c r="M11" s="25" t="str">
        <f>"196,6580"</f>
        <v>196,6580</v>
      </c>
      <c r="N11" s="25" t="s">
        <v>873</v>
      </c>
    </row>
    <row r="12" spans="1:14" ht="12.75">
      <c r="A12" s="35">
        <v>3</v>
      </c>
      <c r="B12" s="19" t="s">
        <v>772</v>
      </c>
      <c r="C12" s="19" t="s">
        <v>773</v>
      </c>
      <c r="D12" s="19" t="s">
        <v>774</v>
      </c>
      <c r="E12" s="19" t="str">
        <f>"1,8246"</f>
        <v>1,8246</v>
      </c>
      <c r="F12" s="19" t="s">
        <v>31</v>
      </c>
      <c r="G12" s="19" t="s">
        <v>32</v>
      </c>
      <c r="H12" s="39" t="s">
        <v>336</v>
      </c>
      <c r="I12" s="39" t="s">
        <v>747</v>
      </c>
      <c r="J12" s="39" t="s">
        <v>34</v>
      </c>
      <c r="K12" s="20"/>
      <c r="L12" s="74">
        <v>90</v>
      </c>
      <c r="M12" s="19" t="str">
        <f>"164,2140"</f>
        <v>164,2140</v>
      </c>
      <c r="N12" s="19" t="s">
        <v>775</v>
      </c>
    </row>
    <row r="14" spans="2:13" ht="15.75">
      <c r="B14" s="140" t="s">
        <v>161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</row>
    <row r="15" spans="1:14" ht="12.75">
      <c r="A15" s="35">
        <v>1</v>
      </c>
      <c r="B15" s="21" t="s">
        <v>776</v>
      </c>
      <c r="C15" s="21" t="s">
        <v>777</v>
      </c>
      <c r="D15" s="21" t="s">
        <v>778</v>
      </c>
      <c r="E15" s="21" t="str">
        <f>"1,6948"</f>
        <v>1,6948</v>
      </c>
      <c r="F15" s="21" t="s">
        <v>31</v>
      </c>
      <c r="G15" s="21" t="s">
        <v>44</v>
      </c>
      <c r="H15" s="45" t="s">
        <v>148</v>
      </c>
      <c r="I15" s="42" t="s">
        <v>149</v>
      </c>
      <c r="J15" s="42" t="s">
        <v>149</v>
      </c>
      <c r="K15" s="22"/>
      <c r="L15" s="75">
        <v>100</v>
      </c>
      <c r="M15" s="21" t="str">
        <f>"169,4800"</f>
        <v>169,4800</v>
      </c>
      <c r="N15" s="21" t="s">
        <v>484</v>
      </c>
    </row>
    <row r="16" spans="1:14" ht="12.75">
      <c r="A16" s="35">
        <v>1</v>
      </c>
      <c r="B16" s="19" t="s">
        <v>287</v>
      </c>
      <c r="C16" s="19" t="s">
        <v>288</v>
      </c>
      <c r="D16" s="19" t="s">
        <v>289</v>
      </c>
      <c r="E16" s="19" t="str">
        <f>"1,6454"</f>
        <v>1,6454</v>
      </c>
      <c r="F16" s="19" t="s">
        <v>136</v>
      </c>
      <c r="G16" s="19" t="s">
        <v>869</v>
      </c>
      <c r="H16" s="39" t="s">
        <v>19</v>
      </c>
      <c r="I16" s="20"/>
      <c r="J16" s="20"/>
      <c r="K16" s="20"/>
      <c r="L16" s="74">
        <v>120</v>
      </c>
      <c r="M16" s="19" t="str">
        <f>"197,4480"</f>
        <v>197,4480</v>
      </c>
      <c r="N16" s="19" t="s">
        <v>877</v>
      </c>
    </row>
    <row r="18" spans="2:13" ht="15.75">
      <c r="B18" s="140" t="s">
        <v>13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4" ht="12.75">
      <c r="A19" s="35">
        <v>1</v>
      </c>
      <c r="B19" s="19" t="s">
        <v>168</v>
      </c>
      <c r="C19" s="19" t="s">
        <v>169</v>
      </c>
      <c r="D19" s="19" t="s">
        <v>170</v>
      </c>
      <c r="E19" s="19" t="str">
        <f>"1,9550"</f>
        <v>1,9550</v>
      </c>
      <c r="F19" s="19" t="s">
        <v>17</v>
      </c>
      <c r="G19" s="19" t="s">
        <v>18</v>
      </c>
      <c r="H19" s="39" t="s">
        <v>20</v>
      </c>
      <c r="I19" s="39" t="s">
        <v>175</v>
      </c>
      <c r="J19" s="20"/>
      <c r="K19" s="20"/>
      <c r="L19" s="74">
        <v>135</v>
      </c>
      <c r="M19" s="19" t="str">
        <f>"263,9250"</f>
        <v>263,9250</v>
      </c>
      <c r="N19" s="19" t="s">
        <v>176</v>
      </c>
    </row>
    <row r="21" spans="2:13" ht="15.75">
      <c r="B21" s="140" t="s">
        <v>142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</row>
    <row r="22" spans="1:14" ht="12.75">
      <c r="A22" s="35">
        <v>1</v>
      </c>
      <c r="B22" s="21" t="s">
        <v>779</v>
      </c>
      <c r="C22" s="21" t="s">
        <v>780</v>
      </c>
      <c r="D22" s="21" t="s">
        <v>491</v>
      </c>
      <c r="E22" s="21" t="str">
        <f>"1,4492"</f>
        <v>1,4492</v>
      </c>
      <c r="F22" s="21" t="s">
        <v>181</v>
      </c>
      <c r="G22" s="21" t="s">
        <v>182</v>
      </c>
      <c r="H22" s="45" t="s">
        <v>175</v>
      </c>
      <c r="I22" s="45" t="s">
        <v>61</v>
      </c>
      <c r="J22" s="42" t="s">
        <v>563</v>
      </c>
      <c r="K22" s="22"/>
      <c r="L22" s="75">
        <v>145</v>
      </c>
      <c r="M22" s="21" t="str">
        <f>"210,1340"</f>
        <v>210,1340</v>
      </c>
      <c r="N22" s="21" t="s">
        <v>184</v>
      </c>
    </row>
    <row r="23" spans="1:14" ht="12.75">
      <c r="A23" s="35">
        <v>2</v>
      </c>
      <c r="B23" s="19" t="s">
        <v>781</v>
      </c>
      <c r="C23" s="19" t="s">
        <v>782</v>
      </c>
      <c r="D23" s="19" t="s">
        <v>783</v>
      </c>
      <c r="E23" s="19" t="str">
        <f>"1,4708"</f>
        <v>1,4708</v>
      </c>
      <c r="F23" s="19" t="s">
        <v>181</v>
      </c>
      <c r="G23" s="19" t="s">
        <v>182</v>
      </c>
      <c r="H23" s="39" t="s">
        <v>151</v>
      </c>
      <c r="I23" s="39" t="s">
        <v>19</v>
      </c>
      <c r="J23" s="38" t="s">
        <v>33</v>
      </c>
      <c r="K23" s="20"/>
      <c r="L23" s="74">
        <v>120</v>
      </c>
      <c r="M23" s="19" t="str">
        <f>"176,4960"</f>
        <v>176,4960</v>
      </c>
      <c r="N23" s="19" t="s">
        <v>184</v>
      </c>
    </row>
    <row r="25" spans="2:13" ht="15.75">
      <c r="B25" s="140" t="s">
        <v>161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</row>
    <row r="26" spans="1:14" ht="12.75">
      <c r="A26" s="35">
        <v>1</v>
      </c>
      <c r="B26" s="19" t="s">
        <v>784</v>
      </c>
      <c r="C26" s="19" t="s">
        <v>785</v>
      </c>
      <c r="D26" s="19" t="s">
        <v>786</v>
      </c>
      <c r="E26" s="19" t="str">
        <f>"1,2790"</f>
        <v>1,2790</v>
      </c>
      <c r="F26" s="19" t="s">
        <v>17</v>
      </c>
      <c r="G26" s="19" t="s">
        <v>44</v>
      </c>
      <c r="H26" s="39" t="s">
        <v>50</v>
      </c>
      <c r="I26" s="39" t="s">
        <v>70</v>
      </c>
      <c r="J26" s="39" t="s">
        <v>51</v>
      </c>
      <c r="K26" s="20"/>
      <c r="L26" s="74">
        <v>255</v>
      </c>
      <c r="M26" s="19" t="str">
        <f>"326,1450"</f>
        <v>326,1450</v>
      </c>
      <c r="N26" s="19" t="s">
        <v>870</v>
      </c>
    </row>
    <row r="28" spans="2:13" ht="15.75">
      <c r="B28" s="140" t="s">
        <v>177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</row>
    <row r="29" spans="1:14" ht="12.75">
      <c r="A29" s="35">
        <v>1</v>
      </c>
      <c r="B29" s="21" t="s">
        <v>787</v>
      </c>
      <c r="C29" s="21" t="s">
        <v>788</v>
      </c>
      <c r="D29" s="21" t="s">
        <v>180</v>
      </c>
      <c r="E29" s="21" t="str">
        <f>"1,1170"</f>
        <v>1,1170</v>
      </c>
      <c r="F29" s="21" t="s">
        <v>31</v>
      </c>
      <c r="G29" s="21" t="s">
        <v>889</v>
      </c>
      <c r="H29" s="45" t="s">
        <v>38</v>
      </c>
      <c r="I29" s="45" t="s">
        <v>273</v>
      </c>
      <c r="J29" s="45" t="s">
        <v>789</v>
      </c>
      <c r="K29" s="22"/>
      <c r="L29" s="75">
        <v>190.5</v>
      </c>
      <c r="M29" s="21" t="str">
        <f>"212,7885"</f>
        <v>212,7885</v>
      </c>
      <c r="N29" s="21" t="s">
        <v>493</v>
      </c>
    </row>
    <row r="30" spans="1:14" ht="12.75">
      <c r="A30" s="35">
        <v>1</v>
      </c>
      <c r="B30" s="19" t="s">
        <v>790</v>
      </c>
      <c r="C30" s="19" t="s">
        <v>791</v>
      </c>
      <c r="D30" s="19" t="s">
        <v>792</v>
      </c>
      <c r="E30" s="19" t="str">
        <f>"1,1470"</f>
        <v>1,1470</v>
      </c>
      <c r="F30" s="19" t="s">
        <v>31</v>
      </c>
      <c r="G30" s="19" t="s">
        <v>44</v>
      </c>
      <c r="H30" s="39" t="s">
        <v>85</v>
      </c>
      <c r="I30" s="39" t="s">
        <v>45</v>
      </c>
      <c r="J30" s="39" t="s">
        <v>284</v>
      </c>
      <c r="K30" s="20"/>
      <c r="L30" s="74">
        <v>202.5</v>
      </c>
      <c r="M30" s="19" t="str">
        <f>"232,2675"</f>
        <v>232,2675</v>
      </c>
      <c r="N30" s="19" t="s">
        <v>576</v>
      </c>
    </row>
    <row r="31" spans="1:14" ht="12.75">
      <c r="A31" s="35">
        <v>1</v>
      </c>
      <c r="B31" s="25" t="s">
        <v>178</v>
      </c>
      <c r="C31" s="25" t="s">
        <v>179</v>
      </c>
      <c r="D31" s="25" t="s">
        <v>180</v>
      </c>
      <c r="E31" s="25" t="str">
        <f>"1,1170"</f>
        <v>1,1170</v>
      </c>
      <c r="F31" s="25" t="s">
        <v>181</v>
      </c>
      <c r="G31" s="25" t="s">
        <v>182</v>
      </c>
      <c r="H31" s="46" t="s">
        <v>62</v>
      </c>
      <c r="I31" s="49"/>
      <c r="J31" s="26"/>
      <c r="K31" s="26"/>
      <c r="L31" s="76">
        <v>215</v>
      </c>
      <c r="M31" s="25" t="str">
        <f>"240,1550"</f>
        <v>240,1550</v>
      </c>
      <c r="N31" s="25" t="s">
        <v>184</v>
      </c>
    </row>
    <row r="32" spans="1:14" ht="12.75">
      <c r="A32" s="35">
        <v>2</v>
      </c>
      <c r="B32" s="19" t="s">
        <v>793</v>
      </c>
      <c r="C32" s="19" t="s">
        <v>794</v>
      </c>
      <c r="D32" s="19" t="s">
        <v>795</v>
      </c>
      <c r="E32" s="19" t="str">
        <f>"1,1422"</f>
        <v>1,1422</v>
      </c>
      <c r="F32" s="19" t="s">
        <v>181</v>
      </c>
      <c r="G32" s="19" t="s">
        <v>182</v>
      </c>
      <c r="H32" s="39" t="s">
        <v>194</v>
      </c>
      <c r="I32" s="39" t="s">
        <v>273</v>
      </c>
      <c r="J32" s="38" t="s">
        <v>58</v>
      </c>
      <c r="K32" s="20"/>
      <c r="L32" s="74">
        <v>182.5</v>
      </c>
      <c r="M32" s="19" t="str">
        <f>"208,4515"</f>
        <v>208,4515</v>
      </c>
      <c r="N32" s="19" t="s">
        <v>220</v>
      </c>
    </row>
    <row r="33" spans="1:14" ht="12.75">
      <c r="A33" s="35">
        <v>1</v>
      </c>
      <c r="B33" s="23" t="s">
        <v>547</v>
      </c>
      <c r="C33" s="23" t="s">
        <v>548</v>
      </c>
      <c r="D33" s="23" t="s">
        <v>360</v>
      </c>
      <c r="E33" s="23" t="str">
        <f>"1,1336"</f>
        <v>1,1336</v>
      </c>
      <c r="F33" s="23" t="s">
        <v>31</v>
      </c>
      <c r="G33" s="23" t="s">
        <v>369</v>
      </c>
      <c r="H33" s="47" t="s">
        <v>194</v>
      </c>
      <c r="I33" s="47" t="s">
        <v>85</v>
      </c>
      <c r="J33" s="47" t="s">
        <v>796</v>
      </c>
      <c r="K33" s="24"/>
      <c r="L33" s="77">
        <v>187.5</v>
      </c>
      <c r="M33" s="23" t="str">
        <f>"221,9022"</f>
        <v>221,9022</v>
      </c>
      <c r="N33" s="23" t="s">
        <v>550</v>
      </c>
    </row>
    <row r="34" spans="8:9" ht="12.75">
      <c r="H34" s="50"/>
      <c r="I34" s="50"/>
    </row>
    <row r="35" spans="2:13" ht="15.75">
      <c r="B35" s="140" t="s">
        <v>27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4" ht="12.75">
      <c r="A36" s="35">
        <v>1</v>
      </c>
      <c r="B36" s="21" t="s">
        <v>797</v>
      </c>
      <c r="C36" s="21" t="s">
        <v>798</v>
      </c>
      <c r="D36" s="21" t="s">
        <v>553</v>
      </c>
      <c r="E36" s="21" t="str">
        <f>"1,0416"</f>
        <v>1,0416</v>
      </c>
      <c r="F36" s="21" t="s">
        <v>31</v>
      </c>
      <c r="G36" s="21" t="s">
        <v>44</v>
      </c>
      <c r="H36" s="45" t="s">
        <v>59</v>
      </c>
      <c r="I36" s="45" t="s">
        <v>188</v>
      </c>
      <c r="J36" s="45" t="s">
        <v>62</v>
      </c>
      <c r="K36" s="45" t="s">
        <v>189</v>
      </c>
      <c r="L36" s="75">
        <v>215</v>
      </c>
      <c r="M36" s="21" t="str">
        <f>"223,9440"</f>
        <v>223,9440</v>
      </c>
      <c r="N36" s="21" t="s">
        <v>576</v>
      </c>
    </row>
    <row r="37" spans="1:14" ht="12.75">
      <c r="A37" s="35">
        <v>2</v>
      </c>
      <c r="B37" s="19" t="s">
        <v>799</v>
      </c>
      <c r="C37" s="19" t="s">
        <v>800</v>
      </c>
      <c r="D37" s="19" t="s">
        <v>801</v>
      </c>
      <c r="E37" s="19" t="str">
        <f>"1,0948"</f>
        <v>1,0948</v>
      </c>
      <c r="F37" s="19" t="s">
        <v>31</v>
      </c>
      <c r="G37" s="19" t="s">
        <v>32</v>
      </c>
      <c r="H37" s="39" t="s">
        <v>194</v>
      </c>
      <c r="I37" s="39" t="s">
        <v>71</v>
      </c>
      <c r="J37" s="39" t="s">
        <v>45</v>
      </c>
      <c r="K37" s="38" t="s">
        <v>62</v>
      </c>
      <c r="L37" s="74">
        <v>195</v>
      </c>
      <c r="M37" s="19" t="str">
        <f>"213,4860"</f>
        <v>213,4860</v>
      </c>
      <c r="N37" s="19" t="s">
        <v>89</v>
      </c>
    </row>
    <row r="38" spans="1:14" ht="12.75">
      <c r="A38" s="35">
        <v>1</v>
      </c>
      <c r="B38" s="25" t="s">
        <v>802</v>
      </c>
      <c r="C38" s="25" t="s">
        <v>803</v>
      </c>
      <c r="D38" s="25" t="s">
        <v>804</v>
      </c>
      <c r="E38" s="25" t="str">
        <f>"1,0696"</f>
        <v>1,0696</v>
      </c>
      <c r="F38" s="25" t="s">
        <v>31</v>
      </c>
      <c r="G38" s="25" t="s">
        <v>32</v>
      </c>
      <c r="H38" s="46" t="s">
        <v>189</v>
      </c>
      <c r="I38" s="43" t="s">
        <v>228</v>
      </c>
      <c r="J38" s="43" t="s">
        <v>228</v>
      </c>
      <c r="K38" s="26"/>
      <c r="L38" s="76">
        <v>220</v>
      </c>
      <c r="M38" s="25" t="str">
        <f>"235,3120"</f>
        <v>235,3120</v>
      </c>
      <c r="N38" s="25" t="s">
        <v>717</v>
      </c>
    </row>
    <row r="39" spans="1:14" ht="12.75">
      <c r="A39" s="35">
        <v>2</v>
      </c>
      <c r="B39" s="19" t="s">
        <v>751</v>
      </c>
      <c r="C39" s="19" t="s">
        <v>805</v>
      </c>
      <c r="D39" s="19" t="s">
        <v>752</v>
      </c>
      <c r="E39" s="19" t="str">
        <f>"1,0328"</f>
        <v>1,0328</v>
      </c>
      <c r="F39" s="19" t="s">
        <v>181</v>
      </c>
      <c r="G39" s="19" t="s">
        <v>182</v>
      </c>
      <c r="H39" s="39" t="s">
        <v>194</v>
      </c>
      <c r="I39" s="38" t="s">
        <v>58</v>
      </c>
      <c r="J39" s="38" t="s">
        <v>58</v>
      </c>
      <c r="K39" s="20"/>
      <c r="L39" s="74">
        <v>170</v>
      </c>
      <c r="M39" s="19" t="str">
        <f>"175,5760"</f>
        <v>175,5760</v>
      </c>
      <c r="N39" s="19" t="s">
        <v>220</v>
      </c>
    </row>
    <row r="40" ht="12.75">
      <c r="H40" s="50"/>
    </row>
    <row r="41" spans="2:13" ht="15.75">
      <c r="B41" s="140" t="s">
        <v>66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</row>
    <row r="42" spans="1:14" ht="12.75">
      <c r="A42" s="35">
        <v>1</v>
      </c>
      <c r="B42" s="21" t="s">
        <v>204</v>
      </c>
      <c r="C42" s="21" t="s">
        <v>205</v>
      </c>
      <c r="D42" s="21" t="s">
        <v>206</v>
      </c>
      <c r="E42" s="21" t="str">
        <f>"0,9790"</f>
        <v>0,9790</v>
      </c>
      <c r="F42" s="21" t="s">
        <v>17</v>
      </c>
      <c r="G42" s="21" t="s">
        <v>32</v>
      </c>
      <c r="H42" s="45" t="s">
        <v>209</v>
      </c>
      <c r="I42" s="45" t="s">
        <v>210</v>
      </c>
      <c r="J42" s="22"/>
      <c r="K42" s="22"/>
      <c r="L42" s="75">
        <v>282.5</v>
      </c>
      <c r="M42" s="21" t="str">
        <f>"276,5675"</f>
        <v>276,5675</v>
      </c>
      <c r="N42" s="21" t="s">
        <v>870</v>
      </c>
    </row>
    <row r="43" spans="1:14" ht="12.75">
      <c r="A43" s="35">
        <v>1</v>
      </c>
      <c r="B43" s="19" t="s">
        <v>204</v>
      </c>
      <c r="C43" s="19" t="s">
        <v>211</v>
      </c>
      <c r="D43" s="19" t="s">
        <v>206</v>
      </c>
      <c r="E43" s="19" t="str">
        <f>"0,9790"</f>
        <v>0,9790</v>
      </c>
      <c r="F43" s="19" t="s">
        <v>17</v>
      </c>
      <c r="G43" s="19" t="s">
        <v>32</v>
      </c>
      <c r="H43" s="39" t="s">
        <v>209</v>
      </c>
      <c r="I43" s="39" t="s">
        <v>210</v>
      </c>
      <c r="J43" s="20"/>
      <c r="K43" s="20"/>
      <c r="L43" s="74">
        <v>282.5</v>
      </c>
      <c r="M43" s="19" t="str">
        <f>"276,5675"</f>
        <v>276,5675</v>
      </c>
      <c r="N43" s="19" t="s">
        <v>906</v>
      </c>
    </row>
    <row r="45" spans="2:13" ht="15.75">
      <c r="B45" s="140" t="s">
        <v>77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</row>
    <row r="46" spans="1:14" ht="12.75">
      <c r="A46" s="35">
        <v>1</v>
      </c>
      <c r="B46" s="21" t="s">
        <v>806</v>
      </c>
      <c r="C46" s="21" t="s">
        <v>807</v>
      </c>
      <c r="D46" s="21" t="s">
        <v>808</v>
      </c>
      <c r="E46" s="21" t="str">
        <f>"0,9506"</f>
        <v>0,9506</v>
      </c>
      <c r="F46" s="21" t="s">
        <v>31</v>
      </c>
      <c r="G46" s="21" t="s">
        <v>32</v>
      </c>
      <c r="H46" s="45" t="s">
        <v>85</v>
      </c>
      <c r="I46" s="22"/>
      <c r="J46" s="22"/>
      <c r="K46" s="22"/>
      <c r="L46" s="75">
        <v>180</v>
      </c>
      <c r="M46" s="21" t="str">
        <f>"171,1080"</f>
        <v>171,1080</v>
      </c>
      <c r="N46" s="21" t="s">
        <v>767</v>
      </c>
    </row>
    <row r="47" spans="1:14" ht="12.75">
      <c r="A47" s="35">
        <v>1</v>
      </c>
      <c r="B47" s="19" t="s">
        <v>225</v>
      </c>
      <c r="C47" s="19" t="s">
        <v>226</v>
      </c>
      <c r="D47" s="19" t="s">
        <v>227</v>
      </c>
      <c r="E47" s="19" t="str">
        <f>"0,9320"</f>
        <v>0,9320</v>
      </c>
      <c r="F47" s="19" t="s">
        <v>17</v>
      </c>
      <c r="G47" s="19" t="s">
        <v>44</v>
      </c>
      <c r="H47" s="39" t="s">
        <v>62</v>
      </c>
      <c r="I47" s="20"/>
      <c r="J47" s="20"/>
      <c r="K47" s="20"/>
      <c r="L47" s="74">
        <v>215</v>
      </c>
      <c r="M47" s="19" t="str">
        <f>"200,3800"</f>
        <v>200,3800</v>
      </c>
      <c r="N47" s="19" t="s">
        <v>229</v>
      </c>
    </row>
    <row r="48" spans="1:14" ht="12.75">
      <c r="A48" s="35">
        <v>2</v>
      </c>
      <c r="B48" s="25" t="s">
        <v>806</v>
      </c>
      <c r="C48" s="25" t="s">
        <v>809</v>
      </c>
      <c r="D48" s="25" t="s">
        <v>808</v>
      </c>
      <c r="E48" s="25" t="str">
        <f>"0,9506"</f>
        <v>0,9506</v>
      </c>
      <c r="F48" s="25" t="s">
        <v>31</v>
      </c>
      <c r="G48" s="25" t="s">
        <v>32</v>
      </c>
      <c r="H48" s="46" t="s">
        <v>85</v>
      </c>
      <c r="I48" s="43" t="s">
        <v>796</v>
      </c>
      <c r="J48" s="43" t="s">
        <v>796</v>
      </c>
      <c r="K48" s="26"/>
      <c r="L48" s="76">
        <v>180</v>
      </c>
      <c r="M48" s="25" t="str">
        <f>"171,1080"</f>
        <v>171,1080</v>
      </c>
      <c r="N48" s="25" t="s">
        <v>767</v>
      </c>
    </row>
    <row r="49" spans="1:14" ht="12.75">
      <c r="A49" s="35">
        <v>1</v>
      </c>
      <c r="B49" s="19" t="s">
        <v>810</v>
      </c>
      <c r="C49" s="19" t="s">
        <v>811</v>
      </c>
      <c r="D49" s="19" t="s">
        <v>812</v>
      </c>
      <c r="E49" s="19" t="str">
        <f>"0,9298"</f>
        <v>0,9298</v>
      </c>
      <c r="F49" s="19" t="s">
        <v>17</v>
      </c>
      <c r="G49" s="19" t="s">
        <v>900</v>
      </c>
      <c r="H49" s="39" t="s">
        <v>59</v>
      </c>
      <c r="I49" s="39" t="s">
        <v>62</v>
      </c>
      <c r="J49" s="39" t="s">
        <v>242</v>
      </c>
      <c r="K49" s="38" t="s">
        <v>63</v>
      </c>
      <c r="L49" s="74">
        <v>222.5</v>
      </c>
      <c r="M49" s="19" t="str">
        <f>"206,8805"</f>
        <v>206,8805</v>
      </c>
      <c r="N49" s="19" t="s">
        <v>906</v>
      </c>
    </row>
    <row r="50" spans="1:14" ht="12.75">
      <c r="A50" s="35">
        <v>1</v>
      </c>
      <c r="B50" s="23" t="s">
        <v>626</v>
      </c>
      <c r="C50" s="23" t="s">
        <v>627</v>
      </c>
      <c r="D50" s="23" t="s">
        <v>628</v>
      </c>
      <c r="E50" s="23" t="str">
        <f>"0,9436"</f>
        <v>0,9436</v>
      </c>
      <c r="F50" s="23" t="s">
        <v>361</v>
      </c>
      <c r="G50" s="23" t="s">
        <v>57</v>
      </c>
      <c r="H50" s="51" t="s">
        <v>50</v>
      </c>
      <c r="I50" s="47" t="s">
        <v>50</v>
      </c>
      <c r="J50" s="47" t="s">
        <v>70</v>
      </c>
      <c r="K50" s="24"/>
      <c r="L50" s="77">
        <v>250</v>
      </c>
      <c r="M50" s="23" t="str">
        <f>"235,9000"</f>
        <v>235,9000</v>
      </c>
      <c r="N50" s="23" t="s">
        <v>89</v>
      </c>
    </row>
    <row r="52" spans="2:13" ht="15.75">
      <c r="B52" s="140" t="s">
        <v>96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</row>
    <row r="53" spans="1:14" ht="12.75">
      <c r="A53" s="35">
        <v>1</v>
      </c>
      <c r="B53" s="21" t="s">
        <v>813</v>
      </c>
      <c r="C53" s="21" t="s">
        <v>814</v>
      </c>
      <c r="D53" s="21" t="s">
        <v>815</v>
      </c>
      <c r="E53" s="21" t="str">
        <f>"0,8994"</f>
        <v>0,8994</v>
      </c>
      <c r="F53" s="21" t="s">
        <v>17</v>
      </c>
      <c r="G53" s="21" t="s">
        <v>900</v>
      </c>
      <c r="H53" s="45" t="s">
        <v>84</v>
      </c>
      <c r="I53" s="45" t="s">
        <v>102</v>
      </c>
      <c r="J53" s="45" t="s">
        <v>86</v>
      </c>
      <c r="K53" s="22"/>
      <c r="L53" s="75">
        <v>275</v>
      </c>
      <c r="M53" s="21" t="str">
        <f>"247,3350"</f>
        <v>247,3350</v>
      </c>
      <c r="N53" s="21" t="s">
        <v>870</v>
      </c>
    </row>
    <row r="54" spans="1:14" ht="12.75">
      <c r="A54" s="35">
        <v>2</v>
      </c>
      <c r="B54" s="19" t="s">
        <v>816</v>
      </c>
      <c r="C54" s="19" t="s">
        <v>817</v>
      </c>
      <c r="D54" s="19" t="s">
        <v>818</v>
      </c>
      <c r="E54" s="19" t="str">
        <f>"0,9010"</f>
        <v>0,9010</v>
      </c>
      <c r="F54" s="19" t="s">
        <v>31</v>
      </c>
      <c r="G54" s="19" t="s">
        <v>57</v>
      </c>
      <c r="H54" s="39" t="s">
        <v>188</v>
      </c>
      <c r="I54" s="39" t="s">
        <v>101</v>
      </c>
      <c r="J54" s="39" t="s">
        <v>93</v>
      </c>
      <c r="K54" s="20"/>
      <c r="L54" s="74">
        <v>247.5</v>
      </c>
      <c r="M54" s="19" t="str">
        <f>"222,9975"</f>
        <v>222,9975</v>
      </c>
      <c r="N54" s="19" t="s">
        <v>297</v>
      </c>
    </row>
    <row r="55" spans="1:14" ht="12.75">
      <c r="A55" s="35">
        <v>3</v>
      </c>
      <c r="B55" s="23" t="s">
        <v>819</v>
      </c>
      <c r="C55" s="23" t="s">
        <v>820</v>
      </c>
      <c r="D55" s="23" t="s">
        <v>821</v>
      </c>
      <c r="E55" s="23" t="str">
        <f>"0,9022"</f>
        <v>0,9022</v>
      </c>
      <c r="F55" s="23" t="s">
        <v>31</v>
      </c>
      <c r="G55" s="23" t="s">
        <v>898</v>
      </c>
      <c r="H55" s="47" t="s">
        <v>62</v>
      </c>
      <c r="I55" s="47" t="s">
        <v>101</v>
      </c>
      <c r="J55" s="44" t="s">
        <v>50</v>
      </c>
      <c r="K55" s="24"/>
      <c r="L55" s="77">
        <v>230</v>
      </c>
      <c r="M55" s="23" t="str">
        <f>"207,5060"</f>
        <v>207,5060</v>
      </c>
      <c r="N55" s="23" t="s">
        <v>822</v>
      </c>
    </row>
    <row r="58" spans="2:3" ht="18">
      <c r="B58" s="28" t="s">
        <v>106</v>
      </c>
      <c r="C58" s="28"/>
    </row>
    <row r="60" spans="2:3" ht="15.75">
      <c r="B60" s="29" t="s">
        <v>113</v>
      </c>
      <c r="C60" s="29"/>
    </row>
    <row r="61" spans="2:3" ht="13.5">
      <c r="B61" s="31" t="s">
        <v>244</v>
      </c>
      <c r="C61" s="32"/>
    </row>
    <row r="62" spans="2:6" ht="13.5">
      <c r="B62" s="33" t="s">
        <v>108</v>
      </c>
      <c r="C62" s="33" t="s">
        <v>109</v>
      </c>
      <c r="D62" s="33" t="s">
        <v>110</v>
      </c>
      <c r="E62" s="33" t="s">
        <v>111</v>
      </c>
      <c r="F62" s="33" t="s">
        <v>868</v>
      </c>
    </row>
    <row r="63" spans="1:6" ht="12.75">
      <c r="A63" s="35">
        <v>1</v>
      </c>
      <c r="B63" s="30" t="s">
        <v>168</v>
      </c>
      <c r="C63" s="73" t="s">
        <v>245</v>
      </c>
      <c r="D63" s="73" t="s">
        <v>112</v>
      </c>
      <c r="E63" s="73" t="s">
        <v>175</v>
      </c>
      <c r="F63" s="37" t="s">
        <v>823</v>
      </c>
    </row>
    <row r="64" spans="1:6" ht="12.75">
      <c r="A64" s="35">
        <v>2</v>
      </c>
      <c r="B64" s="30" t="s">
        <v>790</v>
      </c>
      <c r="C64" s="73" t="s">
        <v>663</v>
      </c>
      <c r="D64" s="73" t="s">
        <v>257</v>
      </c>
      <c r="E64" s="73" t="s">
        <v>284</v>
      </c>
      <c r="F64" s="37" t="s">
        <v>824</v>
      </c>
    </row>
    <row r="65" spans="1:6" ht="12.75">
      <c r="A65" s="35">
        <v>3</v>
      </c>
      <c r="B65" s="30" t="s">
        <v>787</v>
      </c>
      <c r="C65" s="73" t="s">
        <v>304</v>
      </c>
      <c r="D65" s="73" t="s">
        <v>257</v>
      </c>
      <c r="E65" s="73" t="s">
        <v>789</v>
      </c>
      <c r="F65" s="37" t="s">
        <v>825</v>
      </c>
    </row>
    <row r="66" spans="2:6" ht="12.75">
      <c r="B66" s="30" t="s">
        <v>779</v>
      </c>
      <c r="C66" s="73" t="s">
        <v>245</v>
      </c>
      <c r="D66" s="73" t="s">
        <v>243</v>
      </c>
      <c r="E66" s="73" t="s">
        <v>61</v>
      </c>
      <c r="F66" s="37" t="s">
        <v>826</v>
      </c>
    </row>
    <row r="67" spans="2:6" ht="12.75">
      <c r="B67" s="30" t="s">
        <v>225</v>
      </c>
      <c r="C67" s="73" t="s">
        <v>663</v>
      </c>
      <c r="D67" s="73" t="s">
        <v>120</v>
      </c>
      <c r="E67" s="73" t="s">
        <v>62</v>
      </c>
      <c r="F67" s="37" t="s">
        <v>827</v>
      </c>
    </row>
    <row r="68" spans="2:6" ht="12.75">
      <c r="B68" s="30" t="s">
        <v>781</v>
      </c>
      <c r="C68" s="73" t="s">
        <v>245</v>
      </c>
      <c r="D68" s="73" t="s">
        <v>243</v>
      </c>
      <c r="E68" s="73" t="s">
        <v>19</v>
      </c>
      <c r="F68" s="37" t="s">
        <v>828</v>
      </c>
    </row>
    <row r="69" spans="2:6" ht="12.75">
      <c r="B69" s="30" t="s">
        <v>806</v>
      </c>
      <c r="C69" s="73" t="s">
        <v>304</v>
      </c>
      <c r="D69" s="73" t="s">
        <v>120</v>
      </c>
      <c r="E69" s="73" t="s">
        <v>85</v>
      </c>
      <c r="F69" s="37" t="s">
        <v>829</v>
      </c>
    </row>
    <row r="70" spans="2:6" ht="12.75">
      <c r="B70" s="30" t="s">
        <v>806</v>
      </c>
      <c r="C70" s="73" t="s">
        <v>663</v>
      </c>
      <c r="D70" s="73" t="s">
        <v>120</v>
      </c>
      <c r="E70" s="73" t="s">
        <v>85</v>
      </c>
      <c r="F70" s="37" t="s">
        <v>829</v>
      </c>
    </row>
    <row r="73" spans="2:3" ht="13.5">
      <c r="B73" s="31" t="s">
        <v>107</v>
      </c>
      <c r="C73" s="32"/>
    </row>
    <row r="74" spans="2:6" ht="13.5">
      <c r="B74" s="33" t="s">
        <v>108</v>
      </c>
      <c r="C74" s="33" t="s">
        <v>109</v>
      </c>
      <c r="D74" s="33" t="s">
        <v>110</v>
      </c>
      <c r="E74" s="33" t="s">
        <v>111</v>
      </c>
      <c r="F74" s="33" t="s">
        <v>868</v>
      </c>
    </row>
    <row r="75" spans="1:6" ht="12.75">
      <c r="A75" s="35">
        <v>1</v>
      </c>
      <c r="B75" s="30" t="s">
        <v>784</v>
      </c>
      <c r="C75" s="73" t="s">
        <v>107</v>
      </c>
      <c r="D75" s="73" t="s">
        <v>241</v>
      </c>
      <c r="E75" s="73" t="s">
        <v>51</v>
      </c>
      <c r="F75" s="37" t="s">
        <v>831</v>
      </c>
    </row>
    <row r="76" spans="1:6" ht="12.75">
      <c r="A76" s="35">
        <v>2</v>
      </c>
      <c r="B76" s="30" t="s">
        <v>204</v>
      </c>
      <c r="C76" s="73" t="s">
        <v>107</v>
      </c>
      <c r="D76" s="73" t="s">
        <v>117</v>
      </c>
      <c r="E76" s="73" t="s">
        <v>210</v>
      </c>
      <c r="F76" s="37" t="s">
        <v>830</v>
      </c>
    </row>
    <row r="77" spans="1:6" ht="12.75">
      <c r="A77" s="35">
        <v>3</v>
      </c>
      <c r="B77" s="30" t="s">
        <v>813</v>
      </c>
      <c r="C77" s="73" t="s">
        <v>107</v>
      </c>
      <c r="D77" s="73" t="s">
        <v>125</v>
      </c>
      <c r="E77" s="73" t="s">
        <v>86</v>
      </c>
      <c r="F77" s="37" t="s">
        <v>832</v>
      </c>
    </row>
    <row r="78" spans="2:6" ht="12.75">
      <c r="B78" s="30" t="s">
        <v>178</v>
      </c>
      <c r="C78" s="73" t="s">
        <v>107</v>
      </c>
      <c r="D78" s="73" t="s">
        <v>257</v>
      </c>
      <c r="E78" s="73" t="s">
        <v>62</v>
      </c>
      <c r="F78" s="37" t="s">
        <v>833</v>
      </c>
    </row>
    <row r="79" spans="2:6" ht="12.75">
      <c r="B79" s="30" t="s">
        <v>626</v>
      </c>
      <c r="C79" s="73" t="s">
        <v>107</v>
      </c>
      <c r="D79" s="73" t="s">
        <v>120</v>
      </c>
      <c r="E79" s="73" t="s">
        <v>70</v>
      </c>
      <c r="F79" s="37" t="s">
        <v>834</v>
      </c>
    </row>
    <row r="80" spans="2:6" ht="12.75">
      <c r="B80" s="30" t="s">
        <v>802</v>
      </c>
      <c r="C80" s="73" t="s">
        <v>107</v>
      </c>
      <c r="D80" s="73" t="s">
        <v>116</v>
      </c>
      <c r="E80" s="73" t="s">
        <v>189</v>
      </c>
      <c r="F80" s="37" t="s">
        <v>835</v>
      </c>
    </row>
    <row r="81" spans="2:6" ht="12.75">
      <c r="B81" s="30" t="s">
        <v>816</v>
      </c>
      <c r="C81" s="73" t="s">
        <v>107</v>
      </c>
      <c r="D81" s="73" t="s">
        <v>125</v>
      </c>
      <c r="E81" s="73" t="s">
        <v>93</v>
      </c>
      <c r="F81" s="37" t="s">
        <v>836</v>
      </c>
    </row>
    <row r="82" spans="2:6" ht="12.75">
      <c r="B82" s="30" t="s">
        <v>793</v>
      </c>
      <c r="C82" s="73" t="s">
        <v>107</v>
      </c>
      <c r="D82" s="73" t="s">
        <v>257</v>
      </c>
      <c r="E82" s="73" t="s">
        <v>273</v>
      </c>
      <c r="F82" s="37" t="s">
        <v>837</v>
      </c>
    </row>
    <row r="83" spans="2:6" ht="12.75">
      <c r="B83" s="30" t="s">
        <v>819</v>
      </c>
      <c r="C83" s="73" t="s">
        <v>107</v>
      </c>
      <c r="D83" s="73" t="s">
        <v>125</v>
      </c>
      <c r="E83" s="73" t="s">
        <v>101</v>
      </c>
      <c r="F83" s="37" t="s">
        <v>838</v>
      </c>
    </row>
    <row r="84" spans="2:6" ht="12.75">
      <c r="B84" s="30" t="s">
        <v>751</v>
      </c>
      <c r="C84" s="73" t="s">
        <v>107</v>
      </c>
      <c r="D84" s="73" t="s">
        <v>116</v>
      </c>
      <c r="E84" s="73" t="s">
        <v>194</v>
      </c>
      <c r="F84" s="37" t="s">
        <v>839</v>
      </c>
    </row>
  </sheetData>
  <sheetProtection/>
  <mergeCells count="22">
    <mergeCell ref="B52:M52"/>
    <mergeCell ref="B18:M18"/>
    <mergeCell ref="B21:M21"/>
    <mergeCell ref="B25:M25"/>
    <mergeCell ref="B28:M28"/>
    <mergeCell ref="B35:M35"/>
    <mergeCell ref="B41:M41"/>
    <mergeCell ref="B5:M5"/>
    <mergeCell ref="B8:M8"/>
    <mergeCell ref="B14:M14"/>
    <mergeCell ref="L3:L4"/>
    <mergeCell ref="M3:M4"/>
    <mergeCell ref="B45:M45"/>
    <mergeCell ref="B1:N2"/>
    <mergeCell ref="B3:B4"/>
    <mergeCell ref="C3:C4"/>
    <mergeCell ref="D3:D4"/>
    <mergeCell ref="E3:E4"/>
    <mergeCell ref="F3:F4"/>
    <mergeCell ref="G3:G4"/>
    <mergeCell ref="H3:K3"/>
    <mergeCell ref="N3:N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2008-02-22T21:19:39Z</cp:lastPrinted>
  <dcterms:created xsi:type="dcterms:W3CDTF">2002-06-16T13:36:44Z</dcterms:created>
  <dcterms:modified xsi:type="dcterms:W3CDTF">2016-08-30T12:45:56Z</dcterms:modified>
  <cp:category/>
  <cp:version/>
  <cp:contentType/>
  <cp:contentStatus/>
</cp:coreProperties>
</file>