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Default Extension="vml" ContentType="application/vnd.openxmlformats-officedocument.vmlDrawing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80" windowWidth="11340" windowHeight="9640" tabRatio="603" firstSheet="14" activeTab="14"/>
  </bookViews>
  <sheets>
    <sheet name="Пауэрлифтинг без экипировки" sheetId="1" r:id="rId1"/>
    <sheet name="Пауэрлифтинг в бинтах" sheetId="2" r:id="rId2"/>
    <sheet name="Пауэрлифтинг в бинтах ДК" sheetId="3" r:id="rId3"/>
    <sheet name="Пауэрлифтинг без экипировки ДК" sheetId="4" r:id="rId4"/>
    <sheet name="Пауэрлифтинг в однос. экип. ДК" sheetId="5" r:id="rId5"/>
    <sheet name="Пауэрлифтинг в односл. экипир." sheetId="6" r:id="rId6"/>
    <sheet name="Силовое двоеборье без экип. ДК" sheetId="7" r:id="rId7"/>
    <sheet name="Силовое двоеборье без экип." sheetId="8" r:id="rId8"/>
    <sheet name="Присед в бинтах ДК" sheetId="9" r:id="rId9"/>
    <sheet name="Присед в бинтах" sheetId="10" r:id="rId10"/>
    <sheet name="Присед без экипировки ДК" sheetId="11" r:id="rId11"/>
    <sheet name="Присед без экипировки" sheetId="12" r:id="rId12"/>
    <sheet name="Присед в односл. экип. ДК" sheetId="13" r:id="rId13"/>
    <sheet name="Жим лежа в односл. экип. ДК" sheetId="14" r:id="rId14"/>
    <sheet name="Жим лежа в односл. экип" sheetId="15" r:id="rId15"/>
    <sheet name=" Жим лежа без экипировки ДК" sheetId="16" r:id="rId16"/>
    <sheet name="Жим лежа без экипировки" sheetId="17" r:id="rId17"/>
    <sheet name="Становая тяга без экипировки" sheetId="18" r:id="rId18"/>
    <sheet name="Становая тяга без экипировки ДК" sheetId="19" r:id="rId19"/>
    <sheet name="Становая тяга в экипировке ДК" sheetId="20" r:id="rId20"/>
    <sheet name="Пауэрспорт" sheetId="21" r:id="rId21"/>
    <sheet name="ЖД Любители жим на макс. ДК" sheetId="22" r:id="rId22"/>
    <sheet name="ЖД Любители жим на макс." sheetId="23" r:id="rId23"/>
    <sheet name="ЖД Военный жим" sheetId="24" r:id="rId24"/>
    <sheet name="ЖД Профессионалы" sheetId="25" r:id="rId25"/>
    <sheet name="Rolling Thunder" sheetId="26" r:id="rId26"/>
    <sheet name="Apollon's Axle" sheetId="27" r:id="rId27"/>
    <sheet name="Excalibur" sheetId="28" r:id="rId28"/>
    <sheet name="HUB" sheetId="29" r:id="rId29"/>
  </sheets>
  <definedNames/>
  <calcPr fullCalcOnLoad="1" refMode="R1C1"/>
</workbook>
</file>

<file path=xl/sharedStrings.xml><?xml version="1.0" encoding="utf-8"?>
<sst xmlns="http://schemas.openxmlformats.org/spreadsheetml/2006/main" count="2287" uniqueCount="649">
  <si>
    <t>ФИО</t>
  </si>
  <si>
    <t>Присед</t>
  </si>
  <si>
    <t>Жим</t>
  </si>
  <si>
    <t>Тяга</t>
  </si>
  <si>
    <t>Сумма</t>
  </si>
  <si>
    <t>Тренер</t>
  </si>
  <si>
    <t>Очки</t>
  </si>
  <si>
    <t>Команда</t>
  </si>
  <si>
    <t>Рек</t>
  </si>
  <si>
    <t>Wilks</t>
  </si>
  <si>
    <t>ВЕСОВАЯ КАТЕГОРИЯ   60</t>
  </si>
  <si>
    <t>Бекасова Мария</t>
  </si>
  <si>
    <t>Open (11.08.1987)/29</t>
  </si>
  <si>
    <t>59,50</t>
  </si>
  <si>
    <t xml:space="preserve">Воины света </t>
  </si>
  <si>
    <t xml:space="preserve">Иваново/Ивановская область </t>
  </si>
  <si>
    <t>30,0</t>
  </si>
  <si>
    <t>35,0</t>
  </si>
  <si>
    <t>42,5</t>
  </si>
  <si>
    <t>ВЕСОВАЯ КАТЕГОРИЯ   67.5</t>
  </si>
  <si>
    <t>Open (27.10.1985)/31</t>
  </si>
  <si>
    <t>63,30</t>
  </si>
  <si>
    <t xml:space="preserve">Лично </t>
  </si>
  <si>
    <t xml:space="preserve">Няндома/Архангельская область </t>
  </si>
  <si>
    <t>132,5</t>
  </si>
  <si>
    <t>142,5</t>
  </si>
  <si>
    <t xml:space="preserve">Григорьев Константин </t>
  </si>
  <si>
    <t>ВЕСОВАЯ КАТЕГОРИЯ   82.5</t>
  </si>
  <si>
    <t>Open (21.01.1989)/27</t>
  </si>
  <si>
    <t>82,50</t>
  </si>
  <si>
    <t xml:space="preserve">Геркулес </t>
  </si>
  <si>
    <t xml:space="preserve">Мышкин/Ярославская область </t>
  </si>
  <si>
    <t>150,0</t>
  </si>
  <si>
    <t>160,0</t>
  </si>
  <si>
    <t>165,0</t>
  </si>
  <si>
    <t xml:space="preserve">Емелин Александр </t>
  </si>
  <si>
    <t>Open (09.02.1988)/28</t>
  </si>
  <si>
    <t>78,40</t>
  </si>
  <si>
    <t xml:space="preserve">Железная Семья </t>
  </si>
  <si>
    <t xml:space="preserve">Кострома/Костромская область </t>
  </si>
  <si>
    <t>135,0</t>
  </si>
  <si>
    <t xml:space="preserve">Курицин Матвей </t>
  </si>
  <si>
    <t>Open (05.01.1981)/35</t>
  </si>
  <si>
    <t>77,60</t>
  </si>
  <si>
    <t>110,0</t>
  </si>
  <si>
    <t>ВЕСОВАЯ КАТЕГОРИЯ   90</t>
  </si>
  <si>
    <t>Juniors 20-23 (07.07.1993)/23</t>
  </si>
  <si>
    <t>89,40</t>
  </si>
  <si>
    <t>170,0</t>
  </si>
  <si>
    <t>175,0</t>
  </si>
  <si>
    <t>181,0</t>
  </si>
  <si>
    <t>185,0</t>
  </si>
  <si>
    <t>Смирнов Александр</t>
  </si>
  <si>
    <t>Open (08.11.1992)/23</t>
  </si>
  <si>
    <t xml:space="preserve">Рыбинск/Ярославская область </t>
  </si>
  <si>
    <t>182,5</t>
  </si>
  <si>
    <t>Open (14.10.1985)/31</t>
  </si>
  <si>
    <t>85,60</t>
  </si>
  <si>
    <t>140,0</t>
  </si>
  <si>
    <t>Open (09.01.1990)/26</t>
  </si>
  <si>
    <t>87,40</t>
  </si>
  <si>
    <t xml:space="preserve">Ярославль/Ярославская область </t>
  </si>
  <si>
    <t>130,0</t>
  </si>
  <si>
    <t>ВЕСОВАЯ КАТЕГОРИЯ   100</t>
  </si>
  <si>
    <t>Open (31.07.1990)/26</t>
  </si>
  <si>
    <t>98,30</t>
  </si>
  <si>
    <t>ВЕСОВАЯ КАТЕГОРИЯ   110</t>
  </si>
  <si>
    <t>Арефьев Илья</t>
  </si>
  <si>
    <t>Juniors 20-23 (16.01.1995)/21</t>
  </si>
  <si>
    <t>106,70</t>
  </si>
  <si>
    <t>192,5</t>
  </si>
  <si>
    <t>Филатов Василий</t>
  </si>
  <si>
    <t>Open (24.02.1989)/27</t>
  </si>
  <si>
    <t>104,30</t>
  </si>
  <si>
    <t xml:space="preserve">СК Русь </t>
  </si>
  <si>
    <t xml:space="preserve">Тула/Тульская область </t>
  </si>
  <si>
    <t>200,0</t>
  </si>
  <si>
    <t>205,0</t>
  </si>
  <si>
    <t>Open (17.08.1985)/31</t>
  </si>
  <si>
    <t>108,00</t>
  </si>
  <si>
    <t xml:space="preserve">Вологда/Вологодская область </t>
  </si>
  <si>
    <t>Open (05.10.1984)/32</t>
  </si>
  <si>
    <t>107,30</t>
  </si>
  <si>
    <t>180,0</t>
  </si>
  <si>
    <t>202,5</t>
  </si>
  <si>
    <t>Open (21.12.1980)/35</t>
  </si>
  <si>
    <t>109,00</t>
  </si>
  <si>
    <t>Open (25.03.1984)/32</t>
  </si>
  <si>
    <t>106,90</t>
  </si>
  <si>
    <t>162,5</t>
  </si>
  <si>
    <t>167,5</t>
  </si>
  <si>
    <t>Masters 40-44 (27.04.1973)/43</t>
  </si>
  <si>
    <t>106,00</t>
  </si>
  <si>
    <t xml:space="preserve">Нерехта/Костромская область </t>
  </si>
  <si>
    <t>195,0</t>
  </si>
  <si>
    <t>ВЕСОВАЯ КАТЕГОРИЯ   125</t>
  </si>
  <si>
    <t>Соловьев Иван</t>
  </si>
  <si>
    <t>Open (15.01.1984)/32</t>
  </si>
  <si>
    <t>115,30</t>
  </si>
  <si>
    <t>240,0</t>
  </si>
  <si>
    <t>Авдулов Евгений</t>
  </si>
  <si>
    <t>Open (04.11.1983)/32</t>
  </si>
  <si>
    <t>116,20</t>
  </si>
  <si>
    <t xml:space="preserve">Суздаль/Владимирская область </t>
  </si>
  <si>
    <t>190,0</t>
  </si>
  <si>
    <t>Смекалов Максим</t>
  </si>
  <si>
    <t>Open (05.05.1986)/30</t>
  </si>
  <si>
    <t>113,40</t>
  </si>
  <si>
    <t>255,0</t>
  </si>
  <si>
    <t>ВЕСОВАЯ КАТЕГОРИЯ   140</t>
  </si>
  <si>
    <t>Палилов Иван</t>
  </si>
  <si>
    <t>Open (14.11.1976)/39</t>
  </si>
  <si>
    <t>128,70</t>
  </si>
  <si>
    <t>220,0</t>
  </si>
  <si>
    <t>230,0</t>
  </si>
  <si>
    <t>Open (22.11.1983)/32</t>
  </si>
  <si>
    <t>135,50</t>
  </si>
  <si>
    <t>210,0</t>
  </si>
  <si>
    <t>Open (11.01.1977)/39</t>
  </si>
  <si>
    <t>139,90</t>
  </si>
  <si>
    <t xml:space="preserve">Логинов Александр </t>
  </si>
  <si>
    <t xml:space="preserve">Абсолютный зачёт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</si>
  <si>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</si>
  <si>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</si>
  <si>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</si>
  <si>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</si>
  <si>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</si>
  <si>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Wilks </t>
  </si>
  <si>
    <t xml:space="preserve">Мужчины </t>
  </si>
  <si>
    <t>139,3440</t>
  </si>
  <si>
    <t>124,6520</t>
  </si>
  <si>
    <t>122,7950</t>
  </si>
  <si>
    <t>ВЕСОВАЯ КАТЕГОРИЯ   56</t>
  </si>
  <si>
    <t>Open (15.11.1988)/27</t>
  </si>
  <si>
    <t>55,10</t>
  </si>
  <si>
    <t xml:space="preserve">ФК Гараж </t>
  </si>
  <si>
    <t>62,5</t>
  </si>
  <si>
    <t xml:space="preserve">Алферов Евгений </t>
  </si>
  <si>
    <t>Дударева Екатерина</t>
  </si>
  <si>
    <t>Open (08.11.1993)/22</t>
  </si>
  <si>
    <t xml:space="preserve">Рошаль/Московская область </t>
  </si>
  <si>
    <t>75,0</t>
  </si>
  <si>
    <t>77,5</t>
  </si>
  <si>
    <t xml:space="preserve">Мазуркевич Михаил </t>
  </si>
  <si>
    <t>Open (09.12.1977)/38</t>
  </si>
  <si>
    <t>60,00</t>
  </si>
  <si>
    <t>Длужневская Владислава</t>
  </si>
  <si>
    <t>Teenage 15-19 (10.06.2000)/16</t>
  </si>
  <si>
    <t>60,80</t>
  </si>
  <si>
    <t xml:space="preserve">Длужневского </t>
  </si>
  <si>
    <t>100,0</t>
  </si>
  <si>
    <t>105,0</t>
  </si>
  <si>
    <t>107,5</t>
  </si>
  <si>
    <t>Juniors 20-23 (30.03.1994)/22</t>
  </si>
  <si>
    <t>64,50</t>
  </si>
  <si>
    <t>45,0</t>
  </si>
  <si>
    <t>57,5</t>
  </si>
  <si>
    <t>Open (10.06.2000)/16</t>
  </si>
  <si>
    <t>Open (08.08.1984)/32</t>
  </si>
  <si>
    <t>62,90</t>
  </si>
  <si>
    <t xml:space="preserve">Мирный/Архангельская область </t>
  </si>
  <si>
    <t>67,5</t>
  </si>
  <si>
    <t>70,0</t>
  </si>
  <si>
    <t xml:space="preserve">Степанова Светлана </t>
  </si>
  <si>
    <t>Козлова Марина</t>
  </si>
  <si>
    <t>Open (27.06.1985)/31</t>
  </si>
  <si>
    <t>76,50</t>
  </si>
  <si>
    <t>47,5</t>
  </si>
  <si>
    <t>Teenage 15-19 (29.04.1998)/18</t>
  </si>
  <si>
    <t>63,40</t>
  </si>
  <si>
    <t>85,0</t>
  </si>
  <si>
    <t>95,0</t>
  </si>
  <si>
    <t>102,5</t>
  </si>
  <si>
    <t xml:space="preserve">Жарков Дмитрий </t>
  </si>
  <si>
    <t>Самохвалов Никита</t>
  </si>
  <si>
    <t>Open (11.08.1988)/28</t>
  </si>
  <si>
    <t>65,70</t>
  </si>
  <si>
    <t xml:space="preserve">Самостоятельно </t>
  </si>
  <si>
    <t>ВЕСОВАЯ КАТЕГОРИЯ   75</t>
  </si>
  <si>
    <t>Teenage 15-19 (21.07.1998)/18</t>
  </si>
  <si>
    <t>72,50</t>
  </si>
  <si>
    <t>Open (20.12.1988)/27</t>
  </si>
  <si>
    <t>74,40</t>
  </si>
  <si>
    <t>145,0</t>
  </si>
  <si>
    <t>155,0</t>
  </si>
  <si>
    <t>Open (22.03.1989)/27</t>
  </si>
  <si>
    <t>73,50</t>
  </si>
  <si>
    <t>Open (17.01.1990)/26</t>
  </si>
  <si>
    <t>72,60</t>
  </si>
  <si>
    <t>112,5</t>
  </si>
  <si>
    <t>0,0</t>
  </si>
  <si>
    <t>Open (25.08.1983)/33</t>
  </si>
  <si>
    <t>74,80</t>
  </si>
  <si>
    <t xml:space="preserve">5-звезд </t>
  </si>
  <si>
    <t>117,5</t>
  </si>
  <si>
    <t>Juniors 20-23 (23.05.1994)/22</t>
  </si>
  <si>
    <t>80,00</t>
  </si>
  <si>
    <t>122,5</t>
  </si>
  <si>
    <t>127,5</t>
  </si>
  <si>
    <t>Open (09.04.1993)/23</t>
  </si>
  <si>
    <t>81,00</t>
  </si>
  <si>
    <t>Open (06.10.1986)/30</t>
  </si>
  <si>
    <t>Open (30.01.1984)/32</t>
  </si>
  <si>
    <t>79,90</t>
  </si>
  <si>
    <t>Open (27.05.1990)/26</t>
  </si>
  <si>
    <t>79,70</t>
  </si>
  <si>
    <t>Туликов Максим</t>
  </si>
  <si>
    <t>Open (26.06.1977)/39</t>
  </si>
  <si>
    <t>Juniors 20-23 (10.02.1995)/21</t>
  </si>
  <si>
    <t>86,90</t>
  </si>
  <si>
    <t xml:space="preserve">Вельск </t>
  </si>
  <si>
    <t xml:space="preserve">Вельск/Архангельская область </t>
  </si>
  <si>
    <t>147,5</t>
  </si>
  <si>
    <t>Open (19.09.1987)/29</t>
  </si>
  <si>
    <t>88,40</t>
  </si>
  <si>
    <t>157,5</t>
  </si>
  <si>
    <t>Open (14.10.1957)/59</t>
  </si>
  <si>
    <t>88,90</t>
  </si>
  <si>
    <t>152,5</t>
  </si>
  <si>
    <t>Стрельцов Кирилл</t>
  </si>
  <si>
    <t>Open (20.02.1987)/29</t>
  </si>
  <si>
    <t>88,20</t>
  </si>
  <si>
    <t>Juniors 20-23 (06.04.1995)/21</t>
  </si>
  <si>
    <t>100,00</t>
  </si>
  <si>
    <t>Juniors 20-23 (18.12.1994)/21</t>
  </si>
  <si>
    <t>99,50</t>
  </si>
  <si>
    <t>Juniors 20-23 (01.01.1993)/23</t>
  </si>
  <si>
    <t>97,60</t>
  </si>
  <si>
    <t>Juniors 20-23 (11.01.1995)/21</t>
  </si>
  <si>
    <t>93,50</t>
  </si>
  <si>
    <t>Juniors 20-23 (17.01.1995)/21</t>
  </si>
  <si>
    <t>95,40</t>
  </si>
  <si>
    <t>125,0</t>
  </si>
  <si>
    <t>Juniors 20-23 (03.05.1996)/20</t>
  </si>
  <si>
    <t>98,50</t>
  </si>
  <si>
    <t>Open (26.01.1986)/30</t>
  </si>
  <si>
    <t>98,90</t>
  </si>
  <si>
    <t>Open (11.02.1978)/38</t>
  </si>
  <si>
    <t>98,00</t>
  </si>
  <si>
    <t xml:space="preserve">Череповец/Вологодская область </t>
  </si>
  <si>
    <t>Masters 45-49 (03.04.1970)/46</t>
  </si>
  <si>
    <t>Juniors 20-23 (29.06.1993)/23</t>
  </si>
  <si>
    <t>109,60</t>
  </si>
  <si>
    <t>Колосов Александр</t>
  </si>
  <si>
    <t>Open (06.05.1983)/33</t>
  </si>
  <si>
    <t>103,80</t>
  </si>
  <si>
    <t>197,5</t>
  </si>
  <si>
    <t>Срослов Евгений</t>
  </si>
  <si>
    <t>Open (15.07.1978)/38</t>
  </si>
  <si>
    <t>109,80</t>
  </si>
  <si>
    <t>Желтушко Виктор</t>
  </si>
  <si>
    <t>Open (29.01.1978)/38</t>
  </si>
  <si>
    <t>104,50</t>
  </si>
  <si>
    <t>Арсентьев Иван</t>
  </si>
  <si>
    <t>Open (04.06.1976)/40</t>
  </si>
  <si>
    <t>119,60</t>
  </si>
  <si>
    <t xml:space="preserve">Клин/Московская область </t>
  </si>
  <si>
    <t>222,5</t>
  </si>
  <si>
    <t xml:space="preserve">Янковская Анна </t>
  </si>
  <si>
    <t>Masters 40-44 (04.06.1976)/40</t>
  </si>
  <si>
    <t>126,5880</t>
  </si>
  <si>
    <t>118,5000</t>
  </si>
  <si>
    <t>112,3043</t>
  </si>
  <si>
    <t>207,5</t>
  </si>
  <si>
    <t>215,0</t>
  </si>
  <si>
    <t>Пьянов Денис</t>
  </si>
  <si>
    <t>Teenage 15-19 (10.07.1997)/19</t>
  </si>
  <si>
    <t>Янковский Андрей</t>
  </si>
  <si>
    <t>Teenage 15-19 (20.03.2001)/15</t>
  </si>
  <si>
    <t>58,40</t>
  </si>
  <si>
    <t>103,70</t>
  </si>
  <si>
    <t>225,0</t>
  </si>
  <si>
    <t>235,0</t>
  </si>
  <si>
    <t>245,0</t>
  </si>
  <si>
    <t>Open (26.04.1987)/29</t>
  </si>
  <si>
    <t>64,90</t>
  </si>
  <si>
    <t>65,0</t>
  </si>
  <si>
    <t>50,0</t>
  </si>
  <si>
    <t xml:space="preserve">Латышев Артем </t>
  </si>
  <si>
    <t>Open (09.09.1987)/29</t>
  </si>
  <si>
    <t>81,20</t>
  </si>
  <si>
    <t>177,5</t>
  </si>
  <si>
    <t>Open (11.02.1992)/24</t>
  </si>
  <si>
    <t>87,00</t>
  </si>
  <si>
    <t>115,0</t>
  </si>
  <si>
    <t>Juniors 20-23 (09.10.1995)/21</t>
  </si>
  <si>
    <t>104,20</t>
  </si>
  <si>
    <t>250,0</t>
  </si>
  <si>
    <t>260,0</t>
  </si>
  <si>
    <t>172,5</t>
  </si>
  <si>
    <t>267,5</t>
  </si>
  <si>
    <t>275,0</t>
  </si>
  <si>
    <t>ВЕСОВАЯ КАТЕГОРИЯ   52</t>
  </si>
  <si>
    <t>Juniors 20-23 (14.03.1993)/23</t>
  </si>
  <si>
    <t>51,80</t>
  </si>
  <si>
    <t>97,5</t>
  </si>
  <si>
    <t>52,5</t>
  </si>
  <si>
    <t xml:space="preserve">Карпов Илья </t>
  </si>
  <si>
    <t>90,0</t>
  </si>
  <si>
    <t>55,0</t>
  </si>
  <si>
    <t>Open (28.01.1991)/25</t>
  </si>
  <si>
    <t>61,70</t>
  </si>
  <si>
    <t>80,0</t>
  </si>
  <si>
    <t>87,5</t>
  </si>
  <si>
    <t>40,0</t>
  </si>
  <si>
    <t>Open (29.05.1986)/30</t>
  </si>
  <si>
    <t>71,20</t>
  </si>
  <si>
    <t>120,0</t>
  </si>
  <si>
    <t>Open (30.05.1976)/40</t>
  </si>
  <si>
    <t>71,80</t>
  </si>
  <si>
    <t>60,0</t>
  </si>
  <si>
    <t>Семенов Александр</t>
  </si>
  <si>
    <t>Teenage 15-19 (05.07.1999)/17</t>
  </si>
  <si>
    <t>68,20</t>
  </si>
  <si>
    <t xml:space="preserve">Ростов/Ярославская область </t>
  </si>
  <si>
    <t>Open (08.06.1988)/28</t>
  </si>
  <si>
    <t>79,60</t>
  </si>
  <si>
    <t>Новак Дмитрий</t>
  </si>
  <si>
    <t>Juniors 20-23 (31.10.1994)/21</t>
  </si>
  <si>
    <t>86,80</t>
  </si>
  <si>
    <t>Open (13.02.1984)/32</t>
  </si>
  <si>
    <t>98,70</t>
  </si>
  <si>
    <t>Open (30.11.1979)/36</t>
  </si>
  <si>
    <t>92,50</t>
  </si>
  <si>
    <t xml:space="preserve">Тутаев/Ярославская область </t>
  </si>
  <si>
    <t>237,5</t>
  </si>
  <si>
    <t>Teenage 15-19 (14.08.1997)/19</t>
  </si>
  <si>
    <t>137,5</t>
  </si>
  <si>
    <t>Бертрам Валерий</t>
  </si>
  <si>
    <t>Open (03.06.1992)/24</t>
  </si>
  <si>
    <t>85,70</t>
  </si>
  <si>
    <t xml:space="preserve">сборная Иваново </t>
  </si>
  <si>
    <t>Open (05.11.1982)/33</t>
  </si>
  <si>
    <t xml:space="preserve">Оренбург/Оренбургская область </t>
  </si>
  <si>
    <t>232,5</t>
  </si>
  <si>
    <t>Нестеров Иван</t>
  </si>
  <si>
    <t>Open (03.04.1992)/24</t>
  </si>
  <si>
    <t>95,70</t>
  </si>
  <si>
    <t>270,0</t>
  </si>
  <si>
    <t>285,0</t>
  </si>
  <si>
    <t xml:space="preserve">Костин Илья </t>
  </si>
  <si>
    <t>Open (11.09.1988)/28</t>
  </si>
  <si>
    <t>340,0</t>
  </si>
  <si>
    <t>300,0</t>
  </si>
  <si>
    <t>315,0</t>
  </si>
  <si>
    <t>Open (04.11.1982)/33</t>
  </si>
  <si>
    <t>127,60</t>
  </si>
  <si>
    <t xml:space="preserve">Егорьевск/Московская область </t>
  </si>
  <si>
    <t>262,5</t>
  </si>
  <si>
    <t>880,0</t>
  </si>
  <si>
    <t>510,9280</t>
  </si>
  <si>
    <t>727,5</t>
  </si>
  <si>
    <t>451,0500</t>
  </si>
  <si>
    <t>600,0</t>
  </si>
  <si>
    <t>393,1800</t>
  </si>
  <si>
    <t>565,0</t>
  </si>
  <si>
    <t>Open (07.04.1986)/30</t>
  </si>
  <si>
    <t>109,50</t>
  </si>
  <si>
    <t>287,5</t>
  </si>
  <si>
    <t>Open (23.12.1977)/38</t>
  </si>
  <si>
    <t>107,70</t>
  </si>
  <si>
    <t>265,0</t>
  </si>
  <si>
    <t>Open (02.04.1979)/37</t>
  </si>
  <si>
    <t>59,30</t>
  </si>
  <si>
    <t xml:space="preserve">Серебряков Кирилл </t>
  </si>
  <si>
    <t>Александров Иван</t>
  </si>
  <si>
    <t>Open (12.06.1990)/26</t>
  </si>
  <si>
    <t>80,20</t>
  </si>
  <si>
    <t xml:space="preserve">Буйволы </t>
  </si>
  <si>
    <t xml:space="preserve">Буй/Костромская область </t>
  </si>
  <si>
    <t>Коченюк Артем</t>
  </si>
  <si>
    <t>Open (04.03.1989)/27</t>
  </si>
  <si>
    <t>280,0</t>
  </si>
  <si>
    <t>Цапаров Кирилл</t>
  </si>
  <si>
    <t>Open (30.09.1984)/32</t>
  </si>
  <si>
    <t>84,40</t>
  </si>
  <si>
    <t>Open (13.02.1986)/30</t>
  </si>
  <si>
    <t>103,10</t>
  </si>
  <si>
    <t xml:space="preserve">Домодедово/Московская область </t>
  </si>
  <si>
    <t>Juniors 20-23 (24.07.1993)/23</t>
  </si>
  <si>
    <t>120,30</t>
  </si>
  <si>
    <t xml:space="preserve">Ловцова Наталия </t>
  </si>
  <si>
    <t>183,4840</t>
  </si>
  <si>
    <t>177,2160</t>
  </si>
  <si>
    <t>161,2000</t>
  </si>
  <si>
    <t>Open (27.08.1988)/28</t>
  </si>
  <si>
    <t>81,90</t>
  </si>
  <si>
    <t>Open (20.12.1982)/33</t>
  </si>
  <si>
    <t xml:space="preserve">Болохово/Тульская область </t>
  </si>
  <si>
    <t>Open (16.03.1989)/27</t>
  </si>
  <si>
    <t>87,80</t>
  </si>
  <si>
    <t>Open (03.02.1992)/24</t>
  </si>
  <si>
    <t>95,80</t>
  </si>
  <si>
    <t>290,0</t>
  </si>
  <si>
    <t>Ларина Екатерина</t>
  </si>
  <si>
    <t>Teenage 15-19 (31.10.1997)/18</t>
  </si>
  <si>
    <t xml:space="preserve">Соловьев Иван </t>
  </si>
  <si>
    <t>Teenage 15-19 (10.03.1999)/17</t>
  </si>
  <si>
    <t>81,40</t>
  </si>
  <si>
    <t>72,5</t>
  </si>
  <si>
    <t>Open (30.04.1979)/37</t>
  </si>
  <si>
    <t>97,50</t>
  </si>
  <si>
    <t>Masters 40-44 (23.06.1969)/47</t>
  </si>
  <si>
    <t>97,80</t>
  </si>
  <si>
    <t xml:space="preserve">Гусев Роман </t>
  </si>
  <si>
    <t>Masters 45-49 (30.01.1967)/49</t>
  </si>
  <si>
    <t>91,00</t>
  </si>
  <si>
    <t>ВЕСОВАЯ КАТЕГОРИЯ   80</t>
  </si>
  <si>
    <t>Воробьёв Денис</t>
  </si>
  <si>
    <t>Open (07.08.1987)/29</t>
  </si>
  <si>
    <t>79,30</t>
  </si>
  <si>
    <t>Трошин Роман</t>
  </si>
  <si>
    <t>Open (01.05.1982)/34</t>
  </si>
  <si>
    <t>97,40</t>
  </si>
  <si>
    <t xml:space="preserve">Длужневский Сергей </t>
  </si>
  <si>
    <t>Длужневский Сергей</t>
  </si>
  <si>
    <t>Шушугин Евгений</t>
  </si>
  <si>
    <t xml:space="preserve">Волков Николай </t>
  </si>
  <si>
    <t xml:space="preserve">Арсентьев Иван </t>
  </si>
  <si>
    <t xml:space="preserve">Суровецкий Аскольд  </t>
  </si>
  <si>
    <t>Пенкин Владимир</t>
  </si>
  <si>
    <t>Самойлин Артем</t>
  </si>
  <si>
    <t>Open (12.04.1991)/25</t>
  </si>
  <si>
    <t>79,00</t>
  </si>
  <si>
    <t xml:space="preserve">Фотин Александр </t>
  </si>
  <si>
    <t>Гинаев Ризван</t>
  </si>
  <si>
    <t>Teen 14-17 (31.08.2001)/15</t>
  </si>
  <si>
    <t>85,40</t>
  </si>
  <si>
    <t xml:space="preserve">Потехин Кирилл </t>
  </si>
  <si>
    <t>Ксенофонтов Роман</t>
  </si>
  <si>
    <t>Open (24.01.1989)/27</t>
  </si>
  <si>
    <t>Куликов Дмитрий</t>
  </si>
  <si>
    <t>Masters 40-44 (03.01.1973)/43</t>
  </si>
  <si>
    <t>Орлов Михаил</t>
  </si>
  <si>
    <t>Open (23.08.1992)/24</t>
  </si>
  <si>
    <t>Осокин Дмитрий</t>
  </si>
  <si>
    <t>Open (03.11.1983)/32</t>
  </si>
  <si>
    <t>105,50</t>
  </si>
  <si>
    <t xml:space="preserve">Ногинск/Московская область </t>
  </si>
  <si>
    <t>ВЕСОВАЯ КАТЕГОРИЯ   120</t>
  </si>
  <si>
    <t>115,20</t>
  </si>
  <si>
    <t>Пименов Тимур</t>
  </si>
  <si>
    <t>Open (12.05.1983)/33</t>
  </si>
  <si>
    <t>ВЕСОВАЯ КАТЕГОРИЯ   130+</t>
  </si>
  <si>
    <t>Раков Сергей</t>
  </si>
  <si>
    <t>Open (16.02.1979)/37</t>
  </si>
  <si>
    <t>125,00</t>
  </si>
  <si>
    <t>139,3920</t>
  </si>
  <si>
    <t xml:space="preserve">130+ </t>
  </si>
  <si>
    <t>115,3845</t>
  </si>
  <si>
    <t>Бабаев Рафаэль</t>
  </si>
  <si>
    <t>Open (02.09.1983)/33</t>
  </si>
  <si>
    <t>89,50</t>
  </si>
  <si>
    <t xml:space="preserve">Смоленск/Смоленская область </t>
  </si>
  <si>
    <t xml:space="preserve">Родиков Юрий </t>
  </si>
  <si>
    <t>Никоноров Андрей</t>
  </si>
  <si>
    <t>Masters 40-44 (26.10.1975)/41</t>
  </si>
  <si>
    <t>101,70</t>
  </si>
  <si>
    <t>Gloss</t>
  </si>
  <si>
    <t>Армейский жим</t>
  </si>
  <si>
    <t>Тихов Сергей</t>
  </si>
  <si>
    <t>Open (06.07.1981)/35</t>
  </si>
  <si>
    <t>105,70</t>
  </si>
  <si>
    <t xml:space="preserve">Мытищи/Московская область </t>
  </si>
  <si>
    <t>92,5</t>
  </si>
  <si>
    <t>4</t>
  </si>
  <si>
    <t>5</t>
  </si>
  <si>
    <t>Крохичев Илья</t>
  </si>
  <si>
    <t>Open (10.07.1991)/25</t>
  </si>
  <si>
    <t>96,10</t>
  </si>
  <si>
    <t>ВЕСОВАЯ КАТЕГОРИЯ   90+</t>
  </si>
  <si>
    <t>Бурлаков Дмитрий</t>
  </si>
  <si>
    <t>Master 40+ (03.08.1976)/40</t>
  </si>
  <si>
    <t>99,00</t>
  </si>
  <si>
    <t>Кудряшов Иван</t>
  </si>
  <si>
    <t>Master 40+ (27.03.1976)/40</t>
  </si>
  <si>
    <t>85,15</t>
  </si>
  <si>
    <t>12,5</t>
  </si>
  <si>
    <t>17,5</t>
  </si>
  <si>
    <t>22,5</t>
  </si>
  <si>
    <t>54,0</t>
  </si>
  <si>
    <t>59,0</t>
  </si>
  <si>
    <t>61,5</t>
  </si>
  <si>
    <t>Чистяков Олег</t>
  </si>
  <si>
    <t>Open (20.05.1983)/33</t>
  </si>
  <si>
    <t>99,30</t>
  </si>
  <si>
    <t>56,5</t>
  </si>
  <si>
    <t>71,5</t>
  </si>
  <si>
    <t>74,0</t>
  </si>
  <si>
    <t>81,5</t>
  </si>
  <si>
    <t>86,5</t>
  </si>
  <si>
    <t xml:space="preserve">Пресняков Владимир </t>
  </si>
  <si>
    <t>Абсолютный зачет</t>
  </si>
  <si>
    <t>430,0</t>
  </si>
  <si>
    <t>365,0</t>
  </si>
  <si>
    <t>410,0</t>
  </si>
  <si>
    <t>225.0</t>
  </si>
  <si>
    <t>760,0</t>
  </si>
  <si>
    <t>685,0</t>
  </si>
  <si>
    <t xml:space="preserve">Самостоятелно </t>
  </si>
  <si>
    <t>650,0</t>
  </si>
  <si>
    <t>35,00</t>
  </si>
  <si>
    <t>165,00</t>
  </si>
  <si>
    <t>142,50</t>
  </si>
  <si>
    <t>110,00</t>
  </si>
  <si>
    <t>202,0</t>
  </si>
  <si>
    <t>Результат</t>
  </si>
  <si>
    <t>Место</t>
  </si>
  <si>
    <t>Возрастная группа
Дата рождения/Возраст</t>
  </si>
  <si>
    <t>Собств. вес</t>
  </si>
  <si>
    <t>Город/ область</t>
  </si>
  <si>
    <t xml:space="preserve">Пальгуй Кристина  </t>
  </si>
  <si>
    <t xml:space="preserve">Машуров Георгий  </t>
  </si>
  <si>
    <t xml:space="preserve">Протасов Максим </t>
  </si>
  <si>
    <t xml:space="preserve">Сурков Сергей  </t>
  </si>
  <si>
    <t xml:space="preserve">Нестеров Иван  </t>
  </si>
  <si>
    <t xml:space="preserve">Колыданов Михаил  </t>
  </si>
  <si>
    <t xml:space="preserve">Моисеев Павел  </t>
  </si>
  <si>
    <t xml:space="preserve">Лапин Сергей  </t>
  </si>
  <si>
    <t xml:space="preserve">Гречин Владимир  </t>
  </si>
  <si>
    <t xml:space="preserve">Чижова Ирина  </t>
  </si>
  <si>
    <t xml:space="preserve">Жуков Артем  </t>
  </si>
  <si>
    <t xml:space="preserve">Груздева Галина  </t>
  </si>
  <si>
    <t xml:space="preserve">Пьянов Денис </t>
  </si>
  <si>
    <t xml:space="preserve">Губенский Никита  </t>
  </si>
  <si>
    <t xml:space="preserve">Латышев Артем  </t>
  </si>
  <si>
    <t xml:space="preserve">Кочнев Денис  </t>
  </si>
  <si>
    <t xml:space="preserve">Пьянов Денис  </t>
  </si>
  <si>
    <t xml:space="preserve">Смирнов Константин </t>
  </si>
  <si>
    <t xml:space="preserve">Качев Павел </t>
  </si>
  <si>
    <t xml:space="preserve">Скворцов Иван  </t>
  </si>
  <si>
    <t xml:space="preserve">Фомичев Иван  </t>
  </si>
  <si>
    <t xml:space="preserve">Протасов Максим  </t>
  </si>
  <si>
    <t>0</t>
  </si>
  <si>
    <t xml:space="preserve">Лимушкина Светлана  </t>
  </si>
  <si>
    <t xml:space="preserve">Александров Иван </t>
  </si>
  <si>
    <t xml:space="preserve">Жильцов Николай  </t>
  </si>
  <si>
    <t xml:space="preserve">Сурков Сергей </t>
  </si>
  <si>
    <t xml:space="preserve">Ефремов Валентин  </t>
  </si>
  <si>
    <t xml:space="preserve">Солдатенков Богдан  </t>
  </si>
  <si>
    <t xml:space="preserve">90,0 </t>
  </si>
  <si>
    <t xml:space="preserve">82,5 </t>
  </si>
  <si>
    <t xml:space="preserve">100,0 </t>
  </si>
  <si>
    <t xml:space="preserve">Сидоровский Евгений  </t>
  </si>
  <si>
    <t xml:space="preserve">Бонокин Андрей  </t>
  </si>
  <si>
    <t xml:space="preserve">Бертрам Валерий  </t>
  </si>
  <si>
    <t xml:space="preserve">Соловьев Иван  </t>
  </si>
  <si>
    <t xml:space="preserve">Чесноков Анатолий </t>
  </si>
  <si>
    <t xml:space="preserve">125,0 </t>
  </si>
  <si>
    <t xml:space="preserve">Воронова Диана  </t>
  </si>
  <si>
    <t xml:space="preserve">Кузьмина Алена </t>
  </si>
  <si>
    <t xml:space="preserve">Ловцова Наталья </t>
  </si>
  <si>
    <t xml:space="preserve">Черкасова Наталья  </t>
  </si>
  <si>
    <t xml:space="preserve">Тихонов Евгений </t>
  </si>
  <si>
    <t xml:space="preserve">Секельчук Роман  </t>
  </si>
  <si>
    <t xml:space="preserve">Шумилов Никита  </t>
  </si>
  <si>
    <t xml:space="preserve">Брагин Алексей  </t>
  </si>
  <si>
    <t xml:space="preserve">Черноситов Юлий  </t>
  </si>
  <si>
    <t xml:space="preserve">Груздева Галина </t>
  </si>
  <si>
    <t xml:space="preserve">Смирнов Александр  </t>
  </si>
  <si>
    <t xml:space="preserve">Серов Александр  </t>
  </si>
  <si>
    <t xml:space="preserve">Невзоров Вячеслав </t>
  </si>
  <si>
    <t xml:space="preserve">Голубев Александр </t>
  </si>
  <si>
    <t xml:space="preserve">Санкт-Петербург/Ленинградская область </t>
  </si>
  <si>
    <t xml:space="preserve">Тюрина Ольга  </t>
  </si>
  <si>
    <t xml:space="preserve">Мышеловская Светлана  </t>
  </si>
  <si>
    <t xml:space="preserve">Кукин Дмитрий </t>
  </si>
  <si>
    <t xml:space="preserve">Самохвалов Никита </t>
  </si>
  <si>
    <t xml:space="preserve">Бондарев Александр  </t>
  </si>
  <si>
    <t xml:space="preserve">Алферов Евгений  </t>
  </si>
  <si>
    <t xml:space="preserve">Тихонов Евгений  </t>
  </si>
  <si>
    <t xml:space="preserve">Ольшанский Артем  </t>
  </si>
  <si>
    <t xml:space="preserve">Климантьев Владислав </t>
  </si>
  <si>
    <t xml:space="preserve">Седов Дмитрий  </t>
  </si>
  <si>
    <t xml:space="preserve">Айбабин Александр  </t>
  </si>
  <si>
    <t xml:space="preserve">Рыбаков Илья  </t>
  </si>
  <si>
    <t xml:space="preserve">Туликов Максим  </t>
  </si>
  <si>
    <t xml:space="preserve">Потехин Антон  </t>
  </si>
  <si>
    <t xml:space="preserve">Гирко Владислав </t>
  </si>
  <si>
    <t xml:space="preserve">Кочуков Сергей  </t>
  </si>
  <si>
    <t xml:space="preserve">Варивода Дмитрий  </t>
  </si>
  <si>
    <t xml:space="preserve">Попов Александр  </t>
  </si>
  <si>
    <t xml:space="preserve">Моисеев Евгений  </t>
  </si>
  <si>
    <t xml:space="preserve">Богданов Артем </t>
  </si>
  <si>
    <t xml:space="preserve">Силантьев Глеб </t>
  </si>
  <si>
    <t xml:space="preserve">Михайлюк Игорь  </t>
  </si>
  <si>
    <t xml:space="preserve">Горбачев Николай </t>
  </si>
  <si>
    <t xml:space="preserve">Жарков Дмитрий  </t>
  </si>
  <si>
    <t xml:space="preserve">Карпов Илья  </t>
  </si>
  <si>
    <t xml:space="preserve">Арсентьев Иван  </t>
  </si>
  <si>
    <t xml:space="preserve">110,0 </t>
  </si>
  <si>
    <t xml:space="preserve">67,5 </t>
  </si>
  <si>
    <t xml:space="preserve">Осипов Владимир </t>
  </si>
  <si>
    <t xml:space="preserve">Исмаилов Эльчин </t>
  </si>
  <si>
    <t xml:space="preserve">Минасян Артур  </t>
  </si>
  <si>
    <t xml:space="preserve">Роткин Станислав  </t>
  </si>
  <si>
    <t xml:space="preserve">Смирнов Александр </t>
  </si>
  <si>
    <t xml:space="preserve">Новиков Алексей  </t>
  </si>
  <si>
    <t xml:space="preserve">Голубев Александр  </t>
  </si>
  <si>
    <t xml:space="preserve">Филатов Василий  </t>
  </si>
  <si>
    <t xml:space="preserve">Соловьев Михаил </t>
  </si>
  <si>
    <t xml:space="preserve">Кузьмин Дмитрий </t>
  </si>
  <si>
    <t xml:space="preserve">Шаров Александр  </t>
  </si>
  <si>
    <t xml:space="preserve">Коротков Сергей  </t>
  </si>
  <si>
    <t xml:space="preserve">Назенцев Андрей  </t>
  </si>
  <si>
    <t xml:space="preserve">Уткин Валерий  </t>
  </si>
  <si>
    <t>1</t>
  </si>
  <si>
    <t>2</t>
  </si>
  <si>
    <t>3</t>
  </si>
  <si>
    <t xml:space="preserve">140,0 </t>
  </si>
  <si>
    <t>Всероссийский мастерский турнир "Стальной медведь"                                                                      Любители. Жим на максимум
г. Ярославль, 29 - 30 октября 2016 г.</t>
  </si>
  <si>
    <t xml:space="preserve">120,0 </t>
  </si>
  <si>
    <t>Рек.</t>
  </si>
  <si>
    <t>Всероссийский мастерский турнир "Стальной медведь"                                                                                 Присед в бинтах ДК
г. Ярославль, 29 - 30 октября 2016 г.</t>
  </si>
  <si>
    <t>Всероссийский мастерский турнир "Стальной медведь"                                                                                   Присед в бинтах 
г. Ярославль, 29 - 30 октября 2016 г.</t>
  </si>
  <si>
    <t>Всероссийский мастерский турнир "Стальной медведь"                                                                            Присед без экипировки ДК
г. Ярославль, 29 - 30 октября 2016 г.</t>
  </si>
  <si>
    <t>Всероссийский мастерский турнир "Стальной медведь"                                                                            Присед без экипировки 
г. Ярославль, 29 - 30 октября 2016 г.</t>
  </si>
  <si>
    <t>Всероссийский мастерский турнир "Стальной медведь"                                                                        Присед в однослойной экипировке ДК
г. Ярославль, 29 - 30 октября 2016 г.</t>
  </si>
  <si>
    <t>Всероссийский мастерский турнир "Стальной медведь"                                                                                             Силовое двоеборье без экипировки ДК
г. Ярославль, 29 - 30 октября 2016 г.</t>
  </si>
  <si>
    <t xml:space="preserve"> </t>
  </si>
  <si>
    <t>Всероссийский мастерский турнир "Стальной медведь"                                                                                                    Силовое двоеборье без экипировки  
г. Ярославль, 29 - 30 октября 2016 г.</t>
  </si>
  <si>
    <t>Всероссийский мастерский турнир "Стальной медведь"                                                                        Становая тяга в экипировке ДК
г. Ярославль, 29 - 30 октября 2016 г.</t>
  </si>
  <si>
    <t>Всероссийский мастерский турнир "Стальной медведь"                                                                                     Становая тяга без экипировки ДК
г. Ярославль, 29 - 30 октября 2016 г.</t>
  </si>
  <si>
    <t>Всероссийский мастерский турнир "Стальной медведь"                                                                                  Становая тяга без экипировки 
г. Ярославль, 29 - 30 октября 2016 г.</t>
  </si>
  <si>
    <t>Всероссийский мастерский турнир "Стальной медведь"                                                                                             Пауэрлифтинг в бинтах ДК
г. Ярославль, 29 - 30 октября 2016 г.</t>
  </si>
  <si>
    <t xml:space="preserve">  </t>
  </si>
  <si>
    <t>Всероссийский мастерский турнир "Стальной медведь"                                                                                                             Пауэрлифтинг в бинтах  
г. Ярославль, 29 - 30 октября 2016 г.</t>
  </si>
  <si>
    <t>Всероссийский мастерский турнир "Стальной медведь"                                                                                                     Пауэрлифтинг без экипировки ДК
г. Ярославль, 29 - 30 октября 2016 г.</t>
  </si>
  <si>
    <t>Всероссийский мастерский турнир "Стальной медведь"                                                                                                                                            Пауэрлифтинг без экипировки 
г. Ярославль, 29 - 30 октября 2016 г.</t>
  </si>
  <si>
    <t>Всероссийский мастерский турнир "Стальной медведь"                                                                                                     Пауэрлифтинг в однослойной экипировке ДК
г. Ярославль, 29 - 30 октября 2016 г.</t>
  </si>
  <si>
    <t>Всероссийский мастерский турнир "Стальной медведь"                                                                                Пауэрлифтинг в однослойной экипировке
г. Ярославль, 29 - 30 октября  2016 г.</t>
  </si>
  <si>
    <t>Всероссийский мастерский турнир "Стальной медведь"                                                                            Жим лежа в однослойной экипировке ДК
г. Ярославль, 29 - 30 октября 2016 г.</t>
  </si>
  <si>
    <t>Всероссийский мастерский турнир "Стальной медведь"                                                                             Жим лежа в однослойной экипировке
г. Ярославль, 29 - 30 октября 2016 г.</t>
  </si>
  <si>
    <t>Всероссийский мастерский турнир "Стальной медведь"                                                                                           Жим лежа без экипировки ДК
г. Ярославль, 29 - 30 октября 2016 г.</t>
  </si>
  <si>
    <t>Всероссийский мастерский турнир "Стальной медведь"                                                                                       Жим лежа без экипировки 
г. Ярославль, 29 - 30 октября 2016 г.</t>
  </si>
  <si>
    <t>Всероссийский мастерский турнир "Стальной медведь"                                                                                              Жимовое двоеборье. Военнный жим
г. Ярославль, 29 - 30 октября  2016 г.</t>
  </si>
  <si>
    <t>Всероссийский мастерский турнир "Стальной медведь"                                                                                Жимовое двоеборье. Профессионалы
г. Ярославль, 29 - 30  октября 2016 г.</t>
  </si>
  <si>
    <t>Всероссийский мастерский турнир "Стальной медведь"                                                                                                                                     Пауэрспорт
г. Ярославль, 29 - 30 октября 2016 г.</t>
  </si>
  <si>
    <t>Всероссийский мастерский турнир "Стальной медведь"                                                              Excalibur
г. Ярославль, 29 - 30 октября 2016 г.</t>
  </si>
  <si>
    <t>Всероссийский мастерский турнир "Стальной медведь"                                                             HUB
г. Ярославль, 29 - 30 октября 2016 г.</t>
  </si>
  <si>
    <t>Всероссийский мастерский турнир "Стальной медведь"                                                                      Apollon's Axle
г. Ярославль, 29 - 30 октября 2016 г.</t>
  </si>
  <si>
    <t>Всероссийский мастерский турнир "Стальной медведь"                                                                Rolling Thunder
г. Ярославль, 29 - 30 октября 2016 г.</t>
  </si>
  <si>
    <t xml:space="preserve">Сборная Иваново </t>
  </si>
  <si>
    <t xml:space="preserve">Москва/Московская область  </t>
  </si>
  <si>
    <t>Яролавль/Ярославская область</t>
  </si>
  <si>
    <t xml:space="preserve">Санкт-Петербург/Ленинградская область  </t>
  </si>
  <si>
    <t xml:space="preserve">Юрьев-Польский/Владимирская область </t>
  </si>
  <si>
    <t>Подъем на бицепс</t>
  </si>
  <si>
    <t>Всероссийский мастерский турнир "Стальной медведь"                                                                      Любители. Жим на максимум ДК
г. Ярославль, 29 - 30 октября 2016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</si>
</sst>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0.0000"/>
    <numFmt numFmtId="175" formatCode="000000"/>
    <numFmt numFmtId="176" formatCode="0.000"/>
  </numFmts>
  <fonts count="52">
    <font>
      <sz val="10"/>
      <name val="Arial Cyr"/>
      <family val="0"/>
    </font>
    <font>
      <sz val="24"/>
      <name val="Arial Cyr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strike/>
      <sz val="10"/>
      <name val="Arial Cyr"/>
      <family val="0"/>
    </font>
    <font>
      <sz val="14"/>
      <name val="Arial Cyr"/>
      <family val="0"/>
    </font>
    <font>
      <i/>
      <sz val="11"/>
      <name val="Arial Cyr"/>
      <family val="0"/>
    </font>
    <font>
      <b/>
      <strike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trike/>
      <sz val="10"/>
      <color indexed="10"/>
      <name val="Arial Cyr"/>
      <family val="0"/>
    </font>
    <font>
      <b/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trike/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41" fillId="0" borderId="7" applyNumberFormat="0" applyFill="0" applyAlignment="0" applyProtection="0"/>
    <xf numFmtId="0" fontId="42" fillId="29" borderId="8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49" fontId="0" fillId="0" borderId="0" xfId="0" applyNumberForma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11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left"/>
    </xf>
    <xf numFmtId="49" fontId="0" fillId="0" borderId="0" xfId="0" applyNumberFormat="1" applyAlignment="1">
      <alignment/>
    </xf>
    <xf numFmtId="49" fontId="0" fillId="0" borderId="11" xfId="0" applyNumberFormat="1" applyBorder="1" applyAlignment="1">
      <alignment/>
    </xf>
    <xf numFmtId="49" fontId="8" fillId="0" borderId="11" xfId="0" applyNumberFormat="1" applyFon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5" fillId="0" borderId="0" xfId="0" applyNumberFormat="1" applyFont="1" applyAlignment="1">
      <alignment horizontal="left"/>
    </xf>
    <xf numFmtId="49" fontId="9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Alignment="1">
      <alignment horizontal="left" indent="1"/>
    </xf>
    <xf numFmtId="49" fontId="10" fillId="0" borderId="0" xfId="0" applyNumberFormat="1" applyFont="1" applyAlignment="1">
      <alignment horizontal="left" indent="1"/>
    </xf>
    <xf numFmtId="49" fontId="10" fillId="0" borderId="0" xfId="0" applyNumberFormat="1" applyFont="1" applyAlignment="1">
      <alignment/>
    </xf>
    <xf numFmtId="49" fontId="3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49" fontId="2" fillId="33" borderId="11" xfId="0" applyNumberFormat="1" applyFont="1" applyFill="1" applyBorder="1" applyAlignment="1">
      <alignment/>
    </xf>
    <xf numFmtId="49" fontId="2" fillId="33" borderId="12" xfId="0" applyNumberFormat="1" applyFont="1" applyFill="1" applyBorder="1" applyAlignment="1">
      <alignment/>
    </xf>
    <xf numFmtId="49" fontId="2" fillId="33" borderId="13" xfId="0" applyNumberFormat="1" applyFont="1" applyFill="1" applyBorder="1" applyAlignment="1">
      <alignment/>
    </xf>
    <xf numFmtId="49" fontId="2" fillId="34" borderId="0" xfId="0" applyNumberFormat="1" applyFont="1" applyFill="1" applyAlignment="1">
      <alignment/>
    </xf>
    <xf numFmtId="49" fontId="2" fillId="33" borderId="11" xfId="0" applyNumberFormat="1" applyFont="1" applyFill="1" applyBorder="1" applyAlignment="1">
      <alignment horizontal="center"/>
    </xf>
    <xf numFmtId="49" fontId="0" fillId="0" borderId="11" xfId="0" applyNumberFormat="1" applyBorder="1" applyAlignment="1">
      <alignment horizontal="left" indent="1"/>
    </xf>
    <xf numFmtId="49" fontId="2" fillId="0" borderId="11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 indent="1"/>
    </xf>
    <xf numFmtId="49" fontId="2" fillId="0" borderId="0" xfId="0" applyNumberFormat="1" applyFont="1" applyBorder="1" applyAlignment="1">
      <alignment/>
    </xf>
    <xf numFmtId="49" fontId="0" fillId="0" borderId="0" xfId="0" applyNumberFormat="1" applyFont="1" applyAlignment="1">
      <alignment horizontal="left" indent="1"/>
    </xf>
    <xf numFmtId="49" fontId="0" fillId="0" borderId="11" xfId="0" applyNumberFormat="1" applyFont="1" applyBorder="1" applyAlignment="1">
      <alignment horizontal="left" indent="1"/>
    </xf>
    <xf numFmtId="49" fontId="7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left" indent="1"/>
    </xf>
    <xf numFmtId="49" fontId="1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indent="1"/>
    </xf>
    <xf numFmtId="49" fontId="2" fillId="0" borderId="1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0" fillId="0" borderId="11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49" fontId="50" fillId="0" borderId="11" xfId="0" applyNumberFormat="1" applyFont="1" applyBorder="1" applyAlignment="1">
      <alignment/>
    </xf>
    <xf numFmtId="49" fontId="11" fillId="0" borderId="11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49" fontId="50" fillId="0" borderId="11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49" fontId="50" fillId="34" borderId="11" xfId="0" applyNumberFormat="1" applyFont="1" applyFill="1" applyBorder="1" applyAlignment="1">
      <alignment/>
    </xf>
    <xf numFmtId="49" fontId="50" fillId="0" borderId="12" xfId="0" applyNumberFormat="1" applyFont="1" applyBorder="1" applyAlignment="1">
      <alignment/>
    </xf>
    <xf numFmtId="49" fontId="11" fillId="0" borderId="12" xfId="0" applyNumberFormat="1" applyFont="1" applyBorder="1" applyAlignment="1">
      <alignment/>
    </xf>
    <xf numFmtId="49" fontId="11" fillId="0" borderId="13" xfId="0" applyNumberFormat="1" applyFont="1" applyBorder="1" applyAlignment="1">
      <alignment/>
    </xf>
    <xf numFmtId="49" fontId="2" fillId="33" borderId="12" xfId="0" applyNumberFormat="1" applyFont="1" applyFill="1" applyBorder="1" applyAlignment="1">
      <alignment horizontal="center"/>
    </xf>
    <xf numFmtId="49" fontId="50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49" fontId="50" fillId="0" borderId="13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2" fillId="34" borderId="0" xfId="0" applyNumberFormat="1" applyFont="1" applyFill="1" applyAlignment="1">
      <alignment horizontal="center"/>
    </xf>
    <xf numFmtId="49" fontId="0" fillId="0" borderId="14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2" fillId="33" borderId="16" xfId="0" applyNumberFormat="1" applyFont="1" applyFill="1" applyBorder="1" applyAlignment="1">
      <alignment horizontal="center"/>
    </xf>
    <xf numFmtId="49" fontId="11" fillId="0" borderId="16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left" indent="1"/>
    </xf>
    <xf numFmtId="49" fontId="10" fillId="0" borderId="17" xfId="0" applyNumberFormat="1" applyFont="1" applyBorder="1" applyAlignment="1">
      <alignment/>
    </xf>
    <xf numFmtId="49" fontId="0" fillId="0" borderId="17" xfId="0" applyNumberFormat="1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49" fontId="2" fillId="33" borderId="16" xfId="0" applyNumberFormat="1" applyFont="1" applyFill="1" applyBorder="1" applyAlignment="1">
      <alignment/>
    </xf>
    <xf numFmtId="49" fontId="11" fillId="0" borderId="16" xfId="0" applyNumberFormat="1" applyFont="1" applyBorder="1" applyAlignment="1">
      <alignment/>
    </xf>
    <xf numFmtId="49" fontId="50" fillId="0" borderId="16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172" fontId="2" fillId="0" borderId="11" xfId="0" applyNumberFormat="1" applyFont="1" applyBorder="1" applyAlignment="1">
      <alignment horizontal="center"/>
    </xf>
    <xf numFmtId="172" fontId="2" fillId="0" borderId="0" xfId="0" applyNumberFormat="1" applyFont="1" applyAlignment="1">
      <alignment horizontal="center"/>
    </xf>
    <xf numFmtId="172" fontId="2" fillId="0" borderId="12" xfId="0" applyNumberFormat="1" applyFont="1" applyBorder="1" applyAlignment="1">
      <alignment horizontal="center"/>
    </xf>
    <xf numFmtId="172" fontId="2" fillId="0" borderId="13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50" fillId="0" borderId="11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left" indent="1"/>
    </xf>
    <xf numFmtId="49" fontId="0" fillId="0" borderId="0" xfId="0" applyNumberFormat="1" applyFont="1" applyFill="1" applyBorder="1" applyAlignment="1">
      <alignment horizontal="left" indent="1"/>
    </xf>
    <xf numFmtId="0" fontId="0" fillId="0" borderId="0" xfId="0" applyAlignment="1">
      <alignment horizontal="left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172" fontId="3" fillId="0" borderId="26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50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0" fillId="0" borderId="31" xfId="0" applyNumberFormat="1" applyBorder="1" applyAlignment="1">
      <alignment/>
    </xf>
    <xf numFmtId="49" fontId="0" fillId="0" borderId="32" xfId="0" applyNumberFormat="1" applyBorder="1" applyAlignment="1">
      <alignment/>
    </xf>
    <xf numFmtId="49" fontId="2" fillId="33" borderId="32" xfId="0" applyNumberFormat="1" applyFont="1" applyFill="1" applyBorder="1" applyAlignment="1">
      <alignment horizontal="center"/>
    </xf>
    <xf numFmtId="49" fontId="8" fillId="0" borderId="32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0" fillId="0" borderId="33" xfId="0" applyNumberFormat="1" applyBorder="1" applyAlignment="1">
      <alignment/>
    </xf>
    <xf numFmtId="49" fontId="0" fillId="0" borderId="34" xfId="0" applyNumberFormat="1" applyBorder="1" applyAlignment="1">
      <alignment/>
    </xf>
    <xf numFmtId="49" fontId="0" fillId="0" borderId="35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2" fillId="33" borderId="17" xfId="0" applyNumberFormat="1" applyFont="1" applyFill="1" applyBorder="1" applyAlignment="1">
      <alignment horizontal="center"/>
    </xf>
    <xf numFmtId="49" fontId="50" fillId="0" borderId="17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50" fillId="0" borderId="16" xfId="0" applyNumberFormat="1" applyFont="1" applyBorder="1" applyAlignment="1">
      <alignment horizontal="center"/>
    </xf>
    <xf numFmtId="49" fontId="4" fillId="0" borderId="13" xfId="0" applyNumberFormat="1" applyFont="1" applyFill="1" applyBorder="1" applyAlignment="1">
      <alignment horizontal="center" vertical="center"/>
    </xf>
    <xf numFmtId="49" fontId="2" fillId="33" borderId="32" xfId="0" applyNumberFormat="1" applyFont="1" applyFill="1" applyBorder="1" applyAlignment="1">
      <alignment/>
    </xf>
    <xf numFmtId="49" fontId="50" fillId="0" borderId="32" xfId="0" applyNumberFormat="1" applyFont="1" applyBorder="1" applyAlignment="1">
      <alignment/>
    </xf>
    <xf numFmtId="49" fontId="2" fillId="33" borderId="17" xfId="0" applyNumberFormat="1" applyFont="1" applyFill="1" applyBorder="1" applyAlignment="1">
      <alignment/>
    </xf>
    <xf numFmtId="49" fontId="50" fillId="0" borderId="17" xfId="0" applyNumberFormat="1" applyFont="1" applyBorder="1" applyAlignment="1">
      <alignment/>
    </xf>
    <xf numFmtId="49" fontId="50" fillId="0" borderId="13" xfId="0" applyNumberFormat="1" applyFont="1" applyBorder="1" applyAlignment="1">
      <alignment/>
    </xf>
    <xf numFmtId="49" fontId="11" fillId="0" borderId="32" xfId="0" applyNumberFormat="1" applyFont="1" applyBorder="1" applyAlignment="1">
      <alignment horizontal="center"/>
    </xf>
    <xf numFmtId="49" fontId="50" fillId="0" borderId="32" xfId="0" applyNumberFormat="1" applyFont="1" applyBorder="1" applyAlignment="1">
      <alignment horizontal="center"/>
    </xf>
    <xf numFmtId="172" fontId="2" fillId="0" borderId="32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172" fontId="2" fillId="0" borderId="17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49" fontId="4" fillId="0" borderId="11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 horizontal="left" indent="1"/>
    </xf>
    <xf numFmtId="49" fontId="10" fillId="0" borderId="0" xfId="0" applyNumberFormat="1" applyFont="1" applyFill="1" applyBorder="1" applyAlignment="1">
      <alignment/>
    </xf>
    <xf numFmtId="49" fontId="3" fillId="0" borderId="11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36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/>
    </xf>
    <xf numFmtId="49" fontId="50" fillId="0" borderId="0" xfId="0" applyNumberFormat="1" applyFont="1" applyFill="1" applyBorder="1" applyAlignment="1">
      <alignment horizontal="center"/>
    </xf>
    <xf numFmtId="49" fontId="0" fillId="0" borderId="31" xfId="0" applyNumberFormat="1" applyFont="1" applyFill="1" applyBorder="1" applyAlignment="1">
      <alignment horizontal="left"/>
    </xf>
    <xf numFmtId="49" fontId="0" fillId="0" borderId="32" xfId="0" applyNumberFormat="1" applyFill="1" applyBorder="1" applyAlignment="1">
      <alignment horizontal="center"/>
    </xf>
    <xf numFmtId="49" fontId="0" fillId="0" borderId="32" xfId="0" applyNumberFormat="1" applyFill="1" applyBorder="1" applyAlignment="1">
      <alignment horizontal="left"/>
    </xf>
    <xf numFmtId="49" fontId="11" fillId="0" borderId="32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49" fontId="0" fillId="0" borderId="33" xfId="0" applyNumberFormat="1" applyFill="1" applyBorder="1" applyAlignment="1">
      <alignment horizontal="left"/>
    </xf>
    <xf numFmtId="49" fontId="0" fillId="0" borderId="34" xfId="0" applyNumberFormat="1" applyFont="1" applyFill="1" applyBorder="1" applyAlignment="1">
      <alignment horizontal="left"/>
    </xf>
    <xf numFmtId="49" fontId="0" fillId="0" borderId="35" xfId="0" applyNumberForma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left"/>
    </xf>
    <xf numFmtId="49" fontId="0" fillId="0" borderId="17" xfId="0" applyNumberFormat="1" applyFill="1" applyBorder="1" applyAlignment="1">
      <alignment horizontal="center"/>
    </xf>
    <xf numFmtId="49" fontId="0" fillId="0" borderId="17" xfId="0" applyNumberFormat="1" applyFill="1" applyBorder="1" applyAlignment="1">
      <alignment horizontal="left"/>
    </xf>
    <xf numFmtId="49" fontId="11" fillId="0" borderId="17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0" fillId="0" borderId="15" xfId="0" applyNumberFormat="1" applyFill="1" applyBorder="1" applyAlignment="1">
      <alignment horizontal="left"/>
    </xf>
    <xf numFmtId="49" fontId="0" fillId="0" borderId="12" xfId="0" applyNumberFormat="1" applyFill="1" applyBorder="1" applyAlignment="1">
      <alignment/>
    </xf>
    <xf numFmtId="49" fontId="0" fillId="0" borderId="16" xfId="0" applyNumberFormat="1" applyFill="1" applyBorder="1" applyAlignment="1">
      <alignment/>
    </xf>
    <xf numFmtId="49" fontId="0" fillId="0" borderId="13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center"/>
    </xf>
    <xf numFmtId="49" fontId="0" fillId="0" borderId="16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left"/>
    </xf>
    <xf numFmtId="49" fontId="0" fillId="0" borderId="16" xfId="0" applyNumberFormat="1" applyFill="1" applyBorder="1" applyAlignment="1">
      <alignment horizontal="left"/>
    </xf>
    <xf numFmtId="49" fontId="0" fillId="0" borderId="13" xfId="0" applyNumberFormat="1" applyFill="1" applyBorder="1" applyAlignment="1">
      <alignment horizontal="left"/>
    </xf>
    <xf numFmtId="49" fontId="11" fillId="0" borderId="13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50" fillId="0" borderId="32" xfId="0" applyNumberFormat="1" applyFont="1" applyFill="1" applyBorder="1" applyAlignment="1">
      <alignment horizontal="center"/>
    </xf>
    <xf numFmtId="49" fontId="50" fillId="0" borderId="17" xfId="0" applyNumberFormat="1" applyFont="1" applyFill="1" applyBorder="1" applyAlignment="1">
      <alignment horizontal="center"/>
    </xf>
    <xf numFmtId="49" fontId="50" fillId="0" borderId="13" xfId="0" applyNumberFormat="1" applyFont="1" applyFill="1" applyBorder="1" applyAlignment="1">
      <alignment horizontal="center"/>
    </xf>
    <xf numFmtId="49" fontId="50" fillId="0" borderId="12" xfId="0" applyNumberFormat="1" applyFont="1" applyFill="1" applyBorder="1" applyAlignment="1">
      <alignment horizontal="center"/>
    </xf>
    <xf numFmtId="49" fontId="50" fillId="0" borderId="16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49" fontId="51" fillId="0" borderId="32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workbookViewId="0" topLeftCell="A1">
      <selection activeCell="U12" sqref="U12:U13"/>
    </sheetView>
  </sheetViews>
  <sheetFormatPr defaultColWidth="8.75390625" defaultRowHeight="12.75"/>
  <cols>
    <col min="1" max="1" width="9.125" style="57" customWidth="1"/>
    <col min="2" max="2" width="24.375" style="8" customWidth="1"/>
    <col min="3" max="3" width="26.00390625" style="8" bestFit="1" customWidth="1"/>
    <col min="4" max="4" width="10.625" style="8" bestFit="1" customWidth="1"/>
    <col min="5" max="5" width="8.375" style="8" bestFit="1" customWidth="1"/>
    <col min="6" max="6" width="15.375" style="8" customWidth="1"/>
    <col min="7" max="7" width="27.25390625" style="8" customWidth="1"/>
    <col min="8" max="10" width="5.625" style="48" bestFit="1" customWidth="1"/>
    <col min="11" max="11" width="4.625" style="48" bestFit="1" customWidth="1"/>
    <col min="12" max="14" width="5.625" style="48" bestFit="1" customWidth="1"/>
    <col min="15" max="15" width="4.625" style="48" bestFit="1" customWidth="1"/>
    <col min="16" max="18" width="5.625" style="48" bestFit="1" customWidth="1"/>
    <col min="19" max="19" width="4.625" style="48" bestFit="1" customWidth="1"/>
    <col min="20" max="20" width="7.875" style="89" bestFit="1" customWidth="1"/>
    <col min="21" max="21" width="8.625" style="48" bestFit="1" customWidth="1"/>
    <col min="22" max="22" width="15.375" style="8" bestFit="1" customWidth="1"/>
  </cols>
  <sheetData>
    <row r="1" spans="1:22" s="1" customFormat="1" ht="15" customHeight="1">
      <c r="A1" s="50"/>
      <c r="B1" s="104" t="s">
        <v>628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6"/>
    </row>
    <row r="2" spans="1:22" s="1" customFormat="1" ht="84.75" customHeight="1" thickBot="1">
      <c r="A2" s="50"/>
      <c r="B2" s="107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9"/>
    </row>
    <row r="3" spans="1:22" s="2" customFormat="1" ht="12.75" customHeight="1">
      <c r="A3" s="101" t="s">
        <v>507</v>
      </c>
      <c r="B3" s="110" t="s">
        <v>0</v>
      </c>
      <c r="C3" s="112" t="s">
        <v>508</v>
      </c>
      <c r="D3" s="112" t="s">
        <v>509</v>
      </c>
      <c r="E3" s="110" t="s">
        <v>9</v>
      </c>
      <c r="F3" s="110" t="s">
        <v>7</v>
      </c>
      <c r="G3" s="114" t="s">
        <v>510</v>
      </c>
      <c r="H3" s="110" t="s">
        <v>1</v>
      </c>
      <c r="I3" s="110"/>
      <c r="J3" s="110"/>
      <c r="K3" s="110"/>
      <c r="L3" s="110" t="s">
        <v>2</v>
      </c>
      <c r="M3" s="110"/>
      <c r="N3" s="110"/>
      <c r="O3" s="110"/>
      <c r="P3" s="110" t="s">
        <v>3</v>
      </c>
      <c r="Q3" s="110"/>
      <c r="R3" s="110"/>
      <c r="S3" s="110"/>
      <c r="T3" s="121" t="s">
        <v>4</v>
      </c>
      <c r="U3" s="110" t="s">
        <v>6</v>
      </c>
      <c r="V3" s="116" t="s">
        <v>5</v>
      </c>
    </row>
    <row r="4" spans="1:22" s="2" customFormat="1" ht="21" customHeight="1" thickBot="1">
      <c r="A4" s="102"/>
      <c r="B4" s="111"/>
      <c r="C4" s="111"/>
      <c r="D4" s="113"/>
      <c r="E4" s="111"/>
      <c r="F4" s="111"/>
      <c r="G4" s="115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3">
        <v>1</v>
      </c>
      <c r="Q4" s="3">
        <v>2</v>
      </c>
      <c r="R4" s="3">
        <v>3</v>
      </c>
      <c r="S4" s="3" t="s">
        <v>8</v>
      </c>
      <c r="T4" s="122"/>
      <c r="U4" s="111"/>
      <c r="V4" s="117"/>
    </row>
    <row r="5" spans="2:21" ht="15.75">
      <c r="B5" s="118" t="s">
        <v>19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2" ht="12.75">
      <c r="A6" s="57">
        <v>1</v>
      </c>
      <c r="B6" s="9" t="s">
        <v>558</v>
      </c>
      <c r="C6" s="9" t="s">
        <v>274</v>
      </c>
      <c r="D6" s="9" t="s">
        <v>275</v>
      </c>
      <c r="E6" s="9" t="str">
        <f>"1,0503"</f>
        <v>1,0503</v>
      </c>
      <c r="F6" s="9" t="s">
        <v>14</v>
      </c>
      <c r="G6" s="9" t="s">
        <v>15</v>
      </c>
      <c r="H6" s="25" t="s">
        <v>276</v>
      </c>
      <c r="I6" s="25" t="s">
        <v>162</v>
      </c>
      <c r="J6" s="25" t="s">
        <v>141</v>
      </c>
      <c r="K6" s="60"/>
      <c r="L6" s="25" t="s">
        <v>155</v>
      </c>
      <c r="M6" s="59" t="s">
        <v>277</v>
      </c>
      <c r="N6" s="25" t="s">
        <v>277</v>
      </c>
      <c r="O6" s="60"/>
      <c r="P6" s="25" t="s">
        <v>141</v>
      </c>
      <c r="Q6" s="25" t="s">
        <v>170</v>
      </c>
      <c r="R6" s="25" t="s">
        <v>171</v>
      </c>
      <c r="S6" s="60"/>
      <c r="T6" s="88">
        <v>220</v>
      </c>
      <c r="U6" s="44" t="str">
        <f>"231,0660"</f>
        <v>231,0660</v>
      </c>
      <c r="V6" s="9" t="s">
        <v>278</v>
      </c>
    </row>
    <row r="8" spans="2:21" ht="15.75">
      <c r="B8" s="103" t="s">
        <v>27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</row>
    <row r="9" spans="1:22" ht="12.75">
      <c r="A9" s="57">
        <v>1</v>
      </c>
      <c r="B9" s="9" t="s">
        <v>536</v>
      </c>
      <c r="C9" s="9" t="s">
        <v>279</v>
      </c>
      <c r="D9" s="9" t="s">
        <v>280</v>
      </c>
      <c r="E9" s="9" t="str">
        <f>"0,6764"</f>
        <v>0,6764</v>
      </c>
      <c r="F9" s="9" t="s">
        <v>38</v>
      </c>
      <c r="G9" s="9" t="s">
        <v>61</v>
      </c>
      <c r="H9" s="25" t="s">
        <v>104</v>
      </c>
      <c r="I9" s="25" t="s">
        <v>76</v>
      </c>
      <c r="J9" s="25" t="s">
        <v>117</v>
      </c>
      <c r="K9" s="60"/>
      <c r="L9" s="25" t="s">
        <v>58</v>
      </c>
      <c r="M9" s="25" t="s">
        <v>183</v>
      </c>
      <c r="N9" s="25" t="s">
        <v>32</v>
      </c>
      <c r="O9" s="60"/>
      <c r="P9" s="59" t="s">
        <v>113</v>
      </c>
      <c r="Q9" s="25" t="s">
        <v>271</v>
      </c>
      <c r="R9" s="59" t="s">
        <v>273</v>
      </c>
      <c r="S9" s="60"/>
      <c r="T9" s="88">
        <v>585</v>
      </c>
      <c r="U9" s="44" t="str">
        <f>"395,6940"</f>
        <v>395,6940</v>
      </c>
      <c r="V9" s="9" t="s">
        <v>177</v>
      </c>
    </row>
    <row r="11" spans="2:21" ht="15.75">
      <c r="B11" s="103" t="s">
        <v>45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</row>
    <row r="12" spans="1:22" ht="12.75">
      <c r="A12" s="57">
        <v>1</v>
      </c>
      <c r="B12" s="137" t="s">
        <v>559</v>
      </c>
      <c r="C12" s="11" t="s">
        <v>53</v>
      </c>
      <c r="D12" s="138" t="s">
        <v>47</v>
      </c>
      <c r="E12" s="11" t="str">
        <f>"0,6406"</f>
        <v>0,6406</v>
      </c>
      <c r="F12" s="138" t="s">
        <v>38</v>
      </c>
      <c r="G12" s="11" t="s">
        <v>54</v>
      </c>
      <c r="H12" s="139" t="s">
        <v>117</v>
      </c>
      <c r="I12" s="66" t="s">
        <v>113</v>
      </c>
      <c r="J12" s="159" t="s">
        <v>271</v>
      </c>
      <c r="K12" s="68"/>
      <c r="L12" s="139" t="s">
        <v>48</v>
      </c>
      <c r="M12" s="66" t="s">
        <v>281</v>
      </c>
      <c r="N12" s="139" t="s">
        <v>55</v>
      </c>
      <c r="O12" s="68"/>
      <c r="P12" s="139" t="s">
        <v>272</v>
      </c>
      <c r="Q12" s="67" t="s">
        <v>273</v>
      </c>
      <c r="R12" s="139" t="s">
        <v>273</v>
      </c>
      <c r="S12" s="68"/>
      <c r="T12" s="160">
        <v>647.5</v>
      </c>
      <c r="U12" s="46" t="str">
        <f>"414,7885"</f>
        <v>414,7885</v>
      </c>
      <c r="V12" s="142" t="s">
        <v>396</v>
      </c>
    </row>
    <row r="13" spans="1:22" ht="12.75">
      <c r="A13" s="57">
        <v>2</v>
      </c>
      <c r="B13" s="73" t="s">
        <v>560</v>
      </c>
      <c r="C13" s="12" t="s">
        <v>282</v>
      </c>
      <c r="D13" s="145" t="s">
        <v>283</v>
      </c>
      <c r="E13" s="12" t="str">
        <f>"0,6499"</f>
        <v>0,6499</v>
      </c>
      <c r="F13" s="145" t="s">
        <v>22</v>
      </c>
      <c r="G13" s="12" t="s">
        <v>61</v>
      </c>
      <c r="H13" s="147" t="s">
        <v>83</v>
      </c>
      <c r="I13" s="70" t="s">
        <v>83</v>
      </c>
      <c r="J13" s="146" t="s">
        <v>83</v>
      </c>
      <c r="K13" s="71"/>
      <c r="L13" s="146" t="s">
        <v>284</v>
      </c>
      <c r="M13" s="69" t="s">
        <v>197</v>
      </c>
      <c r="N13" s="147" t="s">
        <v>232</v>
      </c>
      <c r="O13" s="71"/>
      <c r="P13" s="146" t="s">
        <v>48</v>
      </c>
      <c r="Q13" s="69" t="s">
        <v>83</v>
      </c>
      <c r="R13" s="161"/>
      <c r="S13" s="71"/>
      <c r="T13" s="162">
        <v>482.5</v>
      </c>
      <c r="U13" s="47" t="str">
        <f>"313,5768"</f>
        <v>313,5768</v>
      </c>
      <c r="V13" s="74" t="s">
        <v>177</v>
      </c>
    </row>
    <row r="15" spans="2:21" ht="15.75">
      <c r="B15" s="103" t="s">
        <v>66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</row>
    <row r="16" spans="1:22" ht="12.75">
      <c r="A16" s="57">
        <v>1</v>
      </c>
      <c r="B16" s="9" t="s">
        <v>561</v>
      </c>
      <c r="C16" s="9" t="s">
        <v>285</v>
      </c>
      <c r="D16" s="9" t="s">
        <v>286</v>
      </c>
      <c r="E16" s="9" t="str">
        <f>"0,5992"</f>
        <v>0,5992</v>
      </c>
      <c r="F16" s="9" t="s">
        <v>22</v>
      </c>
      <c r="G16" s="9" t="s">
        <v>211</v>
      </c>
      <c r="H16" s="25" t="s">
        <v>114</v>
      </c>
      <c r="I16" s="25" t="s">
        <v>287</v>
      </c>
      <c r="J16" s="25" t="s">
        <v>288</v>
      </c>
      <c r="K16" s="60"/>
      <c r="L16" s="25" t="s">
        <v>33</v>
      </c>
      <c r="M16" s="25" t="s">
        <v>90</v>
      </c>
      <c r="N16" s="25" t="s">
        <v>289</v>
      </c>
      <c r="O16" s="60"/>
      <c r="P16" s="25" t="s">
        <v>99</v>
      </c>
      <c r="Q16" s="25" t="s">
        <v>290</v>
      </c>
      <c r="R16" s="25" t="s">
        <v>291</v>
      </c>
      <c r="S16" s="60"/>
      <c r="T16" s="88">
        <v>707.5</v>
      </c>
      <c r="U16" s="44" t="str">
        <f>"423,9340"</f>
        <v>423,9340</v>
      </c>
      <c r="V16" s="9" t="s">
        <v>177</v>
      </c>
    </row>
    <row r="18" ht="15.75">
      <c r="F18" s="13"/>
    </row>
    <row r="19" ht="15.75">
      <c r="F19" s="13"/>
    </row>
    <row r="20" ht="15.75">
      <c r="F20" s="13"/>
    </row>
    <row r="21" ht="15.75">
      <c r="F21" s="13"/>
    </row>
    <row r="22" ht="15.75">
      <c r="F22" s="13"/>
    </row>
    <row r="23" ht="15.75">
      <c r="F23" s="13"/>
    </row>
    <row r="24" ht="15.75">
      <c r="F24" s="13"/>
    </row>
  </sheetData>
  <sheetProtection/>
  <mergeCells count="18">
    <mergeCell ref="B1:V2"/>
    <mergeCell ref="B3:B4"/>
    <mergeCell ref="C3:C4"/>
    <mergeCell ref="D3:D4"/>
    <mergeCell ref="E3:E4"/>
    <mergeCell ref="F3:F4"/>
    <mergeCell ref="G3:G4"/>
    <mergeCell ref="H3:K3"/>
    <mergeCell ref="L3:O3"/>
    <mergeCell ref="P3:S3"/>
    <mergeCell ref="A3:A4"/>
    <mergeCell ref="B15:U15"/>
    <mergeCell ref="T3:T4"/>
    <mergeCell ref="U3:U4"/>
    <mergeCell ref="V3:V4"/>
    <mergeCell ref="B5:U5"/>
    <mergeCell ref="B8:U8"/>
    <mergeCell ref="B11:U11"/>
  </mergeCells>
  <printOptions/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A1">
      <selection activeCell="N12" sqref="N12:N16"/>
    </sheetView>
  </sheetViews>
  <sheetFormatPr defaultColWidth="8.75390625" defaultRowHeight="12.75"/>
  <cols>
    <col min="1" max="1" width="9.125" style="57" customWidth="1"/>
    <col min="2" max="2" width="21.875" style="8" customWidth="1"/>
    <col min="3" max="3" width="26.875" style="8" bestFit="1" customWidth="1"/>
    <col min="4" max="4" width="10.625" style="8" bestFit="1" customWidth="1"/>
    <col min="5" max="5" width="8.375" style="8" bestFit="1" customWidth="1"/>
    <col min="6" max="6" width="20.125" style="8" customWidth="1"/>
    <col min="7" max="7" width="25.75390625" style="8" customWidth="1"/>
    <col min="8" max="10" width="5.625" style="45" bestFit="1" customWidth="1"/>
    <col min="11" max="11" width="4.625" style="45" bestFit="1" customWidth="1"/>
    <col min="12" max="12" width="10.75390625" style="45" customWidth="1"/>
    <col min="13" max="13" width="8.625" style="48" bestFit="1" customWidth="1"/>
    <col min="14" max="14" width="18.00390625" style="8" customWidth="1"/>
  </cols>
  <sheetData>
    <row r="1" spans="1:14" s="1" customFormat="1" ht="15" customHeight="1">
      <c r="A1" s="50"/>
      <c r="B1" s="104" t="s">
        <v>614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spans="1:14" s="1" customFormat="1" ht="84.75" customHeight="1" thickBot="1">
      <c r="A2" s="50"/>
      <c r="B2" s="107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</row>
    <row r="3" spans="1:14" s="2" customFormat="1" ht="12.75" customHeight="1">
      <c r="A3" s="101" t="s">
        <v>507</v>
      </c>
      <c r="B3" s="110" t="s">
        <v>0</v>
      </c>
      <c r="C3" s="112" t="s">
        <v>508</v>
      </c>
      <c r="D3" s="112" t="s">
        <v>509</v>
      </c>
      <c r="E3" s="110" t="s">
        <v>9</v>
      </c>
      <c r="F3" s="110" t="s">
        <v>7</v>
      </c>
      <c r="G3" s="114" t="s">
        <v>510</v>
      </c>
      <c r="H3" s="110" t="s">
        <v>1</v>
      </c>
      <c r="I3" s="110"/>
      <c r="J3" s="110"/>
      <c r="K3" s="110"/>
      <c r="L3" s="110" t="s">
        <v>506</v>
      </c>
      <c r="M3" s="110" t="s">
        <v>6</v>
      </c>
      <c r="N3" s="116" t="s">
        <v>5</v>
      </c>
    </row>
    <row r="4" spans="1:14" s="2" customFormat="1" ht="21" customHeight="1" thickBot="1">
      <c r="A4" s="102"/>
      <c r="B4" s="111"/>
      <c r="C4" s="111"/>
      <c r="D4" s="113"/>
      <c r="E4" s="111"/>
      <c r="F4" s="111"/>
      <c r="G4" s="115"/>
      <c r="H4" s="3">
        <v>1</v>
      </c>
      <c r="I4" s="3">
        <v>2</v>
      </c>
      <c r="J4" s="3">
        <v>3</v>
      </c>
      <c r="K4" s="3" t="s">
        <v>8</v>
      </c>
      <c r="L4" s="111"/>
      <c r="M4" s="111"/>
      <c r="N4" s="117"/>
    </row>
    <row r="5" spans="2:13" ht="15.75">
      <c r="B5" s="118" t="s">
        <v>10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</row>
    <row r="6" spans="1:14" ht="12.75">
      <c r="A6" s="57">
        <v>1</v>
      </c>
      <c r="B6" s="9" t="s">
        <v>11</v>
      </c>
      <c r="C6" s="9" t="s">
        <v>12</v>
      </c>
      <c r="D6" s="9" t="s">
        <v>13</v>
      </c>
      <c r="E6" s="9" t="str">
        <f>"1,1221"</f>
        <v>1,1221</v>
      </c>
      <c r="F6" s="9" t="s">
        <v>14</v>
      </c>
      <c r="G6" s="9" t="s">
        <v>15</v>
      </c>
      <c r="H6" s="25" t="s">
        <v>136</v>
      </c>
      <c r="I6" s="25" t="s">
        <v>161</v>
      </c>
      <c r="J6" s="25" t="s">
        <v>399</v>
      </c>
      <c r="K6" s="56"/>
      <c r="L6" s="44">
        <v>72.5</v>
      </c>
      <c r="M6" s="44" t="str">
        <f>"81,3522"</f>
        <v>81,3522</v>
      </c>
      <c r="N6" s="9" t="s">
        <v>177</v>
      </c>
    </row>
    <row r="8" spans="2:13" ht="15.75">
      <c r="B8" s="103" t="s">
        <v>45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</row>
    <row r="9" spans="1:14" ht="12.75">
      <c r="A9" s="57">
        <v>1</v>
      </c>
      <c r="B9" s="9" t="s">
        <v>514</v>
      </c>
      <c r="C9" s="9" t="s">
        <v>56</v>
      </c>
      <c r="D9" s="9" t="s">
        <v>57</v>
      </c>
      <c r="E9" s="9" t="str">
        <f>"0,6557"</f>
        <v>0,6557</v>
      </c>
      <c r="F9" s="9" t="s">
        <v>14</v>
      </c>
      <c r="G9" s="9" t="s">
        <v>15</v>
      </c>
      <c r="H9" s="25" t="s">
        <v>34</v>
      </c>
      <c r="I9" s="25" t="s">
        <v>83</v>
      </c>
      <c r="J9" s="25" t="s">
        <v>117</v>
      </c>
      <c r="K9" s="56"/>
      <c r="L9" s="44" t="s">
        <v>117</v>
      </c>
      <c r="M9" s="44" t="str">
        <f>"137,6970"</f>
        <v>137,6970</v>
      </c>
      <c r="N9" s="9" t="s">
        <v>177</v>
      </c>
    </row>
    <row r="11" spans="2:13" ht="15.75">
      <c r="B11" s="103" t="s">
        <v>63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</row>
    <row r="12" spans="1:14" ht="12.75">
      <c r="A12" s="57">
        <v>1</v>
      </c>
      <c r="B12" s="137" t="s">
        <v>515</v>
      </c>
      <c r="C12" s="11" t="s">
        <v>336</v>
      </c>
      <c r="D12" s="11" t="s">
        <v>337</v>
      </c>
      <c r="E12" s="138" t="str">
        <f>"0,6200"</f>
        <v>0,6200</v>
      </c>
      <c r="F12" s="11" t="s">
        <v>22</v>
      </c>
      <c r="G12" s="138" t="s">
        <v>80</v>
      </c>
      <c r="H12" s="66" t="s">
        <v>339</v>
      </c>
      <c r="I12" s="140"/>
      <c r="J12" s="150"/>
      <c r="K12" s="140"/>
      <c r="L12" s="46" t="s">
        <v>339</v>
      </c>
      <c r="M12" s="141" t="str">
        <f>"176,7000"</f>
        <v>176,7000</v>
      </c>
      <c r="N12" s="11" t="s">
        <v>340</v>
      </c>
    </row>
    <row r="13" spans="1:14" ht="12.75">
      <c r="A13" s="57">
        <v>2</v>
      </c>
      <c r="B13" s="143" t="s">
        <v>516</v>
      </c>
      <c r="C13" s="75" t="s">
        <v>400</v>
      </c>
      <c r="D13" s="75" t="s">
        <v>401</v>
      </c>
      <c r="E13" s="31" t="str">
        <f>"0,6150"</f>
        <v>0,6150</v>
      </c>
      <c r="F13" s="75" t="s">
        <v>642</v>
      </c>
      <c r="G13" s="31" t="s">
        <v>15</v>
      </c>
      <c r="H13" s="76" t="s">
        <v>114</v>
      </c>
      <c r="I13" s="132" t="s">
        <v>272</v>
      </c>
      <c r="J13" s="151" t="s">
        <v>325</v>
      </c>
      <c r="K13" s="133"/>
      <c r="L13" s="78" t="s">
        <v>272</v>
      </c>
      <c r="M13" s="134" t="str">
        <f>"144,5250"</f>
        <v>144,5250</v>
      </c>
      <c r="N13" s="75" t="s">
        <v>177</v>
      </c>
    </row>
    <row r="14" spans="1:14" ht="12.75">
      <c r="A14" s="57">
        <v>3</v>
      </c>
      <c r="B14" s="143" t="s">
        <v>517</v>
      </c>
      <c r="C14" s="75" t="s">
        <v>341</v>
      </c>
      <c r="D14" s="75" t="s">
        <v>223</v>
      </c>
      <c r="E14" s="31" t="str">
        <f>"0,6086"</f>
        <v>0,6086</v>
      </c>
      <c r="F14" s="75" t="s">
        <v>14</v>
      </c>
      <c r="G14" s="31" t="s">
        <v>15</v>
      </c>
      <c r="H14" s="76" t="s">
        <v>264</v>
      </c>
      <c r="I14" s="132" t="s">
        <v>264</v>
      </c>
      <c r="J14" s="77"/>
      <c r="K14" s="133"/>
      <c r="L14" s="78" t="s">
        <v>264</v>
      </c>
      <c r="M14" s="134" t="str">
        <f>"130,8490"</f>
        <v>130,8490</v>
      </c>
      <c r="N14" s="75" t="s">
        <v>419</v>
      </c>
    </row>
    <row r="15" spans="1:14" ht="12.75">
      <c r="A15" s="57">
        <v>1</v>
      </c>
      <c r="B15" s="143" t="s">
        <v>518</v>
      </c>
      <c r="C15" s="75" t="s">
        <v>402</v>
      </c>
      <c r="D15" s="75" t="s">
        <v>403</v>
      </c>
      <c r="E15" s="31" t="str">
        <f>"0,6142"</f>
        <v>0,6142</v>
      </c>
      <c r="F15" s="75" t="s">
        <v>38</v>
      </c>
      <c r="G15" s="31" t="s">
        <v>61</v>
      </c>
      <c r="H15" s="76" t="s">
        <v>117</v>
      </c>
      <c r="I15" s="135" t="s">
        <v>113</v>
      </c>
      <c r="J15" s="151" t="s">
        <v>114</v>
      </c>
      <c r="K15" s="133"/>
      <c r="L15" s="78" t="s">
        <v>117</v>
      </c>
      <c r="M15" s="134" t="str">
        <f>"141,3643"</f>
        <v>141,3643</v>
      </c>
      <c r="N15" s="75" t="s">
        <v>404</v>
      </c>
    </row>
    <row r="16" spans="1:14" ht="12.75">
      <c r="A16" s="57">
        <v>1</v>
      </c>
      <c r="B16" s="73" t="s">
        <v>519</v>
      </c>
      <c r="C16" s="12" t="s">
        <v>405</v>
      </c>
      <c r="D16" s="12" t="s">
        <v>406</v>
      </c>
      <c r="E16" s="145" t="str">
        <f>"0,6349"</f>
        <v>0,6349</v>
      </c>
      <c r="F16" s="12" t="s">
        <v>38</v>
      </c>
      <c r="G16" s="145" t="s">
        <v>15</v>
      </c>
      <c r="H16" s="69" t="s">
        <v>117</v>
      </c>
      <c r="I16" s="146" t="s">
        <v>271</v>
      </c>
      <c r="J16" s="70" t="s">
        <v>99</v>
      </c>
      <c r="K16" s="148"/>
      <c r="L16" s="47" t="s">
        <v>271</v>
      </c>
      <c r="M16" s="149" t="str">
        <f>"161,7090"</f>
        <v>161,7090</v>
      </c>
      <c r="N16" s="12" t="s">
        <v>404</v>
      </c>
    </row>
    <row r="18" ht="15.75">
      <c r="F18" s="13"/>
    </row>
    <row r="19" ht="15.75">
      <c r="F19" s="13"/>
    </row>
    <row r="20" ht="15.75">
      <c r="F20" s="13"/>
    </row>
    <row r="21" ht="15.75">
      <c r="F21" s="13"/>
    </row>
    <row r="22" ht="15.75">
      <c r="F22" s="13"/>
    </row>
    <row r="23" ht="15.75">
      <c r="F23" s="13"/>
    </row>
    <row r="24" ht="15.75">
      <c r="F24" s="13"/>
    </row>
  </sheetData>
  <sheetProtection/>
  <mergeCells count="15">
    <mergeCell ref="H3:K3"/>
    <mergeCell ref="L3:L4"/>
    <mergeCell ref="M3:M4"/>
    <mergeCell ref="N3:N4"/>
    <mergeCell ref="B5:M5"/>
    <mergeCell ref="A3:A4"/>
    <mergeCell ref="B8:M8"/>
    <mergeCell ref="B11:M11"/>
    <mergeCell ref="B1:N2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7"/>
  <sheetViews>
    <sheetView workbookViewId="0" topLeftCell="A1">
      <selection activeCell="C3" sqref="C3:C4"/>
    </sheetView>
  </sheetViews>
  <sheetFormatPr defaultColWidth="8.75390625" defaultRowHeight="12.75"/>
  <cols>
    <col min="1" max="1" width="9.125" style="57" customWidth="1"/>
    <col min="2" max="2" width="19.75390625" style="8" customWidth="1"/>
    <col min="3" max="3" width="27.125" style="8" bestFit="1" customWidth="1"/>
    <col min="4" max="4" width="8.875" style="8" customWidth="1"/>
    <col min="5" max="5" width="8.375" style="8" bestFit="1" customWidth="1"/>
    <col min="6" max="6" width="18.125" style="8" customWidth="1"/>
    <col min="7" max="7" width="26.625" style="8" customWidth="1"/>
    <col min="8" max="10" width="5.625" style="8" bestFit="1" customWidth="1"/>
    <col min="11" max="11" width="4.625" style="8" bestFit="1" customWidth="1"/>
    <col min="12" max="12" width="11.125" style="48" customWidth="1"/>
    <col min="13" max="13" width="8.625" style="8" bestFit="1" customWidth="1"/>
    <col min="14" max="14" width="15.375" style="8" bestFit="1" customWidth="1"/>
  </cols>
  <sheetData>
    <row r="1" spans="1:14" s="1" customFormat="1" ht="15" customHeight="1">
      <c r="A1" s="50"/>
      <c r="B1" s="104" t="s">
        <v>615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spans="1:14" s="1" customFormat="1" ht="118.5" customHeight="1" thickBot="1">
      <c r="A2" s="50"/>
      <c r="B2" s="107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</row>
    <row r="3" spans="1:14" s="2" customFormat="1" ht="12.75" customHeight="1">
      <c r="A3" s="101" t="s">
        <v>507</v>
      </c>
      <c r="B3" s="110" t="s">
        <v>0</v>
      </c>
      <c r="C3" s="112" t="s">
        <v>508</v>
      </c>
      <c r="D3" s="112" t="s">
        <v>509</v>
      </c>
      <c r="E3" s="110" t="s">
        <v>9</v>
      </c>
      <c r="F3" s="110" t="s">
        <v>7</v>
      </c>
      <c r="G3" s="114" t="s">
        <v>510</v>
      </c>
      <c r="H3" s="110" t="s">
        <v>1</v>
      </c>
      <c r="I3" s="110"/>
      <c r="J3" s="110"/>
      <c r="K3" s="110"/>
      <c r="L3" s="110" t="s">
        <v>506</v>
      </c>
      <c r="M3" s="110" t="s">
        <v>6</v>
      </c>
      <c r="N3" s="116" t="s">
        <v>5</v>
      </c>
    </row>
    <row r="4" spans="1:14" s="2" customFormat="1" ht="21" customHeight="1" thickBot="1">
      <c r="A4" s="102"/>
      <c r="B4" s="111"/>
      <c r="C4" s="111"/>
      <c r="D4" s="113"/>
      <c r="E4" s="111"/>
      <c r="F4" s="111"/>
      <c r="G4" s="115"/>
      <c r="H4" s="3">
        <v>1</v>
      </c>
      <c r="I4" s="3">
        <v>2</v>
      </c>
      <c r="J4" s="3">
        <v>3</v>
      </c>
      <c r="K4" s="3" t="s">
        <v>8</v>
      </c>
      <c r="L4" s="111"/>
      <c r="M4" s="111"/>
      <c r="N4" s="117"/>
    </row>
    <row r="5" spans="2:13" ht="15.75">
      <c r="B5" s="118" t="s">
        <v>292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</row>
    <row r="6" spans="1:14" ht="12.75">
      <c r="A6" s="57">
        <v>1</v>
      </c>
      <c r="B6" s="9" t="s">
        <v>520</v>
      </c>
      <c r="C6" s="9" t="s">
        <v>293</v>
      </c>
      <c r="D6" s="9" t="s">
        <v>294</v>
      </c>
      <c r="E6" s="9" t="str">
        <f>"1,2504"</f>
        <v>1,2504</v>
      </c>
      <c r="F6" s="9" t="s">
        <v>22</v>
      </c>
      <c r="G6" s="9" t="s">
        <v>61</v>
      </c>
      <c r="H6" s="21" t="s">
        <v>295</v>
      </c>
      <c r="I6" s="21" t="s">
        <v>172</v>
      </c>
      <c r="J6" s="21" t="s">
        <v>152</v>
      </c>
      <c r="K6" s="10"/>
      <c r="L6" s="44">
        <v>107.5</v>
      </c>
      <c r="M6" s="9" t="str">
        <f>"134,4180"</f>
        <v>134,4180</v>
      </c>
      <c r="N6" s="9" t="s">
        <v>297</v>
      </c>
    </row>
    <row r="7" ht="12.75">
      <c r="F7" s="61"/>
    </row>
    <row r="8" spans="2:13" ht="15.75">
      <c r="B8" s="103" t="s">
        <v>27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</row>
    <row r="9" spans="1:14" ht="12.75">
      <c r="A9" s="57">
        <v>1</v>
      </c>
      <c r="B9" s="9" t="s">
        <v>521</v>
      </c>
      <c r="C9" s="9" t="s">
        <v>397</v>
      </c>
      <c r="D9" s="9" t="s">
        <v>398</v>
      </c>
      <c r="E9" s="9" t="str">
        <f>"0,6754"</f>
        <v>0,6754</v>
      </c>
      <c r="F9" s="9" t="s">
        <v>22</v>
      </c>
      <c r="G9" s="9" t="s">
        <v>61</v>
      </c>
      <c r="H9" s="21" t="s">
        <v>83</v>
      </c>
      <c r="I9" s="21" t="s">
        <v>104</v>
      </c>
      <c r="J9" s="21" t="s">
        <v>70</v>
      </c>
      <c r="K9" s="10"/>
      <c r="L9" s="44">
        <v>192.5</v>
      </c>
      <c r="M9" s="9" t="str">
        <f>"130,0145"</f>
        <v>130,0145</v>
      </c>
      <c r="N9" s="9" t="s">
        <v>177</v>
      </c>
    </row>
    <row r="11" ht="15.75">
      <c r="F11" s="13"/>
    </row>
    <row r="12" ht="15.75">
      <c r="F12" s="13"/>
    </row>
    <row r="13" ht="15.75">
      <c r="F13" s="13"/>
    </row>
    <row r="14" ht="15.75">
      <c r="F14" s="13"/>
    </row>
    <row r="15" ht="15.75">
      <c r="F15" s="13"/>
    </row>
    <row r="16" ht="15.75">
      <c r="F16" s="13"/>
    </row>
    <row r="17" ht="15.75">
      <c r="F17" s="13"/>
    </row>
  </sheetData>
  <sheetProtection/>
  <mergeCells count="14">
    <mergeCell ref="N3:N4"/>
    <mergeCell ref="B5:M5"/>
    <mergeCell ref="B8:M8"/>
    <mergeCell ref="B1:N2"/>
    <mergeCell ref="B3:B4"/>
    <mergeCell ref="C3:C4"/>
    <mergeCell ref="D3:D4"/>
    <mergeCell ref="E3:E4"/>
    <mergeCell ref="F3:F4"/>
    <mergeCell ref="G3:G4"/>
    <mergeCell ref="H3:K3"/>
    <mergeCell ref="A3:A4"/>
    <mergeCell ref="L3:L4"/>
    <mergeCell ref="M3:M4"/>
  </mergeCells>
  <printOptions/>
  <pageMargins left="0.7" right="0.7" top="0.75" bottom="0.75" header="0.3" footer="0.3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7"/>
  <sheetViews>
    <sheetView workbookViewId="0" topLeftCell="A1">
      <selection activeCell="F21" sqref="F21"/>
    </sheetView>
  </sheetViews>
  <sheetFormatPr defaultColWidth="8.75390625" defaultRowHeight="12.75"/>
  <cols>
    <col min="1" max="1" width="8.75390625" style="0" customWidth="1"/>
    <col min="2" max="2" width="17.875" style="8" customWidth="1"/>
    <col min="3" max="3" width="25.75390625" style="8" customWidth="1"/>
    <col min="4" max="4" width="10.625" style="8" bestFit="1" customWidth="1"/>
    <col min="5" max="5" width="8.375" style="8" bestFit="1" customWidth="1"/>
    <col min="6" max="6" width="22.75390625" style="8" bestFit="1" customWidth="1"/>
    <col min="7" max="7" width="25.625" style="8" customWidth="1"/>
    <col min="8" max="10" width="5.625" style="8" bestFit="1" customWidth="1"/>
    <col min="11" max="11" width="4.625" style="8" bestFit="1" customWidth="1"/>
    <col min="12" max="12" width="11.00390625" style="45" customWidth="1"/>
    <col min="13" max="13" width="8.625" style="8" bestFit="1" customWidth="1"/>
    <col min="14" max="14" width="15.375" style="8" bestFit="1" customWidth="1"/>
  </cols>
  <sheetData>
    <row r="1" spans="1:14" s="1" customFormat="1" ht="15" customHeight="1">
      <c r="A1" s="50"/>
      <c r="B1" s="104" t="s">
        <v>616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spans="1:14" s="1" customFormat="1" ht="75.75" customHeight="1" thickBot="1">
      <c r="A2" s="50"/>
      <c r="B2" s="107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</row>
    <row r="3" spans="1:14" s="2" customFormat="1" ht="12.75" customHeight="1">
      <c r="A3" s="101" t="s">
        <v>507</v>
      </c>
      <c r="B3" s="110" t="s">
        <v>0</v>
      </c>
      <c r="C3" s="112" t="s">
        <v>508</v>
      </c>
      <c r="D3" s="112" t="s">
        <v>509</v>
      </c>
      <c r="E3" s="110" t="s">
        <v>9</v>
      </c>
      <c r="F3" s="110" t="s">
        <v>7</v>
      </c>
      <c r="G3" s="114" t="s">
        <v>510</v>
      </c>
      <c r="H3" s="110" t="s">
        <v>1</v>
      </c>
      <c r="I3" s="110"/>
      <c r="J3" s="110"/>
      <c r="K3" s="110"/>
      <c r="L3" s="110" t="s">
        <v>506</v>
      </c>
      <c r="M3" s="110" t="s">
        <v>6</v>
      </c>
      <c r="N3" s="116" t="s">
        <v>5</v>
      </c>
    </row>
    <row r="4" spans="1:14" s="2" customFormat="1" ht="21" customHeight="1" thickBot="1">
      <c r="A4" s="102"/>
      <c r="B4" s="111"/>
      <c r="C4" s="111"/>
      <c r="D4" s="113"/>
      <c r="E4" s="111"/>
      <c r="F4" s="111"/>
      <c r="G4" s="115"/>
      <c r="H4" s="3">
        <v>1</v>
      </c>
      <c r="I4" s="3">
        <v>2</v>
      </c>
      <c r="J4" s="3">
        <v>3</v>
      </c>
      <c r="K4" s="3" t="s">
        <v>8</v>
      </c>
      <c r="L4" s="111"/>
      <c r="M4" s="111"/>
      <c r="N4" s="117"/>
    </row>
    <row r="5" spans="2:13" ht="15.75">
      <c r="B5" s="118" t="s">
        <v>10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</row>
    <row r="6" spans="1:14" ht="12.75">
      <c r="A6" s="57">
        <v>1</v>
      </c>
      <c r="B6" s="9" t="s">
        <v>394</v>
      </c>
      <c r="C6" s="9" t="s">
        <v>395</v>
      </c>
      <c r="D6" s="9" t="s">
        <v>363</v>
      </c>
      <c r="E6" s="9" t="str">
        <f>"1,1251"</f>
        <v>1,1251</v>
      </c>
      <c r="F6" s="9" t="s">
        <v>38</v>
      </c>
      <c r="G6" s="9" t="s">
        <v>54</v>
      </c>
      <c r="H6" s="54" t="s">
        <v>232</v>
      </c>
      <c r="I6" s="21" t="s">
        <v>40</v>
      </c>
      <c r="J6" s="62" t="s">
        <v>25</v>
      </c>
      <c r="K6" s="10"/>
      <c r="L6" s="44" t="s">
        <v>40</v>
      </c>
      <c r="M6" s="9" t="str">
        <f>"151,8885"</f>
        <v>151,8885</v>
      </c>
      <c r="N6" s="9" t="s">
        <v>396</v>
      </c>
    </row>
    <row r="7" ht="12.75">
      <c r="A7" s="57"/>
    </row>
    <row r="8" spans="1:13" ht="15.75">
      <c r="A8" s="57"/>
      <c r="B8" s="103" t="s">
        <v>19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</row>
    <row r="9" spans="1:14" ht="12.75">
      <c r="A9" s="57">
        <v>1</v>
      </c>
      <c r="B9" s="9" t="s">
        <v>522</v>
      </c>
      <c r="C9" s="9" t="s">
        <v>274</v>
      </c>
      <c r="D9" s="9" t="s">
        <v>275</v>
      </c>
      <c r="E9" s="9" t="str">
        <f>"1,0503"</f>
        <v>1,0503</v>
      </c>
      <c r="F9" s="9" t="s">
        <v>14</v>
      </c>
      <c r="G9" s="9" t="s">
        <v>15</v>
      </c>
      <c r="H9" s="21" t="s">
        <v>141</v>
      </c>
      <c r="I9" s="10"/>
      <c r="J9" s="10"/>
      <c r="K9" s="10"/>
      <c r="L9" s="44" t="s">
        <v>141</v>
      </c>
      <c r="M9" s="9" t="str">
        <f>"78,7725"</f>
        <v>78,7725</v>
      </c>
      <c r="N9" s="9" t="s">
        <v>278</v>
      </c>
    </row>
    <row r="11" ht="15.75">
      <c r="F11" s="13"/>
    </row>
    <row r="12" ht="15.75">
      <c r="F12" s="13"/>
    </row>
    <row r="13" ht="15.75">
      <c r="F13" s="13"/>
    </row>
    <row r="14" ht="15.75">
      <c r="F14" s="13"/>
    </row>
    <row r="15" ht="15.75">
      <c r="F15" s="13"/>
    </row>
    <row r="16" ht="15.75">
      <c r="F16" s="13"/>
    </row>
    <row r="17" ht="15.75">
      <c r="F17" s="13"/>
    </row>
  </sheetData>
  <sheetProtection/>
  <mergeCells count="14">
    <mergeCell ref="N3:N4"/>
    <mergeCell ref="B5:M5"/>
    <mergeCell ref="B8:M8"/>
    <mergeCell ref="B1:N2"/>
    <mergeCell ref="B3:B4"/>
    <mergeCell ref="C3:C4"/>
    <mergeCell ref="D3:D4"/>
    <mergeCell ref="E3:E4"/>
    <mergeCell ref="F3:F4"/>
    <mergeCell ref="G3:G4"/>
    <mergeCell ref="H3:K3"/>
    <mergeCell ref="A3:A4"/>
    <mergeCell ref="L3:L4"/>
    <mergeCell ref="M3:M4"/>
  </mergeCells>
  <printOptions/>
  <pageMargins left="0.7" right="0.7" top="0.75" bottom="0.75" header="0.3" footer="0.3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G40" sqref="G40"/>
    </sheetView>
  </sheetViews>
  <sheetFormatPr defaultColWidth="8.75390625" defaultRowHeight="12.75"/>
  <cols>
    <col min="1" max="1" width="8.75390625" style="0" customWidth="1"/>
    <col min="2" max="2" width="18.25390625" style="8" customWidth="1"/>
    <col min="3" max="3" width="25.25390625" style="8" customWidth="1"/>
    <col min="4" max="4" width="10.625" style="8" bestFit="1" customWidth="1"/>
    <col min="5" max="5" width="8.375" style="8" bestFit="1" customWidth="1"/>
    <col min="6" max="6" width="20.125" style="8" customWidth="1"/>
    <col min="7" max="7" width="24.875" style="8" customWidth="1"/>
    <col min="8" max="8" width="5.625" style="8" bestFit="1" customWidth="1"/>
    <col min="9" max="9" width="3.25390625" style="8" customWidth="1"/>
    <col min="10" max="10" width="3.375" style="8" customWidth="1"/>
    <col min="11" max="11" width="4.625" style="8" bestFit="1" customWidth="1"/>
    <col min="12" max="12" width="12.375" style="8" customWidth="1"/>
    <col min="13" max="13" width="8.625" style="8" bestFit="1" customWidth="1"/>
    <col min="14" max="14" width="15.375" style="8" bestFit="1" customWidth="1"/>
  </cols>
  <sheetData>
    <row r="1" spans="2:14" s="1" customFormat="1" ht="15" customHeight="1">
      <c r="B1" s="104" t="s">
        <v>617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spans="2:14" s="1" customFormat="1" ht="114.75" customHeight="1" thickBot="1">
      <c r="B2" s="107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</row>
    <row r="3" spans="1:14" s="2" customFormat="1" ht="12.75" customHeight="1">
      <c r="A3" s="101" t="s">
        <v>507</v>
      </c>
      <c r="B3" s="110" t="s">
        <v>0</v>
      </c>
      <c r="C3" s="112" t="s">
        <v>508</v>
      </c>
      <c r="D3" s="112" t="s">
        <v>509</v>
      </c>
      <c r="E3" s="110" t="s">
        <v>9</v>
      </c>
      <c r="F3" s="110" t="s">
        <v>7</v>
      </c>
      <c r="G3" s="114" t="s">
        <v>510</v>
      </c>
      <c r="H3" s="110" t="s">
        <v>1</v>
      </c>
      <c r="I3" s="110"/>
      <c r="J3" s="110"/>
      <c r="K3" s="110"/>
      <c r="L3" s="110" t="s">
        <v>506</v>
      </c>
      <c r="M3" s="110" t="s">
        <v>6</v>
      </c>
      <c r="N3" s="116" t="s">
        <v>5</v>
      </c>
    </row>
    <row r="4" spans="1:14" s="2" customFormat="1" ht="21" customHeight="1" thickBot="1">
      <c r="A4" s="102"/>
      <c r="B4" s="111"/>
      <c r="C4" s="111"/>
      <c r="D4" s="113"/>
      <c r="E4" s="111"/>
      <c r="F4" s="111"/>
      <c r="G4" s="115"/>
      <c r="H4" s="3">
        <v>1</v>
      </c>
      <c r="I4" s="3">
        <v>2</v>
      </c>
      <c r="J4" s="3">
        <v>3</v>
      </c>
      <c r="K4" s="3" t="s">
        <v>8</v>
      </c>
      <c r="L4" s="111"/>
      <c r="M4" s="111"/>
      <c r="N4" s="117"/>
    </row>
    <row r="5" spans="2:13" ht="15.75">
      <c r="B5" s="119" t="s">
        <v>66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</row>
    <row r="6" spans="1:14" ht="12.75">
      <c r="A6" s="57">
        <v>1</v>
      </c>
      <c r="B6" s="9" t="s">
        <v>523</v>
      </c>
      <c r="C6" s="9" t="s">
        <v>266</v>
      </c>
      <c r="D6" s="9" t="s">
        <v>270</v>
      </c>
      <c r="E6" s="9" t="str">
        <f>"0,6002"</f>
        <v>0,6002</v>
      </c>
      <c r="F6" s="9" t="s">
        <v>14</v>
      </c>
      <c r="G6" s="9" t="s">
        <v>15</v>
      </c>
      <c r="H6" s="21" t="s">
        <v>108</v>
      </c>
      <c r="I6" s="10"/>
      <c r="J6" s="10"/>
      <c r="K6" s="10"/>
      <c r="L6" s="44" t="s">
        <v>108</v>
      </c>
      <c r="M6" s="27" t="str">
        <f>"153,0510"</f>
        <v>153,0510</v>
      </c>
      <c r="N6" s="9" t="s">
        <v>177</v>
      </c>
    </row>
    <row r="8" ht="15.75">
      <c r="F8" s="13"/>
    </row>
    <row r="9" ht="15.75">
      <c r="F9" s="13"/>
    </row>
    <row r="10" ht="15.75">
      <c r="F10" s="13"/>
    </row>
    <row r="11" ht="15.75">
      <c r="F11" s="13"/>
    </row>
    <row r="12" ht="15.75">
      <c r="F12" s="13"/>
    </row>
    <row r="13" ht="15.75">
      <c r="F13" s="13"/>
    </row>
    <row r="14" ht="15.75">
      <c r="F14" s="13"/>
    </row>
  </sheetData>
  <sheetProtection/>
  <mergeCells count="13">
    <mergeCell ref="F3:F4"/>
    <mergeCell ref="G3:G4"/>
    <mergeCell ref="H3:K3"/>
    <mergeCell ref="L3:L4"/>
    <mergeCell ref="M3:M4"/>
    <mergeCell ref="A3:A4"/>
    <mergeCell ref="N3:N4"/>
    <mergeCell ref="B5:M5"/>
    <mergeCell ref="B1:N2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1">
      <selection activeCell="G40" sqref="G40"/>
    </sheetView>
  </sheetViews>
  <sheetFormatPr defaultColWidth="8.75390625" defaultRowHeight="12.75"/>
  <cols>
    <col min="1" max="1" width="8.75390625" style="0" customWidth="1"/>
    <col min="2" max="2" width="19.125" style="8" customWidth="1"/>
    <col min="3" max="3" width="27.75390625" style="8" customWidth="1"/>
    <col min="4" max="4" width="10.75390625" style="8" customWidth="1"/>
    <col min="5" max="5" width="7.25390625" style="8" customWidth="1"/>
    <col min="6" max="6" width="25.375" style="8" customWidth="1"/>
    <col min="7" max="7" width="24.75390625" style="8" customWidth="1"/>
    <col min="8" max="11" width="4.625" style="8" bestFit="1" customWidth="1"/>
    <col min="12" max="12" width="7.875" style="8" bestFit="1" customWidth="1"/>
    <col min="13" max="13" width="6.625" style="8" bestFit="1" customWidth="1"/>
    <col min="14" max="14" width="20.00390625" style="8" customWidth="1"/>
  </cols>
  <sheetData>
    <row r="1" spans="2:14" s="1" customFormat="1" ht="15" customHeight="1">
      <c r="B1" s="104" t="s">
        <v>631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spans="2:14" s="1" customFormat="1" ht="108" customHeight="1" thickBot="1">
      <c r="B2" s="107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</row>
    <row r="3" spans="1:14" s="2" customFormat="1" ht="12.75" customHeight="1">
      <c r="A3" s="101" t="s">
        <v>507</v>
      </c>
      <c r="B3" s="110" t="s">
        <v>0</v>
      </c>
      <c r="C3" s="112" t="s">
        <v>508</v>
      </c>
      <c r="D3" s="112" t="s">
        <v>509</v>
      </c>
      <c r="E3" s="110" t="s">
        <v>9</v>
      </c>
      <c r="F3" s="110" t="s">
        <v>7</v>
      </c>
      <c r="G3" s="114" t="s">
        <v>510</v>
      </c>
      <c r="H3" s="110" t="s">
        <v>2</v>
      </c>
      <c r="I3" s="110"/>
      <c r="J3" s="110"/>
      <c r="K3" s="110"/>
      <c r="L3" s="110" t="s">
        <v>4</v>
      </c>
      <c r="M3" s="110" t="s">
        <v>6</v>
      </c>
      <c r="N3" s="116" t="s">
        <v>5</v>
      </c>
    </row>
    <row r="4" spans="1:14" s="2" customFormat="1" ht="21" customHeight="1" thickBot="1">
      <c r="A4" s="102"/>
      <c r="B4" s="111"/>
      <c r="C4" s="111"/>
      <c r="D4" s="113"/>
      <c r="E4" s="111"/>
      <c r="F4" s="111"/>
      <c r="G4" s="115"/>
      <c r="H4" s="3">
        <v>1</v>
      </c>
      <c r="I4" s="3">
        <v>2</v>
      </c>
      <c r="J4" s="3">
        <v>3</v>
      </c>
      <c r="K4" s="3" t="s">
        <v>8</v>
      </c>
      <c r="L4" s="111"/>
      <c r="M4" s="111"/>
      <c r="N4" s="117"/>
    </row>
    <row r="5" spans="2:13" ht="15.75">
      <c r="B5" s="118" t="s">
        <v>10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</row>
    <row r="6" spans="1:14" ht="12.75">
      <c r="A6" s="57">
        <v>1</v>
      </c>
      <c r="B6" s="9" t="s">
        <v>267</v>
      </c>
      <c r="C6" s="9" t="s">
        <v>268</v>
      </c>
      <c r="D6" s="9" t="s">
        <v>269</v>
      </c>
      <c r="E6" s="9" t="str">
        <f>"0,8745"</f>
        <v>0,8745</v>
      </c>
      <c r="F6" s="9" t="s">
        <v>14</v>
      </c>
      <c r="G6" s="9" t="s">
        <v>256</v>
      </c>
      <c r="H6" s="59" t="s">
        <v>141</v>
      </c>
      <c r="I6" s="59" t="s">
        <v>141</v>
      </c>
      <c r="J6" s="59" t="s">
        <v>141</v>
      </c>
      <c r="K6" s="60"/>
      <c r="L6" s="92">
        <v>0</v>
      </c>
      <c r="M6" s="44" t="s">
        <v>533</v>
      </c>
      <c r="N6" s="9" t="s">
        <v>418</v>
      </c>
    </row>
    <row r="8" ht="15.75">
      <c r="F8" s="13"/>
    </row>
    <row r="9" ht="15.75">
      <c r="F9" s="13"/>
    </row>
    <row r="10" ht="15.75">
      <c r="F10" s="13"/>
    </row>
    <row r="11" ht="15.75">
      <c r="F11" s="13"/>
    </row>
    <row r="12" ht="15.75">
      <c r="F12" s="13"/>
    </row>
    <row r="13" ht="15.75">
      <c r="F13" s="13"/>
    </row>
    <row r="14" ht="15.75">
      <c r="F14" s="13"/>
    </row>
    <row r="16" spans="2:3" ht="18">
      <c r="B16" s="14"/>
      <c r="C16" s="14"/>
    </row>
  </sheetData>
  <sheetProtection/>
  <mergeCells count="13">
    <mergeCell ref="F3:F4"/>
    <mergeCell ref="G3:G4"/>
    <mergeCell ref="H3:K3"/>
    <mergeCell ref="L3:L4"/>
    <mergeCell ref="M3:M4"/>
    <mergeCell ref="A3:A4"/>
    <mergeCell ref="N3:N4"/>
    <mergeCell ref="B5:M5"/>
    <mergeCell ref="B1:N2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 topLeftCell="F3">
      <selection activeCell="J30" sqref="J30"/>
    </sheetView>
  </sheetViews>
  <sheetFormatPr defaultColWidth="8.75390625" defaultRowHeight="12.75"/>
  <cols>
    <col min="1" max="1" width="8.75390625" style="0" customWidth="1"/>
    <col min="2" max="2" width="24.00390625" style="8" customWidth="1"/>
    <col min="3" max="3" width="24.875" style="8" customWidth="1"/>
    <col min="4" max="4" width="10.625" style="8" bestFit="1" customWidth="1"/>
    <col min="5" max="5" width="8.375" style="8" bestFit="1" customWidth="1"/>
    <col min="6" max="6" width="22.75390625" style="8" bestFit="1" customWidth="1"/>
    <col min="7" max="7" width="27.375" style="8" bestFit="1" customWidth="1"/>
    <col min="8" max="10" width="5.625" style="8" bestFit="1" customWidth="1"/>
    <col min="11" max="11" width="4.625" style="8" bestFit="1" customWidth="1"/>
    <col min="12" max="12" width="12.375" style="8" customWidth="1"/>
    <col min="13" max="13" width="8.625" style="8" bestFit="1" customWidth="1"/>
    <col min="14" max="14" width="15.375" style="8" bestFit="1" customWidth="1"/>
  </cols>
  <sheetData>
    <row r="1" spans="2:14" s="1" customFormat="1" ht="15" customHeight="1">
      <c r="B1" s="104" t="s">
        <v>632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spans="2:14" s="1" customFormat="1" ht="112.5" customHeight="1" thickBot="1">
      <c r="B2" s="107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</row>
    <row r="3" spans="1:14" s="2" customFormat="1" ht="12.75" customHeight="1">
      <c r="A3" s="101" t="s">
        <v>507</v>
      </c>
      <c r="B3" s="110" t="s">
        <v>0</v>
      </c>
      <c r="C3" s="112" t="s">
        <v>508</v>
      </c>
      <c r="D3" s="112" t="s">
        <v>509</v>
      </c>
      <c r="E3" s="110" t="s">
        <v>9</v>
      </c>
      <c r="F3" s="110" t="s">
        <v>7</v>
      </c>
      <c r="G3" s="114" t="s">
        <v>510</v>
      </c>
      <c r="H3" s="110" t="s">
        <v>2</v>
      </c>
      <c r="I3" s="110"/>
      <c r="J3" s="110"/>
      <c r="K3" s="110"/>
      <c r="L3" s="110" t="s">
        <v>506</v>
      </c>
      <c r="M3" s="110" t="s">
        <v>6</v>
      </c>
      <c r="N3" s="116" t="s">
        <v>5</v>
      </c>
    </row>
    <row r="4" spans="1:14" s="2" customFormat="1" ht="21" customHeight="1" thickBot="1">
      <c r="A4" s="102"/>
      <c r="B4" s="111"/>
      <c r="C4" s="111"/>
      <c r="D4" s="113"/>
      <c r="E4" s="111"/>
      <c r="F4" s="111"/>
      <c r="G4" s="115"/>
      <c r="H4" s="3">
        <v>1</v>
      </c>
      <c r="I4" s="3">
        <v>2</v>
      </c>
      <c r="J4" s="3">
        <v>3</v>
      </c>
      <c r="K4" s="3" t="s">
        <v>8</v>
      </c>
      <c r="L4" s="111"/>
      <c r="M4" s="111"/>
      <c r="N4" s="117"/>
    </row>
    <row r="5" spans="2:13" ht="15.75">
      <c r="B5" s="118" t="s">
        <v>63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</row>
    <row r="6" spans="1:14" ht="12.75">
      <c r="A6" s="57">
        <v>1</v>
      </c>
      <c r="B6" s="9" t="s">
        <v>562</v>
      </c>
      <c r="C6" s="9" t="s">
        <v>64</v>
      </c>
      <c r="D6" s="9" t="s">
        <v>65</v>
      </c>
      <c r="E6" s="9" t="str">
        <f>"0,6129"</f>
        <v>0,6129</v>
      </c>
      <c r="F6" s="9" t="s">
        <v>14</v>
      </c>
      <c r="G6" s="9" t="s">
        <v>15</v>
      </c>
      <c r="H6" s="21" t="s">
        <v>263</v>
      </c>
      <c r="I6" s="21" t="s">
        <v>264</v>
      </c>
      <c r="J6" s="21" t="s">
        <v>257</v>
      </c>
      <c r="K6" s="10"/>
      <c r="L6" s="44">
        <v>222.5</v>
      </c>
      <c r="M6" s="44" t="str">
        <f>"136,3703"</f>
        <v>136,3703</v>
      </c>
      <c r="N6" s="9" t="s">
        <v>177</v>
      </c>
    </row>
    <row r="8" ht="15.75">
      <c r="F8" s="13"/>
    </row>
    <row r="9" ht="15.75">
      <c r="F9" s="13"/>
    </row>
    <row r="10" ht="15.75">
      <c r="F10" s="13"/>
    </row>
    <row r="11" ht="15.75">
      <c r="F11" s="13"/>
    </row>
    <row r="12" ht="15.75">
      <c r="F12" s="13"/>
    </row>
    <row r="13" ht="15.75">
      <c r="F13" s="13"/>
    </row>
    <row r="14" ht="15.75">
      <c r="F14" s="13"/>
    </row>
  </sheetData>
  <sheetProtection/>
  <mergeCells count="13">
    <mergeCell ref="F3:F4"/>
    <mergeCell ref="G3:G4"/>
    <mergeCell ref="H3:K3"/>
    <mergeCell ref="L3:L4"/>
    <mergeCell ref="M3:M4"/>
    <mergeCell ref="A3:A4"/>
    <mergeCell ref="N3:N4"/>
    <mergeCell ref="B5:M5"/>
    <mergeCell ref="B1:N2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98"/>
  <sheetViews>
    <sheetView workbookViewId="0" topLeftCell="A34">
      <selection activeCell="N64" sqref="N64:N65"/>
    </sheetView>
  </sheetViews>
  <sheetFormatPr defaultColWidth="8.75390625" defaultRowHeight="12.75"/>
  <cols>
    <col min="1" max="1" width="9.125" style="57" customWidth="1"/>
    <col min="2" max="2" width="20.75390625" style="8" customWidth="1"/>
    <col min="3" max="3" width="24.375" style="8" customWidth="1"/>
    <col min="4" max="4" width="10.625" style="8" bestFit="1" customWidth="1"/>
    <col min="5" max="5" width="8.375" style="8" bestFit="1" customWidth="1"/>
    <col min="6" max="6" width="17.875" style="8" customWidth="1"/>
    <col min="7" max="7" width="32.25390625" style="8" customWidth="1"/>
    <col min="8" max="10" width="5.625" style="48" bestFit="1" customWidth="1"/>
    <col min="11" max="11" width="4.625" style="48" bestFit="1" customWidth="1"/>
    <col min="12" max="12" width="12.625" style="48" customWidth="1"/>
    <col min="13" max="13" width="8.625" style="48" bestFit="1" customWidth="1"/>
    <col min="14" max="14" width="17.00390625" style="8" customWidth="1"/>
  </cols>
  <sheetData>
    <row r="1" spans="1:14" s="1" customFormat="1" ht="15" customHeight="1">
      <c r="A1" s="50"/>
      <c r="B1" s="104" t="s">
        <v>633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spans="1:14" s="1" customFormat="1" ht="114.75" customHeight="1" thickBot="1">
      <c r="A2" s="50"/>
      <c r="B2" s="107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</row>
    <row r="3" spans="1:14" s="2" customFormat="1" ht="12.75" customHeight="1">
      <c r="A3" s="101" t="s">
        <v>507</v>
      </c>
      <c r="B3" s="110" t="s">
        <v>0</v>
      </c>
      <c r="C3" s="112" t="s">
        <v>508</v>
      </c>
      <c r="D3" s="112" t="s">
        <v>509</v>
      </c>
      <c r="E3" s="110" t="s">
        <v>9</v>
      </c>
      <c r="F3" s="110" t="s">
        <v>7</v>
      </c>
      <c r="G3" s="114" t="s">
        <v>510</v>
      </c>
      <c r="H3" s="110" t="s">
        <v>2</v>
      </c>
      <c r="I3" s="110"/>
      <c r="J3" s="110"/>
      <c r="K3" s="110"/>
      <c r="L3" s="110" t="s">
        <v>506</v>
      </c>
      <c r="M3" s="110" t="s">
        <v>6</v>
      </c>
      <c r="N3" s="116" t="s">
        <v>5</v>
      </c>
    </row>
    <row r="4" spans="1:14" s="2" customFormat="1" ht="21" customHeight="1" thickBot="1">
      <c r="A4" s="102"/>
      <c r="B4" s="111"/>
      <c r="C4" s="111"/>
      <c r="D4" s="113"/>
      <c r="E4" s="111"/>
      <c r="F4" s="111"/>
      <c r="G4" s="115"/>
      <c r="H4" s="3">
        <v>1</v>
      </c>
      <c r="I4" s="3">
        <v>2</v>
      </c>
      <c r="J4" s="3">
        <v>3</v>
      </c>
      <c r="K4" s="3" t="s">
        <v>8</v>
      </c>
      <c r="L4" s="111"/>
      <c r="M4" s="111"/>
      <c r="N4" s="117"/>
    </row>
    <row r="5" spans="2:13" ht="15.75">
      <c r="B5" s="119" t="s">
        <v>132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</row>
    <row r="6" spans="1:14" ht="12.75">
      <c r="A6" s="57">
        <v>1</v>
      </c>
      <c r="B6" s="9" t="s">
        <v>549</v>
      </c>
      <c r="C6" s="9" t="s">
        <v>133</v>
      </c>
      <c r="D6" s="9" t="s">
        <v>134</v>
      </c>
      <c r="E6" s="9" t="str">
        <f>"1,1916"</f>
        <v>1,1916</v>
      </c>
      <c r="F6" s="9" t="s">
        <v>135</v>
      </c>
      <c r="G6" s="9" t="s">
        <v>563</v>
      </c>
      <c r="H6" s="25" t="s">
        <v>136</v>
      </c>
      <c r="I6" s="60"/>
      <c r="J6" s="60"/>
      <c r="K6" s="60"/>
      <c r="L6" s="44">
        <v>62.5</v>
      </c>
      <c r="M6" s="44" t="str">
        <f>"74,4750"</f>
        <v>74,4750</v>
      </c>
      <c r="N6" s="9" t="s">
        <v>137</v>
      </c>
    </row>
    <row r="8" spans="2:13" ht="15.75">
      <c r="B8" s="103" t="s">
        <v>10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</row>
    <row r="9" spans="1:14" ht="12.75">
      <c r="A9" s="57">
        <v>1</v>
      </c>
      <c r="B9" s="137" t="s">
        <v>138</v>
      </c>
      <c r="C9" s="11" t="s">
        <v>139</v>
      </c>
      <c r="D9" s="138" t="s">
        <v>13</v>
      </c>
      <c r="E9" s="11" t="str">
        <f>"1,1221"</f>
        <v>1,1221</v>
      </c>
      <c r="F9" s="138" t="s">
        <v>38</v>
      </c>
      <c r="G9" s="11" t="s">
        <v>140</v>
      </c>
      <c r="H9" s="139" t="s">
        <v>141</v>
      </c>
      <c r="I9" s="67" t="s">
        <v>142</v>
      </c>
      <c r="J9" s="213" t="s">
        <v>142</v>
      </c>
      <c r="K9" s="158"/>
      <c r="L9" s="46">
        <v>77.5</v>
      </c>
      <c r="M9" s="141" t="str">
        <f>"86,9627"</f>
        <v>86,9627</v>
      </c>
      <c r="N9" s="11" t="s">
        <v>143</v>
      </c>
    </row>
    <row r="10" spans="1:14" ht="12.75">
      <c r="A10" s="57">
        <v>2</v>
      </c>
      <c r="B10" s="73" t="s">
        <v>564</v>
      </c>
      <c r="C10" s="12" t="s">
        <v>144</v>
      </c>
      <c r="D10" s="145" t="s">
        <v>145</v>
      </c>
      <c r="E10" s="12" t="str">
        <f>"1,1149"</f>
        <v>1,1149</v>
      </c>
      <c r="F10" s="145" t="s">
        <v>22</v>
      </c>
      <c r="G10" s="12" t="s">
        <v>54</v>
      </c>
      <c r="H10" s="146" t="s">
        <v>141</v>
      </c>
      <c r="I10" s="70" t="s">
        <v>142</v>
      </c>
      <c r="J10" s="147" t="s">
        <v>142</v>
      </c>
      <c r="K10" s="161"/>
      <c r="L10" s="47" t="s">
        <v>141</v>
      </c>
      <c r="M10" s="149" t="str">
        <f>"83,6175"</f>
        <v>83,6175</v>
      </c>
      <c r="N10" s="12" t="s">
        <v>177</v>
      </c>
    </row>
    <row r="12" spans="2:13" ht="15.75">
      <c r="B12" s="103" t="s">
        <v>19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</row>
    <row r="13" spans="1:14" ht="12.75">
      <c r="A13" s="57">
        <v>1</v>
      </c>
      <c r="B13" s="137" t="s">
        <v>146</v>
      </c>
      <c r="C13" s="11" t="s">
        <v>147</v>
      </c>
      <c r="D13" s="138" t="s">
        <v>148</v>
      </c>
      <c r="E13" s="11" t="str">
        <f>"1,1035"</f>
        <v>1,1035</v>
      </c>
      <c r="F13" s="138" t="s">
        <v>149</v>
      </c>
      <c r="G13" s="11" t="s">
        <v>80</v>
      </c>
      <c r="H13" s="139" t="s">
        <v>150</v>
      </c>
      <c r="I13" s="66" t="s">
        <v>151</v>
      </c>
      <c r="J13" s="159" t="s">
        <v>152</v>
      </c>
      <c r="K13" s="158"/>
      <c r="L13" s="46" t="s">
        <v>151</v>
      </c>
      <c r="M13" s="141" t="str">
        <f>"115,8675"</f>
        <v>115,8675</v>
      </c>
      <c r="N13" s="11" t="s">
        <v>414</v>
      </c>
    </row>
    <row r="14" spans="1:14" ht="12.75">
      <c r="A14" s="57">
        <v>1</v>
      </c>
      <c r="B14" s="143" t="s">
        <v>511</v>
      </c>
      <c r="C14" s="75" t="s">
        <v>153</v>
      </c>
      <c r="D14" s="31" t="s">
        <v>154</v>
      </c>
      <c r="E14" s="75" t="str">
        <f>"1,0551"</f>
        <v>1,0551</v>
      </c>
      <c r="F14" s="31" t="s">
        <v>14</v>
      </c>
      <c r="G14" s="75" t="s">
        <v>15</v>
      </c>
      <c r="H14" s="132" t="s">
        <v>155</v>
      </c>
      <c r="I14" s="151" t="s">
        <v>156</v>
      </c>
      <c r="J14" s="135" t="s">
        <v>156</v>
      </c>
      <c r="K14" s="136"/>
      <c r="L14" s="78" t="s">
        <v>155</v>
      </c>
      <c r="M14" s="134" t="str">
        <f>"47,4795"</f>
        <v>47,4795</v>
      </c>
      <c r="N14" s="75" t="s">
        <v>177</v>
      </c>
    </row>
    <row r="15" spans="1:14" ht="12.75">
      <c r="A15" s="57">
        <v>1</v>
      </c>
      <c r="B15" s="143" t="s">
        <v>146</v>
      </c>
      <c r="C15" s="75" t="s">
        <v>157</v>
      </c>
      <c r="D15" s="31" t="s">
        <v>148</v>
      </c>
      <c r="E15" s="75" t="str">
        <f>"1,1035"</f>
        <v>1,1035</v>
      </c>
      <c r="F15" s="31" t="s">
        <v>149</v>
      </c>
      <c r="G15" s="75" t="s">
        <v>80</v>
      </c>
      <c r="H15" s="132" t="s">
        <v>150</v>
      </c>
      <c r="I15" s="76" t="s">
        <v>151</v>
      </c>
      <c r="J15" s="135" t="s">
        <v>152</v>
      </c>
      <c r="K15" s="136"/>
      <c r="L15" s="78" t="s">
        <v>151</v>
      </c>
      <c r="M15" s="134" t="str">
        <f>"115,8675"</f>
        <v>115,8675</v>
      </c>
      <c r="N15" s="75" t="s">
        <v>415</v>
      </c>
    </row>
    <row r="16" spans="1:14" ht="12.75">
      <c r="A16" s="57">
        <v>2</v>
      </c>
      <c r="B16" s="73" t="s">
        <v>565</v>
      </c>
      <c r="C16" s="12" t="s">
        <v>158</v>
      </c>
      <c r="D16" s="145" t="s">
        <v>159</v>
      </c>
      <c r="E16" s="12" t="str">
        <f>"1,0753"</f>
        <v>1,0753</v>
      </c>
      <c r="F16" s="145" t="s">
        <v>22</v>
      </c>
      <c r="G16" s="12" t="s">
        <v>160</v>
      </c>
      <c r="H16" s="146" t="s">
        <v>161</v>
      </c>
      <c r="I16" s="70" t="s">
        <v>162</v>
      </c>
      <c r="J16" s="147" t="s">
        <v>162</v>
      </c>
      <c r="K16" s="161"/>
      <c r="L16" s="47">
        <v>67.5</v>
      </c>
      <c r="M16" s="149" t="str">
        <f>"72,5827"</f>
        <v>72,5827</v>
      </c>
      <c r="N16" s="12" t="s">
        <v>163</v>
      </c>
    </row>
    <row r="18" spans="2:13" ht="15.75">
      <c r="B18" s="103" t="s">
        <v>27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</row>
    <row r="19" spans="1:14" ht="12.75">
      <c r="A19" s="57">
        <v>1</v>
      </c>
      <c r="B19" s="9" t="s">
        <v>164</v>
      </c>
      <c r="C19" s="9" t="s">
        <v>165</v>
      </c>
      <c r="D19" s="9" t="s">
        <v>166</v>
      </c>
      <c r="E19" s="9" t="str">
        <f>"0,9391"</f>
        <v>0,9391</v>
      </c>
      <c r="F19" s="9" t="s">
        <v>14</v>
      </c>
      <c r="G19" s="9" t="s">
        <v>15</v>
      </c>
      <c r="H19" s="25" t="s">
        <v>18</v>
      </c>
      <c r="I19" s="25" t="s">
        <v>155</v>
      </c>
      <c r="J19" s="59" t="s">
        <v>167</v>
      </c>
      <c r="K19" s="60"/>
      <c r="L19" s="44" t="s">
        <v>155</v>
      </c>
      <c r="M19" s="44" t="str">
        <f>"42,2595"</f>
        <v>42,2595</v>
      </c>
      <c r="N19" s="9" t="s">
        <v>177</v>
      </c>
    </row>
    <row r="21" spans="2:13" ht="15.75">
      <c r="B21" s="103" t="s">
        <v>19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</row>
    <row r="22" spans="1:14" ht="12.75">
      <c r="A22" s="57">
        <v>1</v>
      </c>
      <c r="B22" s="137" t="s">
        <v>566</v>
      </c>
      <c r="C22" s="11" t="s">
        <v>168</v>
      </c>
      <c r="D22" s="138" t="s">
        <v>169</v>
      </c>
      <c r="E22" s="11" t="str">
        <f>"0,8122"</f>
        <v>0,8122</v>
      </c>
      <c r="F22" s="138" t="s">
        <v>135</v>
      </c>
      <c r="G22" s="11" t="s">
        <v>61</v>
      </c>
      <c r="H22" s="139" t="s">
        <v>170</v>
      </c>
      <c r="I22" s="66" t="s">
        <v>171</v>
      </c>
      <c r="J22" s="159" t="s">
        <v>172</v>
      </c>
      <c r="K22" s="158"/>
      <c r="L22" s="46" t="s">
        <v>171</v>
      </c>
      <c r="M22" s="141" t="str">
        <f>"77,1590"</f>
        <v>77,1590</v>
      </c>
      <c r="N22" s="11" t="s">
        <v>173</v>
      </c>
    </row>
    <row r="23" spans="1:14" ht="12.75">
      <c r="A23" s="57">
        <v>1</v>
      </c>
      <c r="B23" s="73" t="s">
        <v>567</v>
      </c>
      <c r="C23" s="12" t="s">
        <v>175</v>
      </c>
      <c r="D23" s="145" t="s">
        <v>176</v>
      </c>
      <c r="E23" s="12" t="str">
        <f>"0,7881"</f>
        <v>0,7881</v>
      </c>
      <c r="F23" s="145" t="s">
        <v>22</v>
      </c>
      <c r="G23" s="12" t="s">
        <v>643</v>
      </c>
      <c r="H23" s="146" t="s">
        <v>40</v>
      </c>
      <c r="I23" s="69" t="s">
        <v>25</v>
      </c>
      <c r="J23" s="147" t="s">
        <v>32</v>
      </c>
      <c r="K23" s="161"/>
      <c r="L23" s="47">
        <v>142.5</v>
      </c>
      <c r="M23" s="149" t="str">
        <f>"112,3043"</f>
        <v>112,3043</v>
      </c>
      <c r="N23" s="12" t="s">
        <v>177</v>
      </c>
    </row>
    <row r="25" spans="2:13" ht="15.75">
      <c r="B25" s="103" t="s">
        <v>178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</row>
    <row r="26" spans="1:14" ht="12.75">
      <c r="A26" s="57">
        <v>1</v>
      </c>
      <c r="B26" s="137" t="s">
        <v>568</v>
      </c>
      <c r="C26" s="11" t="s">
        <v>179</v>
      </c>
      <c r="D26" s="138" t="s">
        <v>180</v>
      </c>
      <c r="E26" s="11" t="str">
        <f>"0,7300"</f>
        <v>0,7300</v>
      </c>
      <c r="F26" s="138" t="s">
        <v>135</v>
      </c>
      <c r="G26" s="11" t="s">
        <v>61</v>
      </c>
      <c r="H26" s="139" t="s">
        <v>171</v>
      </c>
      <c r="I26" s="67" t="s">
        <v>151</v>
      </c>
      <c r="J26" s="159" t="s">
        <v>151</v>
      </c>
      <c r="K26" s="68"/>
      <c r="L26" s="141" t="s">
        <v>171</v>
      </c>
      <c r="M26" s="46" t="str">
        <f>"69,3500"</f>
        <v>69,3500</v>
      </c>
      <c r="N26" s="142" t="s">
        <v>173</v>
      </c>
    </row>
    <row r="27" spans="1:14" ht="12.75">
      <c r="A27" s="57">
        <v>1</v>
      </c>
      <c r="B27" s="143" t="s">
        <v>569</v>
      </c>
      <c r="C27" s="75" t="s">
        <v>181</v>
      </c>
      <c r="D27" s="31" t="s">
        <v>182</v>
      </c>
      <c r="E27" s="75" t="str">
        <f>"0,7166"</f>
        <v>0,7166</v>
      </c>
      <c r="F27" s="31" t="s">
        <v>135</v>
      </c>
      <c r="G27" s="75" t="s">
        <v>61</v>
      </c>
      <c r="H27" s="132" t="s">
        <v>183</v>
      </c>
      <c r="I27" s="76" t="s">
        <v>184</v>
      </c>
      <c r="J27" s="135" t="s">
        <v>33</v>
      </c>
      <c r="K27" s="77"/>
      <c r="L27" s="134" t="s">
        <v>184</v>
      </c>
      <c r="M27" s="78" t="str">
        <f>"111,0730"</f>
        <v>111,0730</v>
      </c>
      <c r="N27" s="144" t="s">
        <v>177</v>
      </c>
    </row>
    <row r="28" spans="1:14" ht="12.75">
      <c r="A28" s="57">
        <v>2</v>
      </c>
      <c r="B28" s="143" t="s">
        <v>559</v>
      </c>
      <c r="C28" s="75" t="s">
        <v>185</v>
      </c>
      <c r="D28" s="31" t="s">
        <v>186</v>
      </c>
      <c r="E28" s="75" t="str">
        <f>"0,7228"</f>
        <v>0,7228</v>
      </c>
      <c r="F28" s="31" t="s">
        <v>14</v>
      </c>
      <c r="G28" s="75" t="s">
        <v>15</v>
      </c>
      <c r="H28" s="132" t="s">
        <v>62</v>
      </c>
      <c r="I28" s="76" t="s">
        <v>40</v>
      </c>
      <c r="J28" s="136"/>
      <c r="K28" s="77"/>
      <c r="L28" s="134" t="s">
        <v>40</v>
      </c>
      <c r="M28" s="78" t="str">
        <f>"97,5780"</f>
        <v>97,5780</v>
      </c>
      <c r="N28" s="144" t="s">
        <v>177</v>
      </c>
    </row>
    <row r="29" spans="1:14" ht="12.75">
      <c r="A29" s="57">
        <v>3</v>
      </c>
      <c r="B29" s="143" t="s">
        <v>570</v>
      </c>
      <c r="C29" s="75" t="s">
        <v>187</v>
      </c>
      <c r="D29" s="31" t="s">
        <v>188</v>
      </c>
      <c r="E29" s="75" t="str">
        <f>"0,7293"</f>
        <v>0,7293</v>
      </c>
      <c r="F29" s="31" t="s">
        <v>135</v>
      </c>
      <c r="G29" s="75" t="s">
        <v>61</v>
      </c>
      <c r="H29" s="132" t="s">
        <v>189</v>
      </c>
      <c r="I29" s="151" t="s">
        <v>190</v>
      </c>
      <c r="J29" s="136"/>
      <c r="K29" s="77"/>
      <c r="L29" s="134">
        <v>112.5</v>
      </c>
      <c r="M29" s="78" t="str">
        <f>"82,0463"</f>
        <v>82,0463</v>
      </c>
      <c r="N29" s="144" t="s">
        <v>177</v>
      </c>
    </row>
    <row r="30" spans="1:14" ht="12.75">
      <c r="A30" s="57">
        <v>4</v>
      </c>
      <c r="B30" s="73" t="s">
        <v>571</v>
      </c>
      <c r="C30" s="12" t="s">
        <v>191</v>
      </c>
      <c r="D30" s="145" t="s">
        <v>192</v>
      </c>
      <c r="E30" s="12" t="str">
        <f>"0,7139"</f>
        <v>0,7139</v>
      </c>
      <c r="F30" s="145" t="s">
        <v>193</v>
      </c>
      <c r="G30" s="12" t="s">
        <v>61</v>
      </c>
      <c r="H30" s="146" t="s">
        <v>150</v>
      </c>
      <c r="I30" s="69" t="s">
        <v>44</v>
      </c>
      <c r="J30" s="147" t="s">
        <v>194</v>
      </c>
      <c r="K30" s="71"/>
      <c r="L30" s="149" t="s">
        <v>44</v>
      </c>
      <c r="M30" s="47" t="str">
        <f>"78,5290"</f>
        <v>78,5290</v>
      </c>
      <c r="N30" s="74" t="s">
        <v>177</v>
      </c>
    </row>
    <row r="32" spans="2:13" ht="15.75">
      <c r="B32" s="103" t="s">
        <v>27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</row>
    <row r="33" spans="1:14" ht="12.75">
      <c r="A33" s="57">
        <v>1</v>
      </c>
      <c r="B33" s="137" t="s">
        <v>572</v>
      </c>
      <c r="C33" s="11" t="s">
        <v>195</v>
      </c>
      <c r="D33" s="138" t="s">
        <v>196</v>
      </c>
      <c r="E33" s="11" t="str">
        <f>"0,6827"</f>
        <v>0,6827</v>
      </c>
      <c r="F33" s="138" t="s">
        <v>135</v>
      </c>
      <c r="G33" s="11" t="s">
        <v>61</v>
      </c>
      <c r="H33" s="139" t="s">
        <v>194</v>
      </c>
      <c r="I33" s="66" t="s">
        <v>197</v>
      </c>
      <c r="J33" s="139" t="s">
        <v>198</v>
      </c>
      <c r="K33" s="68"/>
      <c r="L33" s="141">
        <v>127.5</v>
      </c>
      <c r="M33" s="46" t="str">
        <f>"87,0442"</f>
        <v>87,0442</v>
      </c>
      <c r="N33" s="142" t="s">
        <v>137</v>
      </c>
    </row>
    <row r="34" spans="1:14" ht="12.75">
      <c r="A34" s="57">
        <v>1</v>
      </c>
      <c r="B34" s="143" t="s">
        <v>555</v>
      </c>
      <c r="C34" s="75" t="s">
        <v>199</v>
      </c>
      <c r="D34" s="31" t="s">
        <v>200</v>
      </c>
      <c r="E34" s="75" t="str">
        <f>"0,6774"</f>
        <v>0,6774</v>
      </c>
      <c r="F34" s="31" t="s">
        <v>14</v>
      </c>
      <c r="G34" s="75" t="s">
        <v>15</v>
      </c>
      <c r="H34" s="132" t="s">
        <v>183</v>
      </c>
      <c r="I34" s="77"/>
      <c r="J34" s="136"/>
      <c r="K34" s="77"/>
      <c r="L34" s="134" t="s">
        <v>183</v>
      </c>
      <c r="M34" s="78" t="str">
        <f>"98,2230"</f>
        <v>98,2230</v>
      </c>
      <c r="N34" s="144" t="s">
        <v>177</v>
      </c>
    </row>
    <row r="35" spans="1:14" ht="12.75">
      <c r="A35" s="57">
        <v>2</v>
      </c>
      <c r="B35" s="143" t="s">
        <v>573</v>
      </c>
      <c r="C35" s="75" t="s">
        <v>201</v>
      </c>
      <c r="D35" s="31" t="s">
        <v>29</v>
      </c>
      <c r="E35" s="75" t="str">
        <f>"0,6699"</f>
        <v>0,6699</v>
      </c>
      <c r="F35" s="31" t="s">
        <v>22</v>
      </c>
      <c r="G35" s="75" t="s">
        <v>39</v>
      </c>
      <c r="H35" s="135" t="s">
        <v>58</v>
      </c>
      <c r="I35" s="76" t="s">
        <v>58</v>
      </c>
      <c r="J35" s="132" t="s">
        <v>183</v>
      </c>
      <c r="K35" s="77"/>
      <c r="L35" s="134" t="s">
        <v>183</v>
      </c>
      <c r="M35" s="78" t="str">
        <f>"97,1355"</f>
        <v>97,1355</v>
      </c>
      <c r="N35" s="144" t="s">
        <v>177</v>
      </c>
    </row>
    <row r="36" spans="1:14" ht="12.75">
      <c r="A36" s="57">
        <v>3</v>
      </c>
      <c r="B36" s="143" t="s">
        <v>574</v>
      </c>
      <c r="C36" s="75" t="s">
        <v>202</v>
      </c>
      <c r="D36" s="31" t="s">
        <v>203</v>
      </c>
      <c r="E36" s="75" t="str">
        <f>"0,6832"</f>
        <v>0,6832</v>
      </c>
      <c r="F36" s="31" t="s">
        <v>22</v>
      </c>
      <c r="G36" s="75" t="s">
        <v>61</v>
      </c>
      <c r="H36" s="132" t="s">
        <v>198</v>
      </c>
      <c r="I36" s="76" t="s">
        <v>24</v>
      </c>
      <c r="J36" s="135" t="s">
        <v>40</v>
      </c>
      <c r="K36" s="77"/>
      <c r="L36" s="134">
        <v>132.5</v>
      </c>
      <c r="M36" s="78" t="str">
        <f>"90,5240"</f>
        <v>90,5240</v>
      </c>
      <c r="N36" s="144" t="s">
        <v>177</v>
      </c>
    </row>
    <row r="37" spans="1:14" ht="12.75">
      <c r="A37" s="57">
        <v>4</v>
      </c>
      <c r="B37" s="143" t="s">
        <v>575</v>
      </c>
      <c r="C37" s="75" t="s">
        <v>204</v>
      </c>
      <c r="D37" s="31" t="s">
        <v>205</v>
      </c>
      <c r="E37" s="75" t="str">
        <f>"0,6843"</f>
        <v>0,6843</v>
      </c>
      <c r="F37" s="31" t="s">
        <v>22</v>
      </c>
      <c r="G37" s="75" t="s">
        <v>61</v>
      </c>
      <c r="H37" s="132" t="s">
        <v>194</v>
      </c>
      <c r="I37" s="76" t="s">
        <v>198</v>
      </c>
      <c r="J37" s="135" t="s">
        <v>40</v>
      </c>
      <c r="K37" s="77"/>
      <c r="L37" s="134">
        <v>127.5</v>
      </c>
      <c r="M37" s="78" t="str">
        <f>"87,2483"</f>
        <v>87,2483</v>
      </c>
      <c r="N37" s="144" t="s">
        <v>416</v>
      </c>
    </row>
    <row r="38" spans="1:14" ht="12.75">
      <c r="A38" s="57">
        <v>5</v>
      </c>
      <c r="B38" s="73" t="s">
        <v>576</v>
      </c>
      <c r="C38" s="12" t="s">
        <v>207</v>
      </c>
      <c r="D38" s="145" t="s">
        <v>29</v>
      </c>
      <c r="E38" s="12" t="str">
        <f>"0,6699"</f>
        <v>0,6699</v>
      </c>
      <c r="F38" s="145" t="s">
        <v>22</v>
      </c>
      <c r="G38" s="12" t="s">
        <v>61</v>
      </c>
      <c r="H38" s="146" t="s">
        <v>198</v>
      </c>
      <c r="I38" s="70" t="s">
        <v>24</v>
      </c>
      <c r="J38" s="147" t="s">
        <v>24</v>
      </c>
      <c r="K38" s="71"/>
      <c r="L38" s="149">
        <v>127.5</v>
      </c>
      <c r="M38" s="47" t="str">
        <f>"85,4123"</f>
        <v>85,4123</v>
      </c>
      <c r="N38" s="74" t="s">
        <v>177</v>
      </c>
    </row>
    <row r="40" spans="2:13" ht="15.75">
      <c r="B40" s="103" t="s">
        <v>45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</row>
    <row r="41" spans="1:14" ht="12.75">
      <c r="A41" s="57">
        <v>1</v>
      </c>
      <c r="B41" s="137" t="s">
        <v>577</v>
      </c>
      <c r="C41" s="11" t="s">
        <v>208</v>
      </c>
      <c r="D41" s="138" t="s">
        <v>209</v>
      </c>
      <c r="E41" s="11" t="str">
        <f>"0,6503"</f>
        <v>0,6503</v>
      </c>
      <c r="F41" s="138" t="s">
        <v>210</v>
      </c>
      <c r="G41" s="11" t="s">
        <v>211</v>
      </c>
      <c r="H41" s="139" t="s">
        <v>24</v>
      </c>
      <c r="I41" s="66" t="s">
        <v>58</v>
      </c>
      <c r="J41" s="139" t="s">
        <v>212</v>
      </c>
      <c r="K41" s="68"/>
      <c r="L41" s="141">
        <v>147.5</v>
      </c>
      <c r="M41" s="46" t="str">
        <f>"95,9193"</f>
        <v>95,9193</v>
      </c>
      <c r="N41" s="142" t="s">
        <v>177</v>
      </c>
    </row>
    <row r="42" spans="1:14" ht="12.75">
      <c r="A42" s="57">
        <v>1</v>
      </c>
      <c r="B42" s="143" t="s">
        <v>578</v>
      </c>
      <c r="C42" s="75" t="s">
        <v>213</v>
      </c>
      <c r="D42" s="31" t="s">
        <v>214</v>
      </c>
      <c r="E42" s="75" t="str">
        <f>"0,6444"</f>
        <v>0,6444</v>
      </c>
      <c r="F42" s="31" t="s">
        <v>22</v>
      </c>
      <c r="G42" s="75" t="s">
        <v>643</v>
      </c>
      <c r="H42" s="132" t="s">
        <v>215</v>
      </c>
      <c r="I42" s="151" t="s">
        <v>89</v>
      </c>
      <c r="J42" s="135" t="s">
        <v>89</v>
      </c>
      <c r="K42" s="77"/>
      <c r="L42" s="134">
        <v>157.5</v>
      </c>
      <c r="M42" s="78" t="str">
        <f>"101,4930"</f>
        <v>101,4930</v>
      </c>
      <c r="N42" s="144" t="s">
        <v>177</v>
      </c>
    </row>
    <row r="43" spans="1:14" ht="12.75">
      <c r="A43" s="57">
        <v>2</v>
      </c>
      <c r="B43" s="143" t="s">
        <v>579</v>
      </c>
      <c r="C43" s="75" t="s">
        <v>216</v>
      </c>
      <c r="D43" s="31" t="s">
        <v>217</v>
      </c>
      <c r="E43" s="75" t="str">
        <f>"0,6424"</f>
        <v>0,6424</v>
      </c>
      <c r="F43" s="31" t="s">
        <v>22</v>
      </c>
      <c r="G43" s="75" t="s">
        <v>54</v>
      </c>
      <c r="H43" s="132" t="s">
        <v>183</v>
      </c>
      <c r="I43" s="76" t="s">
        <v>218</v>
      </c>
      <c r="J43" s="132" t="s">
        <v>215</v>
      </c>
      <c r="K43" s="77"/>
      <c r="L43" s="134">
        <v>157.5</v>
      </c>
      <c r="M43" s="78" t="str">
        <f>"101,1780"</f>
        <v>101,1780</v>
      </c>
      <c r="N43" s="144" t="s">
        <v>177</v>
      </c>
    </row>
    <row r="44" spans="2:14" ht="12.75">
      <c r="B44" s="73" t="s">
        <v>219</v>
      </c>
      <c r="C44" s="12" t="s">
        <v>220</v>
      </c>
      <c r="D44" s="145" t="s">
        <v>221</v>
      </c>
      <c r="E44" s="12" t="str">
        <f>"0,6451"</f>
        <v>0,6451</v>
      </c>
      <c r="F44" s="145" t="s">
        <v>22</v>
      </c>
      <c r="G44" s="12" t="s">
        <v>61</v>
      </c>
      <c r="H44" s="147" t="s">
        <v>58</v>
      </c>
      <c r="I44" s="70" t="s">
        <v>58</v>
      </c>
      <c r="J44" s="147" t="s">
        <v>58</v>
      </c>
      <c r="K44" s="71"/>
      <c r="L44" s="149">
        <v>0</v>
      </c>
      <c r="M44" s="47" t="s">
        <v>533</v>
      </c>
      <c r="N44" s="74" t="s">
        <v>177</v>
      </c>
    </row>
    <row r="46" spans="2:13" ht="15.75">
      <c r="B46" s="103" t="s">
        <v>63</v>
      </c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</row>
    <row r="47" spans="1:14" ht="12.75">
      <c r="A47" s="57">
        <v>1</v>
      </c>
      <c r="B47" s="137" t="s">
        <v>524</v>
      </c>
      <c r="C47" s="11" t="s">
        <v>222</v>
      </c>
      <c r="D47" s="138" t="s">
        <v>223</v>
      </c>
      <c r="E47" s="11" t="str">
        <f>"0,6086"</f>
        <v>0,6086</v>
      </c>
      <c r="F47" s="138" t="s">
        <v>210</v>
      </c>
      <c r="G47" s="11" t="s">
        <v>211</v>
      </c>
      <c r="H47" s="139" t="s">
        <v>104</v>
      </c>
      <c r="I47" s="68"/>
      <c r="J47" s="158"/>
      <c r="K47" s="68"/>
      <c r="L47" s="141" t="s">
        <v>104</v>
      </c>
      <c r="M47" s="46" t="str">
        <f>"115,6340"</f>
        <v>115,6340</v>
      </c>
      <c r="N47" s="142" t="s">
        <v>417</v>
      </c>
    </row>
    <row r="48" spans="1:14" ht="12.75">
      <c r="A48" s="57">
        <v>2</v>
      </c>
      <c r="B48" s="143" t="s">
        <v>580</v>
      </c>
      <c r="C48" s="75" t="s">
        <v>224</v>
      </c>
      <c r="D48" s="31" t="s">
        <v>225</v>
      </c>
      <c r="E48" s="75" t="str">
        <f>"0,6098"</f>
        <v>0,6098</v>
      </c>
      <c r="F48" s="31" t="s">
        <v>135</v>
      </c>
      <c r="G48" s="75" t="s">
        <v>61</v>
      </c>
      <c r="H48" s="132" t="s">
        <v>184</v>
      </c>
      <c r="I48" s="76" t="s">
        <v>33</v>
      </c>
      <c r="J48" s="132" t="s">
        <v>34</v>
      </c>
      <c r="K48" s="77"/>
      <c r="L48" s="134" t="s">
        <v>34</v>
      </c>
      <c r="M48" s="78" t="str">
        <f>"100,6170"</f>
        <v>100,6170</v>
      </c>
      <c r="N48" s="144" t="s">
        <v>177</v>
      </c>
    </row>
    <row r="49" spans="1:14" ht="12.75">
      <c r="A49" s="57">
        <v>3</v>
      </c>
      <c r="B49" s="143" t="s">
        <v>581</v>
      </c>
      <c r="C49" s="75" t="s">
        <v>226</v>
      </c>
      <c r="D49" s="31" t="s">
        <v>227</v>
      </c>
      <c r="E49" s="75" t="str">
        <f>"0,6147"</f>
        <v>0,6147</v>
      </c>
      <c r="F49" s="31" t="s">
        <v>22</v>
      </c>
      <c r="G49" s="75" t="s">
        <v>61</v>
      </c>
      <c r="H49" s="132" t="s">
        <v>40</v>
      </c>
      <c r="I49" s="76" t="s">
        <v>58</v>
      </c>
      <c r="J49" s="135" t="s">
        <v>183</v>
      </c>
      <c r="K49" s="77"/>
      <c r="L49" s="134" t="s">
        <v>58</v>
      </c>
      <c r="M49" s="78" t="str">
        <f>"86,0580"</f>
        <v>86,0580</v>
      </c>
      <c r="N49" s="144" t="s">
        <v>177</v>
      </c>
    </row>
    <row r="50" spans="1:14" ht="12.75">
      <c r="A50" s="57">
        <v>4</v>
      </c>
      <c r="B50" s="143" t="s">
        <v>582</v>
      </c>
      <c r="C50" s="75" t="s">
        <v>228</v>
      </c>
      <c r="D50" s="31" t="s">
        <v>229</v>
      </c>
      <c r="E50" s="75" t="str">
        <f>"0,6266"</f>
        <v>0,6266</v>
      </c>
      <c r="F50" s="31" t="s">
        <v>14</v>
      </c>
      <c r="G50" s="75" t="s">
        <v>15</v>
      </c>
      <c r="H50" s="132" t="s">
        <v>62</v>
      </c>
      <c r="I50" s="151" t="s">
        <v>58</v>
      </c>
      <c r="J50" s="135" t="s">
        <v>58</v>
      </c>
      <c r="K50" s="77"/>
      <c r="L50" s="134" t="s">
        <v>62</v>
      </c>
      <c r="M50" s="78" t="str">
        <f>"81,4580"</f>
        <v>81,4580</v>
      </c>
      <c r="N50" s="144" t="s">
        <v>177</v>
      </c>
    </row>
    <row r="51" spans="1:14" ht="12.75">
      <c r="A51" s="57">
        <v>5</v>
      </c>
      <c r="B51" s="143" t="s">
        <v>583</v>
      </c>
      <c r="C51" s="75" t="s">
        <v>230</v>
      </c>
      <c r="D51" s="31" t="s">
        <v>231</v>
      </c>
      <c r="E51" s="75" t="str">
        <f>"0,6209"</f>
        <v>0,6209</v>
      </c>
      <c r="F51" s="31" t="s">
        <v>14</v>
      </c>
      <c r="G51" s="75" t="s">
        <v>15</v>
      </c>
      <c r="H51" s="132" t="s">
        <v>232</v>
      </c>
      <c r="I51" s="76" t="s">
        <v>62</v>
      </c>
      <c r="J51" s="135" t="s">
        <v>58</v>
      </c>
      <c r="K51" s="77"/>
      <c r="L51" s="134" t="s">
        <v>62</v>
      </c>
      <c r="M51" s="78" t="str">
        <f>"80,7170"</f>
        <v>80,7170</v>
      </c>
      <c r="N51" s="144" t="s">
        <v>177</v>
      </c>
    </row>
    <row r="52" spans="1:14" ht="12.75">
      <c r="A52" s="57">
        <v>6</v>
      </c>
      <c r="B52" s="143" t="s">
        <v>584</v>
      </c>
      <c r="C52" s="75" t="s">
        <v>233</v>
      </c>
      <c r="D52" s="31" t="s">
        <v>234</v>
      </c>
      <c r="E52" s="75" t="str">
        <f>"0,6123"</f>
        <v>0,6123</v>
      </c>
      <c r="F52" s="31" t="s">
        <v>22</v>
      </c>
      <c r="G52" s="75" t="s">
        <v>61</v>
      </c>
      <c r="H52" s="132" t="s">
        <v>62</v>
      </c>
      <c r="I52" s="151" t="s">
        <v>58</v>
      </c>
      <c r="J52" s="135" t="s">
        <v>58</v>
      </c>
      <c r="K52" s="77"/>
      <c r="L52" s="134" t="s">
        <v>62</v>
      </c>
      <c r="M52" s="78" t="str">
        <f>"79,5990"</f>
        <v>79,5990</v>
      </c>
      <c r="N52" s="144" t="s">
        <v>137</v>
      </c>
    </row>
    <row r="53" spans="1:14" ht="12.75">
      <c r="A53" s="57">
        <v>1</v>
      </c>
      <c r="B53" s="143" t="s">
        <v>585</v>
      </c>
      <c r="C53" s="75" t="s">
        <v>235</v>
      </c>
      <c r="D53" s="31" t="s">
        <v>236</v>
      </c>
      <c r="E53" s="75" t="str">
        <f>"0,6113"</f>
        <v>0,6113</v>
      </c>
      <c r="F53" s="31" t="s">
        <v>30</v>
      </c>
      <c r="G53" s="75" t="s">
        <v>61</v>
      </c>
      <c r="H53" s="132" t="s">
        <v>183</v>
      </c>
      <c r="I53" s="76" t="s">
        <v>184</v>
      </c>
      <c r="J53" s="132" t="s">
        <v>89</v>
      </c>
      <c r="K53" s="77"/>
      <c r="L53" s="134">
        <v>162.5</v>
      </c>
      <c r="M53" s="78" t="str">
        <f>"99,3362"</f>
        <v>99,3362</v>
      </c>
      <c r="N53" s="144" t="s">
        <v>35</v>
      </c>
    </row>
    <row r="54" spans="1:14" ht="12.75">
      <c r="A54" s="57">
        <v>2</v>
      </c>
      <c r="B54" s="143" t="s">
        <v>586</v>
      </c>
      <c r="C54" s="75" t="s">
        <v>237</v>
      </c>
      <c r="D54" s="31" t="s">
        <v>238</v>
      </c>
      <c r="E54" s="75" t="str">
        <f>"0,6136"</f>
        <v>0,6136</v>
      </c>
      <c r="F54" s="31" t="s">
        <v>22</v>
      </c>
      <c r="G54" s="75" t="s">
        <v>239</v>
      </c>
      <c r="H54" s="132" t="s">
        <v>25</v>
      </c>
      <c r="I54" s="76" t="s">
        <v>32</v>
      </c>
      <c r="J54" s="132" t="s">
        <v>215</v>
      </c>
      <c r="K54" s="77"/>
      <c r="L54" s="134">
        <v>157.5</v>
      </c>
      <c r="M54" s="78" t="str">
        <f>"96,6420"</f>
        <v>96,6420</v>
      </c>
      <c r="N54" s="144" t="s">
        <v>177</v>
      </c>
    </row>
    <row r="55" spans="1:14" ht="12.75">
      <c r="A55" s="57">
        <v>1</v>
      </c>
      <c r="B55" s="73" t="s">
        <v>587</v>
      </c>
      <c r="C55" s="12" t="s">
        <v>240</v>
      </c>
      <c r="D55" s="145" t="s">
        <v>238</v>
      </c>
      <c r="E55" s="12" t="str">
        <f>"0,6136"</f>
        <v>0,6136</v>
      </c>
      <c r="F55" s="145" t="s">
        <v>135</v>
      </c>
      <c r="G55" s="12" t="s">
        <v>61</v>
      </c>
      <c r="H55" s="146" t="s">
        <v>33</v>
      </c>
      <c r="I55" s="69" t="s">
        <v>34</v>
      </c>
      <c r="J55" s="146" t="s">
        <v>48</v>
      </c>
      <c r="K55" s="71"/>
      <c r="L55" s="149" t="s">
        <v>48</v>
      </c>
      <c r="M55" s="47" t="str">
        <f>"112,4483"</f>
        <v>112,4483</v>
      </c>
      <c r="N55" s="74" t="s">
        <v>177</v>
      </c>
    </row>
    <row r="57" spans="2:13" ht="15.75">
      <c r="B57" s="120" t="s">
        <v>66</v>
      </c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</row>
    <row r="58" spans="1:14" ht="12.75">
      <c r="A58" s="57">
        <v>1</v>
      </c>
      <c r="B58" s="137" t="s">
        <v>588</v>
      </c>
      <c r="C58" s="11" t="s">
        <v>241</v>
      </c>
      <c r="D58" s="138" t="s">
        <v>242</v>
      </c>
      <c r="E58" s="11" t="str">
        <f>"0,5892"</f>
        <v>0,5892</v>
      </c>
      <c r="F58" s="138" t="s">
        <v>22</v>
      </c>
      <c r="G58" s="163" t="s">
        <v>61</v>
      </c>
      <c r="H58" s="139" t="s">
        <v>51</v>
      </c>
      <c r="I58" s="66" t="s">
        <v>94</v>
      </c>
      <c r="J58" s="159" t="s">
        <v>76</v>
      </c>
      <c r="K58" s="68"/>
      <c r="L58" s="141" t="s">
        <v>94</v>
      </c>
      <c r="M58" s="46" t="str">
        <f>"114,8940"</f>
        <v>114,8940</v>
      </c>
      <c r="N58" s="142" t="s">
        <v>177</v>
      </c>
    </row>
    <row r="59" spans="1:14" ht="12.75">
      <c r="A59" s="57">
        <v>1</v>
      </c>
      <c r="B59" s="143" t="s">
        <v>243</v>
      </c>
      <c r="C59" s="75" t="s">
        <v>244</v>
      </c>
      <c r="D59" s="31" t="s">
        <v>245</v>
      </c>
      <c r="E59" s="75" t="str">
        <f>"0,6000"</f>
        <v>0,6000</v>
      </c>
      <c r="F59" s="31" t="s">
        <v>38</v>
      </c>
      <c r="G59" s="75" t="s">
        <v>61</v>
      </c>
      <c r="H59" s="132" t="s">
        <v>70</v>
      </c>
      <c r="I59" s="76" t="s">
        <v>246</v>
      </c>
      <c r="J59" s="135" t="s">
        <v>84</v>
      </c>
      <c r="K59" s="77"/>
      <c r="L59" s="134">
        <v>197.5</v>
      </c>
      <c r="M59" s="78" t="str">
        <f>"118,5000"</f>
        <v>118,5000</v>
      </c>
      <c r="N59" s="144" t="s">
        <v>177</v>
      </c>
    </row>
    <row r="60" spans="1:14" ht="12.75">
      <c r="A60" s="57">
        <v>2</v>
      </c>
      <c r="B60" s="143" t="s">
        <v>247</v>
      </c>
      <c r="C60" s="75" t="s">
        <v>248</v>
      </c>
      <c r="D60" s="31" t="s">
        <v>249</v>
      </c>
      <c r="E60" s="75" t="str">
        <f>"0,5888"</f>
        <v>0,5888</v>
      </c>
      <c r="F60" s="31" t="s">
        <v>22</v>
      </c>
      <c r="G60" s="75" t="s">
        <v>644</v>
      </c>
      <c r="H60" s="132" t="s">
        <v>33</v>
      </c>
      <c r="I60" s="151" t="s">
        <v>90</v>
      </c>
      <c r="J60" s="135" t="s">
        <v>90</v>
      </c>
      <c r="K60" s="77"/>
      <c r="L60" s="134" t="s">
        <v>33</v>
      </c>
      <c r="M60" s="78" t="str">
        <f>"94,2080"</f>
        <v>94,2080</v>
      </c>
      <c r="N60" s="144" t="s">
        <v>177</v>
      </c>
    </row>
    <row r="61" spans="2:14" ht="12.75">
      <c r="B61" s="73" t="s">
        <v>250</v>
      </c>
      <c r="C61" s="12" t="s">
        <v>251</v>
      </c>
      <c r="D61" s="145" t="s">
        <v>252</v>
      </c>
      <c r="E61" s="12" t="str">
        <f>"0,5986"</f>
        <v>0,5986</v>
      </c>
      <c r="F61" s="145" t="s">
        <v>22</v>
      </c>
      <c r="G61" s="12" t="s">
        <v>61</v>
      </c>
      <c r="H61" s="147" t="s">
        <v>90</v>
      </c>
      <c r="I61" s="70" t="s">
        <v>90</v>
      </c>
      <c r="J61" s="147" t="s">
        <v>90</v>
      </c>
      <c r="K61" s="71"/>
      <c r="L61" s="149">
        <v>0</v>
      </c>
      <c r="M61" s="47" t="s">
        <v>533</v>
      </c>
      <c r="N61" s="74" t="s">
        <v>177</v>
      </c>
    </row>
    <row r="63" spans="2:13" ht="15.75">
      <c r="B63" s="103" t="s">
        <v>95</v>
      </c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</row>
    <row r="64" spans="1:14" ht="12.75">
      <c r="A64" s="57">
        <v>1</v>
      </c>
      <c r="B64" s="137" t="s">
        <v>253</v>
      </c>
      <c r="C64" s="11" t="s">
        <v>254</v>
      </c>
      <c r="D64" s="138" t="s">
        <v>255</v>
      </c>
      <c r="E64" s="11" t="str">
        <f>"0,5754"</f>
        <v>0,5754</v>
      </c>
      <c r="F64" s="138" t="s">
        <v>14</v>
      </c>
      <c r="G64" s="11" t="s">
        <v>256</v>
      </c>
      <c r="H64" s="139" t="s">
        <v>117</v>
      </c>
      <c r="I64" s="66" t="s">
        <v>113</v>
      </c>
      <c r="J64" s="159" t="s">
        <v>257</v>
      </c>
      <c r="K64" s="158"/>
      <c r="L64" s="46" t="s">
        <v>113</v>
      </c>
      <c r="M64" s="141" t="str">
        <f>"126,5880"</f>
        <v>126,5880</v>
      </c>
      <c r="N64" s="11" t="s">
        <v>258</v>
      </c>
    </row>
    <row r="65" spans="1:14" ht="12.75">
      <c r="A65" s="57">
        <v>1</v>
      </c>
      <c r="B65" s="73" t="s">
        <v>589</v>
      </c>
      <c r="C65" s="12" t="s">
        <v>259</v>
      </c>
      <c r="D65" s="145" t="s">
        <v>255</v>
      </c>
      <c r="E65" s="12" t="str">
        <f>"0,5754"</f>
        <v>0,5754</v>
      </c>
      <c r="F65" s="145" t="s">
        <v>14</v>
      </c>
      <c r="G65" s="12" t="s">
        <v>256</v>
      </c>
      <c r="H65" s="146" t="s">
        <v>117</v>
      </c>
      <c r="I65" s="69" t="s">
        <v>113</v>
      </c>
      <c r="J65" s="147" t="s">
        <v>257</v>
      </c>
      <c r="K65" s="161"/>
      <c r="L65" s="47" t="s">
        <v>113</v>
      </c>
      <c r="M65" s="149" t="str">
        <f>"126,5880"</f>
        <v>126,5880</v>
      </c>
      <c r="N65" s="12" t="s">
        <v>258</v>
      </c>
    </row>
    <row r="67" spans="2:6" ht="15.75">
      <c r="B67" s="36" t="s">
        <v>492</v>
      </c>
      <c r="C67" s="36"/>
      <c r="D67" s="31"/>
      <c r="E67" s="31"/>
      <c r="F67" s="31"/>
    </row>
    <row r="68" spans="2:6" ht="12.75">
      <c r="B68" s="31"/>
      <c r="C68" s="31"/>
      <c r="D68" s="31"/>
      <c r="E68" s="31"/>
      <c r="F68" s="31"/>
    </row>
    <row r="69" spans="2:6" ht="13.5">
      <c r="B69" s="37"/>
      <c r="C69" s="38" t="s">
        <v>122</v>
      </c>
      <c r="D69" s="39"/>
      <c r="E69" s="39"/>
      <c r="F69" s="39"/>
    </row>
    <row r="70" spans="2:6" ht="13.5">
      <c r="B70" s="165" t="s">
        <v>123</v>
      </c>
      <c r="C70" s="165" t="s">
        <v>124</v>
      </c>
      <c r="D70" s="165" t="s">
        <v>125</v>
      </c>
      <c r="E70" s="165" t="s">
        <v>126</v>
      </c>
      <c r="F70" s="165" t="s">
        <v>127</v>
      </c>
    </row>
    <row r="71" spans="2:6" ht="12.75">
      <c r="B71" s="35" t="s">
        <v>253</v>
      </c>
      <c r="C71" s="82" t="s">
        <v>122</v>
      </c>
      <c r="D71" s="44" t="s">
        <v>548</v>
      </c>
      <c r="E71" s="44" t="s">
        <v>113</v>
      </c>
      <c r="F71" s="44" t="s">
        <v>260</v>
      </c>
    </row>
    <row r="72" spans="2:6" ht="12.75">
      <c r="B72" s="35" t="s">
        <v>243</v>
      </c>
      <c r="C72" s="82" t="s">
        <v>122</v>
      </c>
      <c r="D72" s="44" t="s">
        <v>590</v>
      </c>
      <c r="E72" s="44" t="s">
        <v>246</v>
      </c>
      <c r="F72" s="44" t="s">
        <v>261</v>
      </c>
    </row>
    <row r="73" spans="2:6" ht="12.75">
      <c r="B73" s="35" t="s">
        <v>174</v>
      </c>
      <c r="C73" s="82" t="s">
        <v>122</v>
      </c>
      <c r="D73" s="44" t="s">
        <v>591</v>
      </c>
      <c r="E73" s="44" t="s">
        <v>25</v>
      </c>
      <c r="F73" s="44" t="s">
        <v>262</v>
      </c>
    </row>
    <row r="74" spans="2:6" ht="12.75">
      <c r="B74" s="16"/>
      <c r="F74" s="20"/>
    </row>
    <row r="75" spans="2:6" ht="12.75">
      <c r="B75" s="16"/>
      <c r="F75" s="20"/>
    </row>
    <row r="76" spans="2:6" ht="12.75">
      <c r="B76" s="16"/>
      <c r="F76" s="20"/>
    </row>
    <row r="77" spans="2:6" ht="12.75">
      <c r="B77" s="16"/>
      <c r="F77" s="20"/>
    </row>
    <row r="78" spans="2:6" ht="12.75">
      <c r="B78" s="16"/>
      <c r="F78" s="20"/>
    </row>
    <row r="80" spans="2:6" ht="13.5">
      <c r="B80" s="37"/>
      <c r="C80" s="38"/>
      <c r="D80" s="39"/>
      <c r="E80" s="39"/>
      <c r="F80" s="39"/>
    </row>
    <row r="81" spans="2:6" ht="13.5">
      <c r="B81" s="40"/>
      <c r="C81" s="40"/>
      <c r="D81" s="40"/>
      <c r="E81" s="40"/>
      <c r="F81" s="40"/>
    </row>
    <row r="82" spans="2:6" ht="12.75">
      <c r="B82" s="41"/>
      <c r="C82" s="39"/>
      <c r="D82" s="39"/>
      <c r="E82" s="39"/>
      <c r="F82" s="39"/>
    </row>
    <row r="83" spans="2:6" ht="12.75">
      <c r="B83" s="41"/>
      <c r="C83" s="39"/>
      <c r="D83" s="39"/>
      <c r="E83" s="39"/>
      <c r="F83" s="39"/>
    </row>
    <row r="84" spans="2:6" ht="12.75">
      <c r="B84" s="41"/>
      <c r="C84" s="39"/>
      <c r="D84" s="39"/>
      <c r="E84" s="39"/>
      <c r="F84" s="39"/>
    </row>
    <row r="85" spans="2:6" ht="12.75">
      <c r="B85" s="41"/>
      <c r="C85" s="39"/>
      <c r="D85" s="39"/>
      <c r="E85" s="39"/>
      <c r="F85" s="39"/>
    </row>
    <row r="86" spans="2:6" ht="12.75">
      <c r="B86" s="16"/>
      <c r="F86" s="20"/>
    </row>
    <row r="87" spans="2:6" ht="12.75">
      <c r="B87" s="16"/>
      <c r="F87" s="20"/>
    </row>
    <row r="88" spans="2:6" ht="12.75">
      <c r="B88" s="16"/>
      <c r="F88" s="20"/>
    </row>
    <row r="89" spans="2:6" ht="12.75">
      <c r="B89" s="16"/>
      <c r="F89" s="20"/>
    </row>
    <row r="90" spans="2:6" ht="12.75">
      <c r="B90" s="16"/>
      <c r="F90" s="20"/>
    </row>
    <row r="91" spans="2:6" ht="12.75">
      <c r="B91" s="16"/>
      <c r="F91" s="20"/>
    </row>
    <row r="92" spans="2:6" ht="12.75">
      <c r="B92" s="16"/>
      <c r="F92" s="20"/>
    </row>
    <row r="93" spans="2:6" ht="12.75">
      <c r="B93" s="16"/>
      <c r="F93" s="20"/>
    </row>
    <row r="94" spans="2:6" ht="12.75">
      <c r="B94" s="16"/>
      <c r="F94" s="20"/>
    </row>
    <row r="95" spans="2:6" ht="12.75">
      <c r="B95" s="16"/>
      <c r="F95" s="20"/>
    </row>
    <row r="96" spans="2:6" ht="12.75">
      <c r="B96" s="16"/>
      <c r="F96" s="20"/>
    </row>
    <row r="97" spans="2:6" ht="12.75">
      <c r="B97" s="16"/>
      <c r="F97" s="20"/>
    </row>
    <row r="98" spans="2:6" ht="12.75">
      <c r="B98" s="16"/>
      <c r="F98" s="20"/>
    </row>
  </sheetData>
  <sheetProtection/>
  <mergeCells count="23">
    <mergeCell ref="B1:N2"/>
    <mergeCell ref="B3:B4"/>
    <mergeCell ref="C3:C4"/>
    <mergeCell ref="D3:D4"/>
    <mergeCell ref="E3:E4"/>
    <mergeCell ref="F3:F4"/>
    <mergeCell ref="G3:G4"/>
    <mergeCell ref="H3:K3"/>
    <mergeCell ref="L3:L4"/>
    <mergeCell ref="M3:M4"/>
    <mergeCell ref="B63:M63"/>
    <mergeCell ref="B18:M18"/>
    <mergeCell ref="B21:M21"/>
    <mergeCell ref="B25:M25"/>
    <mergeCell ref="B32:M32"/>
    <mergeCell ref="B40:M40"/>
    <mergeCell ref="B46:M46"/>
    <mergeCell ref="N3:N4"/>
    <mergeCell ref="B5:M5"/>
    <mergeCell ref="B8:M8"/>
    <mergeCell ref="B12:M12"/>
    <mergeCell ref="A3:A4"/>
    <mergeCell ref="B57:M57"/>
  </mergeCells>
  <printOptions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workbookViewId="0" topLeftCell="A6">
      <selection activeCell="M40" sqref="M40:M42"/>
    </sheetView>
  </sheetViews>
  <sheetFormatPr defaultColWidth="9.125" defaultRowHeight="12.75"/>
  <cols>
    <col min="1" max="1" width="9.125" style="50" customWidth="1"/>
    <col min="2" max="2" width="18.875" style="97" customWidth="1"/>
    <col min="3" max="3" width="24.625" style="52" customWidth="1"/>
    <col min="4" max="4" width="10.625" style="1" bestFit="1" customWidth="1"/>
    <col min="5" max="5" width="8.375" style="1" bestFit="1" customWidth="1"/>
    <col min="6" max="6" width="22.75390625" style="5" bestFit="1" customWidth="1"/>
    <col min="7" max="7" width="30.75390625" style="5" customWidth="1"/>
    <col min="8" max="11" width="5.625" style="50" bestFit="1" customWidth="1"/>
    <col min="12" max="12" width="12.25390625" style="50" customWidth="1"/>
    <col min="13" max="13" width="8.625" style="50" bestFit="1" customWidth="1"/>
    <col min="14" max="14" width="18.375" style="5" customWidth="1"/>
    <col min="15" max="16384" width="9.125" style="1" customWidth="1"/>
  </cols>
  <sheetData>
    <row r="1" spans="2:14" ht="15" customHeight="1">
      <c r="B1" s="104" t="s">
        <v>634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spans="2:14" ht="78" customHeight="1" thickBot="1">
      <c r="B2" s="107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</row>
    <row r="3" spans="1:14" s="2" customFormat="1" ht="12.75" customHeight="1">
      <c r="A3" s="101" t="s">
        <v>507</v>
      </c>
      <c r="B3" s="110" t="s">
        <v>0</v>
      </c>
      <c r="C3" s="112" t="s">
        <v>508</v>
      </c>
      <c r="D3" s="112" t="s">
        <v>509</v>
      </c>
      <c r="E3" s="110" t="s">
        <v>9</v>
      </c>
      <c r="F3" s="110" t="s">
        <v>7</v>
      </c>
      <c r="G3" s="114" t="s">
        <v>510</v>
      </c>
      <c r="H3" s="110" t="s">
        <v>2</v>
      </c>
      <c r="I3" s="110"/>
      <c r="J3" s="110"/>
      <c r="K3" s="110"/>
      <c r="L3" s="110" t="s">
        <v>506</v>
      </c>
      <c r="M3" s="110" t="s">
        <v>6</v>
      </c>
      <c r="N3" s="116" t="s">
        <v>5</v>
      </c>
    </row>
    <row r="4" spans="1:14" s="2" customFormat="1" ht="21" customHeight="1" thickBot="1">
      <c r="A4" s="102"/>
      <c r="B4" s="111"/>
      <c r="C4" s="111"/>
      <c r="D4" s="113"/>
      <c r="E4" s="111"/>
      <c r="F4" s="111"/>
      <c r="G4" s="115"/>
      <c r="H4" s="3">
        <v>1</v>
      </c>
      <c r="I4" s="3">
        <v>2</v>
      </c>
      <c r="J4" s="3">
        <v>3</v>
      </c>
      <c r="K4" s="3" t="s">
        <v>8</v>
      </c>
      <c r="L4" s="111"/>
      <c r="M4" s="111"/>
      <c r="N4" s="117"/>
    </row>
    <row r="5" spans="2:13" ht="15.75">
      <c r="B5" s="124" t="s">
        <v>10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</row>
    <row r="6" spans="1:14" ht="12.75">
      <c r="A6" s="50" t="s">
        <v>606</v>
      </c>
      <c r="B6" s="96" t="s">
        <v>11</v>
      </c>
      <c r="C6" s="51" t="s">
        <v>12</v>
      </c>
      <c r="D6" s="6" t="s">
        <v>13</v>
      </c>
      <c r="E6" s="6" t="str">
        <f>"1,1221"</f>
        <v>1,1221</v>
      </c>
      <c r="F6" s="7" t="s">
        <v>14</v>
      </c>
      <c r="G6" s="7" t="s">
        <v>15</v>
      </c>
      <c r="H6" s="25" t="s">
        <v>16</v>
      </c>
      <c r="I6" s="25" t="s">
        <v>17</v>
      </c>
      <c r="J6" s="94" t="s">
        <v>18</v>
      </c>
      <c r="K6" s="95"/>
      <c r="L6" s="49" t="s">
        <v>501</v>
      </c>
      <c r="M6" s="49" t="str">
        <f>"39,2735"</f>
        <v>39,2735</v>
      </c>
      <c r="N6" s="7" t="s">
        <v>177</v>
      </c>
    </row>
    <row r="8" spans="2:13" ht="15.75">
      <c r="B8" s="123" t="s">
        <v>19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</row>
    <row r="9" spans="1:14" ht="12.75">
      <c r="A9" s="50" t="s">
        <v>606</v>
      </c>
      <c r="B9" s="96" t="s">
        <v>592</v>
      </c>
      <c r="C9" s="51" t="s">
        <v>20</v>
      </c>
      <c r="D9" s="6" t="s">
        <v>21</v>
      </c>
      <c r="E9" s="6" t="str">
        <f>"0,8133"</f>
        <v>0,8133</v>
      </c>
      <c r="F9" s="7" t="s">
        <v>22</v>
      </c>
      <c r="G9" s="7" t="s">
        <v>23</v>
      </c>
      <c r="H9" s="94" t="s">
        <v>24</v>
      </c>
      <c r="I9" s="25" t="s">
        <v>24</v>
      </c>
      <c r="J9" s="94" t="s">
        <v>25</v>
      </c>
      <c r="K9" s="95"/>
      <c r="L9" s="49" t="s">
        <v>24</v>
      </c>
      <c r="M9" s="49" t="str">
        <f>"107,7623"</f>
        <v>107,7623</v>
      </c>
      <c r="N9" s="7" t="s">
        <v>26</v>
      </c>
    </row>
    <row r="11" spans="2:13" ht="15.75">
      <c r="B11" s="123" t="s">
        <v>27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</row>
    <row r="12" spans="1:14" ht="12.75">
      <c r="A12" s="50" t="s">
        <v>606</v>
      </c>
      <c r="B12" s="178" t="s">
        <v>593</v>
      </c>
      <c r="C12" s="192" t="s">
        <v>28</v>
      </c>
      <c r="D12" s="179" t="s">
        <v>29</v>
      </c>
      <c r="E12" s="195" t="str">
        <f>"0,6699"</f>
        <v>0,6699</v>
      </c>
      <c r="F12" s="180" t="s">
        <v>30</v>
      </c>
      <c r="G12" s="198" t="s">
        <v>31</v>
      </c>
      <c r="H12" s="139" t="s">
        <v>32</v>
      </c>
      <c r="I12" s="66" t="s">
        <v>33</v>
      </c>
      <c r="J12" s="139" t="s">
        <v>34</v>
      </c>
      <c r="K12" s="202"/>
      <c r="L12" s="182" t="s">
        <v>502</v>
      </c>
      <c r="M12" s="204" t="str">
        <f>"110,5335"</f>
        <v>110,5335</v>
      </c>
      <c r="N12" s="183" t="s">
        <v>35</v>
      </c>
    </row>
    <row r="13" spans="1:14" ht="12.75">
      <c r="A13" s="50" t="s">
        <v>607</v>
      </c>
      <c r="B13" s="184" t="s">
        <v>594</v>
      </c>
      <c r="C13" s="193" t="s">
        <v>36</v>
      </c>
      <c r="D13" s="1" t="s">
        <v>37</v>
      </c>
      <c r="E13" s="196" t="str">
        <f>"0,6916"</f>
        <v>0,6916</v>
      </c>
      <c r="F13" s="5" t="s">
        <v>38</v>
      </c>
      <c r="G13" s="199" t="s">
        <v>39</v>
      </c>
      <c r="H13" s="132" t="s">
        <v>40</v>
      </c>
      <c r="I13" s="76" t="s">
        <v>25</v>
      </c>
      <c r="J13" s="177" t="s">
        <v>32</v>
      </c>
      <c r="K13" s="203"/>
      <c r="L13" s="50" t="s">
        <v>503</v>
      </c>
      <c r="M13" s="205" t="str">
        <f>"98,5530"</f>
        <v>98,5530</v>
      </c>
      <c r="N13" s="185" t="s">
        <v>41</v>
      </c>
    </row>
    <row r="14" spans="1:14" ht="12.75">
      <c r="A14" s="50" t="s">
        <v>608</v>
      </c>
      <c r="B14" s="186" t="s">
        <v>525</v>
      </c>
      <c r="C14" s="194" t="s">
        <v>42</v>
      </c>
      <c r="D14" s="187" t="s">
        <v>43</v>
      </c>
      <c r="E14" s="197" t="str">
        <f>"0,6963"</f>
        <v>0,6963</v>
      </c>
      <c r="F14" s="188" t="s">
        <v>14</v>
      </c>
      <c r="G14" s="200" t="s">
        <v>15</v>
      </c>
      <c r="H14" s="146" t="s">
        <v>44</v>
      </c>
      <c r="I14" s="201"/>
      <c r="J14" s="189"/>
      <c r="K14" s="201"/>
      <c r="L14" s="190" t="s">
        <v>504</v>
      </c>
      <c r="M14" s="206" t="str">
        <f>"76,5930"</f>
        <v>76,5930</v>
      </c>
      <c r="N14" s="191" t="s">
        <v>177</v>
      </c>
    </row>
    <row r="16" spans="2:13" ht="15.75">
      <c r="B16" s="123" t="s">
        <v>45</v>
      </c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</row>
    <row r="17" spans="1:14" ht="12.75">
      <c r="A17" s="50" t="s">
        <v>606</v>
      </c>
      <c r="B17" s="178" t="s">
        <v>595</v>
      </c>
      <c r="C17" s="192" t="s">
        <v>46</v>
      </c>
      <c r="D17" s="179" t="s">
        <v>47</v>
      </c>
      <c r="E17" s="195" t="str">
        <f>"0,6406"</f>
        <v>0,6406</v>
      </c>
      <c r="F17" s="180" t="s">
        <v>14</v>
      </c>
      <c r="G17" s="198" t="s">
        <v>15</v>
      </c>
      <c r="H17" s="139" t="s">
        <v>48</v>
      </c>
      <c r="I17" s="66" t="s">
        <v>49</v>
      </c>
      <c r="J17" s="139" t="s">
        <v>50</v>
      </c>
      <c r="K17" s="210" t="s">
        <v>51</v>
      </c>
      <c r="L17" s="182" t="s">
        <v>50</v>
      </c>
      <c r="M17" s="204" t="str">
        <f>"115,9486"</f>
        <v>115,9486</v>
      </c>
      <c r="N17" s="183" t="s">
        <v>177</v>
      </c>
    </row>
    <row r="18" spans="1:14" ht="12.75">
      <c r="A18" s="50" t="s">
        <v>606</v>
      </c>
      <c r="B18" s="184" t="s">
        <v>596</v>
      </c>
      <c r="C18" s="193" t="s">
        <v>53</v>
      </c>
      <c r="D18" s="1" t="s">
        <v>47</v>
      </c>
      <c r="E18" s="196" t="str">
        <f>"0,6406"</f>
        <v>0,6406</v>
      </c>
      <c r="F18" s="5" t="s">
        <v>38</v>
      </c>
      <c r="G18" s="199" t="s">
        <v>54</v>
      </c>
      <c r="H18" s="132" t="s">
        <v>55</v>
      </c>
      <c r="I18" s="203"/>
      <c r="J18" s="176"/>
      <c r="K18" s="203"/>
      <c r="L18" s="50" t="s">
        <v>55</v>
      </c>
      <c r="M18" s="205" t="str">
        <f>"116,9095"</f>
        <v>116,9095</v>
      </c>
      <c r="N18" s="185" t="s">
        <v>396</v>
      </c>
    </row>
    <row r="19" spans="1:14" ht="12.75">
      <c r="A19" s="50" t="s">
        <v>607</v>
      </c>
      <c r="B19" s="184" t="s">
        <v>537</v>
      </c>
      <c r="C19" s="193" t="s">
        <v>56</v>
      </c>
      <c r="D19" s="1" t="s">
        <v>57</v>
      </c>
      <c r="E19" s="196" t="str">
        <f>"0,6557"</f>
        <v>0,6557</v>
      </c>
      <c r="F19" s="5" t="s">
        <v>14</v>
      </c>
      <c r="G19" s="199" t="s">
        <v>15</v>
      </c>
      <c r="H19" s="132" t="s">
        <v>58</v>
      </c>
      <c r="I19" s="203"/>
      <c r="J19" s="176"/>
      <c r="K19" s="203"/>
      <c r="L19" s="50" t="s">
        <v>58</v>
      </c>
      <c r="M19" s="205" t="str">
        <f>"91,7980"</f>
        <v>91,7980</v>
      </c>
      <c r="N19" s="185" t="s">
        <v>177</v>
      </c>
    </row>
    <row r="20" spans="1:14" ht="12.75">
      <c r="A20" s="50" t="s">
        <v>608</v>
      </c>
      <c r="B20" s="186" t="s">
        <v>597</v>
      </c>
      <c r="C20" s="194" t="s">
        <v>59</v>
      </c>
      <c r="D20" s="187" t="s">
        <v>60</v>
      </c>
      <c r="E20" s="197" t="str">
        <f>"0,6483"</f>
        <v>0,6483</v>
      </c>
      <c r="F20" s="188" t="s">
        <v>22</v>
      </c>
      <c r="G20" s="200" t="s">
        <v>61</v>
      </c>
      <c r="H20" s="146" t="s">
        <v>62</v>
      </c>
      <c r="I20" s="209" t="s">
        <v>40</v>
      </c>
      <c r="J20" s="208" t="s">
        <v>40</v>
      </c>
      <c r="K20" s="201"/>
      <c r="L20" s="190" t="s">
        <v>62</v>
      </c>
      <c r="M20" s="206" t="str">
        <f>"84,2790"</f>
        <v>84,2790</v>
      </c>
      <c r="N20" s="191" t="s">
        <v>177</v>
      </c>
    </row>
    <row r="22" spans="2:13" ht="15.75">
      <c r="B22" s="123" t="s">
        <v>63</v>
      </c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</row>
    <row r="23" spans="1:14" ht="12.75">
      <c r="A23" s="50" t="s">
        <v>606</v>
      </c>
      <c r="B23" s="96" t="s">
        <v>598</v>
      </c>
      <c r="C23" s="51" t="s">
        <v>64</v>
      </c>
      <c r="D23" s="6" t="s">
        <v>65</v>
      </c>
      <c r="E23" s="6" t="str">
        <f>"0,6129"</f>
        <v>0,6129</v>
      </c>
      <c r="F23" s="7" t="s">
        <v>14</v>
      </c>
      <c r="G23" s="7" t="s">
        <v>15</v>
      </c>
      <c r="H23" s="25" t="s">
        <v>49</v>
      </c>
      <c r="I23" s="25" t="s">
        <v>51</v>
      </c>
      <c r="J23" s="95"/>
      <c r="K23" s="95"/>
      <c r="L23" s="49" t="s">
        <v>51</v>
      </c>
      <c r="M23" s="49" t="str">
        <f>"113,3865"</f>
        <v>113,3865</v>
      </c>
      <c r="N23" s="7" t="s">
        <v>177</v>
      </c>
    </row>
    <row r="25" spans="2:13" ht="15.75">
      <c r="B25" s="123" t="s">
        <v>66</v>
      </c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</row>
    <row r="26" spans="1:14" ht="12.75">
      <c r="A26" s="50" t="s">
        <v>606</v>
      </c>
      <c r="B26" s="178" t="s">
        <v>67</v>
      </c>
      <c r="C26" s="192" t="s">
        <v>68</v>
      </c>
      <c r="D26" s="179" t="s">
        <v>69</v>
      </c>
      <c r="E26" s="195" t="str">
        <f>"0,5943"</f>
        <v>0,5943</v>
      </c>
      <c r="F26" s="180" t="s">
        <v>22</v>
      </c>
      <c r="G26" s="198" t="s">
        <v>646</v>
      </c>
      <c r="H26" s="139" t="s">
        <v>49</v>
      </c>
      <c r="I26" s="210" t="s">
        <v>70</v>
      </c>
      <c r="J26" s="207" t="s">
        <v>70</v>
      </c>
      <c r="K26" s="202"/>
      <c r="L26" s="182" t="s">
        <v>49</v>
      </c>
      <c r="M26" s="204" t="str">
        <f>"104,0025"</f>
        <v>104,0025</v>
      </c>
      <c r="N26" s="183" t="s">
        <v>177</v>
      </c>
    </row>
    <row r="27" spans="1:14" ht="12.75">
      <c r="A27" s="50" t="s">
        <v>606</v>
      </c>
      <c r="B27" s="184" t="s">
        <v>599</v>
      </c>
      <c r="C27" s="193" t="s">
        <v>72</v>
      </c>
      <c r="D27" s="1" t="s">
        <v>73</v>
      </c>
      <c r="E27" s="196" t="str">
        <f>"0,5990"</f>
        <v>0,5990</v>
      </c>
      <c r="F27" s="5" t="s">
        <v>74</v>
      </c>
      <c r="G27" s="199" t="s">
        <v>75</v>
      </c>
      <c r="H27" s="132" t="s">
        <v>76</v>
      </c>
      <c r="I27" s="211" t="s">
        <v>77</v>
      </c>
      <c r="J27" s="132" t="s">
        <v>77</v>
      </c>
      <c r="K27" s="203"/>
      <c r="L27" s="50" t="s">
        <v>77</v>
      </c>
      <c r="M27" s="205" t="str">
        <f>"122,7950"</f>
        <v>122,7950</v>
      </c>
      <c r="N27" s="185" t="s">
        <v>177</v>
      </c>
    </row>
    <row r="28" spans="1:14" ht="12.75">
      <c r="A28" s="50" t="s">
        <v>607</v>
      </c>
      <c r="B28" s="184" t="s">
        <v>600</v>
      </c>
      <c r="C28" s="193" t="s">
        <v>78</v>
      </c>
      <c r="D28" s="1" t="s">
        <v>79</v>
      </c>
      <c r="E28" s="196" t="str">
        <f>"0,5919"</f>
        <v>0,5919</v>
      </c>
      <c r="F28" s="5" t="s">
        <v>14</v>
      </c>
      <c r="G28" s="199" t="s">
        <v>80</v>
      </c>
      <c r="H28" s="177" t="s">
        <v>76</v>
      </c>
      <c r="I28" s="76" t="s">
        <v>76</v>
      </c>
      <c r="J28" s="177" t="s">
        <v>77</v>
      </c>
      <c r="K28" s="203"/>
      <c r="L28" s="50" t="s">
        <v>76</v>
      </c>
      <c r="M28" s="205" t="str">
        <f>"118,3800"</f>
        <v>118,3800</v>
      </c>
      <c r="N28" s="185" t="s">
        <v>177</v>
      </c>
    </row>
    <row r="29" spans="1:14" ht="12.75">
      <c r="A29" s="50" t="s">
        <v>608</v>
      </c>
      <c r="B29" s="184" t="s">
        <v>601</v>
      </c>
      <c r="C29" s="193" t="s">
        <v>81</v>
      </c>
      <c r="D29" s="1" t="s">
        <v>82</v>
      </c>
      <c r="E29" s="196" t="str">
        <f>"0,5932"</f>
        <v>0,5932</v>
      </c>
      <c r="F29" s="5" t="s">
        <v>38</v>
      </c>
      <c r="G29" s="199" t="s">
        <v>39</v>
      </c>
      <c r="H29" s="132" t="s">
        <v>83</v>
      </c>
      <c r="I29" s="76" t="s">
        <v>70</v>
      </c>
      <c r="J29" s="177" t="s">
        <v>84</v>
      </c>
      <c r="K29" s="203"/>
      <c r="L29" s="50" t="s">
        <v>70</v>
      </c>
      <c r="M29" s="205" t="str">
        <f>"114,1910"</f>
        <v>114,1910</v>
      </c>
      <c r="N29" s="185" t="s">
        <v>177</v>
      </c>
    </row>
    <row r="30" spans="1:14" ht="12.75">
      <c r="A30" s="50" t="s">
        <v>465</v>
      </c>
      <c r="B30" s="184" t="s">
        <v>526</v>
      </c>
      <c r="C30" s="193" t="s">
        <v>85</v>
      </c>
      <c r="D30" s="1" t="s">
        <v>86</v>
      </c>
      <c r="E30" s="196" t="str">
        <f>"0,5902"</f>
        <v>0,5902</v>
      </c>
      <c r="F30" s="5" t="s">
        <v>14</v>
      </c>
      <c r="G30" s="199" t="s">
        <v>15</v>
      </c>
      <c r="H30" s="132" t="s">
        <v>48</v>
      </c>
      <c r="I30" s="203"/>
      <c r="J30" s="176"/>
      <c r="K30" s="203"/>
      <c r="L30" s="50" t="s">
        <v>48</v>
      </c>
      <c r="M30" s="205" t="str">
        <f>"100,3340"</f>
        <v>100,3340</v>
      </c>
      <c r="N30" s="185" t="s">
        <v>177</v>
      </c>
    </row>
    <row r="31" spans="1:14" ht="12.75">
      <c r="A31" s="50" t="s">
        <v>466</v>
      </c>
      <c r="B31" s="184" t="s">
        <v>602</v>
      </c>
      <c r="C31" s="193" t="s">
        <v>87</v>
      </c>
      <c r="D31" s="1" t="s">
        <v>88</v>
      </c>
      <c r="E31" s="196" t="str">
        <f>"0,5939"</f>
        <v>0,5939</v>
      </c>
      <c r="F31" s="5" t="s">
        <v>22</v>
      </c>
      <c r="G31" s="199" t="s">
        <v>61</v>
      </c>
      <c r="H31" s="132" t="s">
        <v>89</v>
      </c>
      <c r="I31" s="211" t="s">
        <v>90</v>
      </c>
      <c r="J31" s="132" t="s">
        <v>90</v>
      </c>
      <c r="K31" s="203"/>
      <c r="L31" s="50" t="s">
        <v>48</v>
      </c>
      <c r="M31" s="205" t="str">
        <f>"99,4783"</f>
        <v>99,4783</v>
      </c>
      <c r="N31" s="185" t="s">
        <v>177</v>
      </c>
    </row>
    <row r="32" spans="1:14" ht="12.75">
      <c r="A32" s="50" t="s">
        <v>606</v>
      </c>
      <c r="B32" s="186" t="s">
        <v>603</v>
      </c>
      <c r="C32" s="194" t="s">
        <v>91</v>
      </c>
      <c r="D32" s="187" t="s">
        <v>92</v>
      </c>
      <c r="E32" s="197" t="str">
        <f>"0,5956"</f>
        <v>0,5956</v>
      </c>
      <c r="F32" s="188" t="s">
        <v>38</v>
      </c>
      <c r="G32" s="200" t="s">
        <v>93</v>
      </c>
      <c r="H32" s="146" t="s">
        <v>49</v>
      </c>
      <c r="I32" s="69" t="s">
        <v>70</v>
      </c>
      <c r="J32" s="146" t="s">
        <v>94</v>
      </c>
      <c r="K32" s="201"/>
      <c r="L32" s="190" t="s">
        <v>48</v>
      </c>
      <c r="M32" s="206" t="str">
        <f>"119,3940"</f>
        <v>119,3940</v>
      </c>
      <c r="N32" s="191" t="s">
        <v>177</v>
      </c>
    </row>
    <row r="34" spans="2:13" ht="15.75">
      <c r="B34" s="123" t="s">
        <v>95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</row>
    <row r="35" spans="1:14" ht="12.75">
      <c r="A35" s="50" t="s">
        <v>606</v>
      </c>
      <c r="B35" s="178" t="s">
        <v>546</v>
      </c>
      <c r="C35" s="192" t="s">
        <v>97</v>
      </c>
      <c r="D35" s="179" t="s">
        <v>98</v>
      </c>
      <c r="E35" s="195" t="str">
        <f>"0,5806"</f>
        <v>0,5806</v>
      </c>
      <c r="F35" s="180" t="s">
        <v>38</v>
      </c>
      <c r="G35" s="198" t="s">
        <v>54</v>
      </c>
      <c r="H35" s="139" t="s">
        <v>99</v>
      </c>
      <c r="I35" s="202"/>
      <c r="J35" s="181"/>
      <c r="K35" s="181"/>
      <c r="L35" s="204" t="s">
        <v>99</v>
      </c>
      <c r="M35" s="182" t="str">
        <f>"139,3440"</f>
        <v>139,3440</v>
      </c>
      <c r="N35" s="198" t="s">
        <v>499</v>
      </c>
    </row>
    <row r="36" spans="1:14" ht="12.75">
      <c r="A36" s="50" t="s">
        <v>607</v>
      </c>
      <c r="B36" s="184" t="s">
        <v>100</v>
      </c>
      <c r="C36" s="193" t="s">
        <v>101</v>
      </c>
      <c r="D36" s="1" t="s">
        <v>102</v>
      </c>
      <c r="E36" s="196" t="str">
        <f>"0,5795"</f>
        <v>0,5795</v>
      </c>
      <c r="F36" s="5" t="s">
        <v>22</v>
      </c>
      <c r="G36" s="199" t="s">
        <v>103</v>
      </c>
      <c r="H36" s="132" t="s">
        <v>83</v>
      </c>
      <c r="I36" s="76" t="s">
        <v>104</v>
      </c>
      <c r="J36" s="177" t="s">
        <v>94</v>
      </c>
      <c r="K36" s="176"/>
      <c r="L36" s="205" t="s">
        <v>104</v>
      </c>
      <c r="M36" s="50" t="str">
        <f>"110,1050"</f>
        <v>110,1050</v>
      </c>
      <c r="N36" s="199" t="s">
        <v>177</v>
      </c>
    </row>
    <row r="37" spans="2:14" ht="12.75">
      <c r="B37" s="186" t="s">
        <v>105</v>
      </c>
      <c r="C37" s="194" t="s">
        <v>106</v>
      </c>
      <c r="D37" s="187" t="s">
        <v>107</v>
      </c>
      <c r="E37" s="197" t="str">
        <f>"0,5833"</f>
        <v>0,5833</v>
      </c>
      <c r="F37" s="188" t="s">
        <v>22</v>
      </c>
      <c r="G37" s="200" t="s">
        <v>54</v>
      </c>
      <c r="H37" s="208" t="s">
        <v>108</v>
      </c>
      <c r="I37" s="201"/>
      <c r="J37" s="189"/>
      <c r="K37" s="189"/>
      <c r="L37" s="212">
        <v>0</v>
      </c>
      <c r="M37" s="190" t="s">
        <v>533</v>
      </c>
      <c r="N37" s="200" t="s">
        <v>177</v>
      </c>
    </row>
    <row r="39" spans="2:13" ht="15.75">
      <c r="B39" s="123" t="s">
        <v>109</v>
      </c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</row>
    <row r="40" spans="1:14" ht="12.75">
      <c r="A40" s="50" t="s">
        <v>606</v>
      </c>
      <c r="B40" s="178" t="s">
        <v>110</v>
      </c>
      <c r="C40" s="192" t="s">
        <v>111</v>
      </c>
      <c r="D40" s="179" t="s">
        <v>112</v>
      </c>
      <c r="E40" s="195" t="str">
        <f>"0,5666"</f>
        <v>0,5666</v>
      </c>
      <c r="F40" s="180" t="s">
        <v>38</v>
      </c>
      <c r="G40" s="198" t="s">
        <v>54</v>
      </c>
      <c r="H40" s="139" t="s">
        <v>113</v>
      </c>
      <c r="I40" s="210" t="s">
        <v>114</v>
      </c>
      <c r="J40" s="207" t="s">
        <v>114</v>
      </c>
      <c r="K40" s="202"/>
      <c r="L40" s="182" t="s">
        <v>113</v>
      </c>
      <c r="M40" s="204" t="str">
        <f>"124,6520"</f>
        <v>124,6520</v>
      </c>
      <c r="N40" s="183" t="s">
        <v>177</v>
      </c>
    </row>
    <row r="41" spans="1:14" ht="12.75">
      <c r="A41" s="50" t="s">
        <v>607</v>
      </c>
      <c r="B41" s="184" t="s">
        <v>604</v>
      </c>
      <c r="C41" s="193" t="s">
        <v>115</v>
      </c>
      <c r="D41" s="1" t="s">
        <v>116</v>
      </c>
      <c r="E41" s="196" t="str">
        <f>"0,5616"</f>
        <v>0,5616</v>
      </c>
      <c r="F41" s="5" t="s">
        <v>38</v>
      </c>
      <c r="G41" s="199" t="s">
        <v>61</v>
      </c>
      <c r="H41" s="132" t="s">
        <v>104</v>
      </c>
      <c r="I41" s="76" t="s">
        <v>117</v>
      </c>
      <c r="J41" s="177" t="s">
        <v>113</v>
      </c>
      <c r="K41" s="203"/>
      <c r="L41" s="50" t="s">
        <v>117</v>
      </c>
      <c r="M41" s="205" t="str">
        <f>"117,9360"</f>
        <v>117,9360</v>
      </c>
      <c r="N41" s="185" t="s">
        <v>177</v>
      </c>
    </row>
    <row r="42" spans="1:14" ht="12.75">
      <c r="A42" s="50" t="s">
        <v>608</v>
      </c>
      <c r="B42" s="186" t="s">
        <v>605</v>
      </c>
      <c r="C42" s="194" t="s">
        <v>118</v>
      </c>
      <c r="D42" s="187" t="s">
        <v>119</v>
      </c>
      <c r="E42" s="197" t="str">
        <f>"0,5589"</f>
        <v>0,5589</v>
      </c>
      <c r="F42" s="188" t="s">
        <v>38</v>
      </c>
      <c r="G42" s="200" t="s">
        <v>61</v>
      </c>
      <c r="H42" s="146" t="s">
        <v>94</v>
      </c>
      <c r="I42" s="209" t="s">
        <v>77</v>
      </c>
      <c r="J42" s="146" t="s">
        <v>117</v>
      </c>
      <c r="K42" s="201"/>
      <c r="L42" s="190" t="s">
        <v>117</v>
      </c>
      <c r="M42" s="206" t="str">
        <f>"117,3690"</f>
        <v>117,3690</v>
      </c>
      <c r="N42" s="191" t="s">
        <v>120</v>
      </c>
    </row>
    <row r="44" spans="2:3" ht="18">
      <c r="B44" s="166" t="s">
        <v>121</v>
      </c>
      <c r="C44" s="167"/>
    </row>
    <row r="46" spans="2:3" ht="15.75">
      <c r="B46" s="168" t="s">
        <v>128</v>
      </c>
      <c r="C46" s="169"/>
    </row>
    <row r="47" spans="2:3" ht="13.5">
      <c r="B47" s="170"/>
      <c r="C47" s="171" t="s">
        <v>122</v>
      </c>
    </row>
    <row r="48" spans="2:6" ht="13.5">
      <c r="B48" s="165" t="s">
        <v>123</v>
      </c>
      <c r="C48" s="172" t="s">
        <v>124</v>
      </c>
      <c r="D48" s="173" t="s">
        <v>125</v>
      </c>
      <c r="E48" s="173" t="s">
        <v>126</v>
      </c>
      <c r="F48" s="173" t="s">
        <v>127</v>
      </c>
    </row>
    <row r="49" spans="1:6" ht="12.75">
      <c r="A49" s="50" t="s">
        <v>606</v>
      </c>
      <c r="B49" s="98" t="s">
        <v>96</v>
      </c>
      <c r="C49" s="6" t="s">
        <v>122</v>
      </c>
      <c r="D49" s="49" t="s">
        <v>548</v>
      </c>
      <c r="E49" s="49" t="s">
        <v>99</v>
      </c>
      <c r="F49" s="49" t="s">
        <v>129</v>
      </c>
    </row>
    <row r="50" spans="1:6" ht="12.75">
      <c r="A50" s="50" t="s">
        <v>607</v>
      </c>
      <c r="B50" s="98" t="s">
        <v>110</v>
      </c>
      <c r="C50" s="6" t="s">
        <v>122</v>
      </c>
      <c r="D50" s="49" t="s">
        <v>609</v>
      </c>
      <c r="E50" s="49" t="s">
        <v>113</v>
      </c>
      <c r="F50" s="49" t="s">
        <v>130</v>
      </c>
    </row>
    <row r="51" spans="1:6" ht="12.75">
      <c r="A51" s="50" t="s">
        <v>608</v>
      </c>
      <c r="B51" s="98" t="s">
        <v>71</v>
      </c>
      <c r="C51" s="6" t="s">
        <v>122</v>
      </c>
      <c r="D51" s="49" t="s">
        <v>590</v>
      </c>
      <c r="E51" s="49" t="s">
        <v>77</v>
      </c>
      <c r="F51" s="49" t="s">
        <v>131</v>
      </c>
    </row>
    <row r="52" spans="2:6" ht="12.75">
      <c r="B52" s="99"/>
      <c r="F52" s="4"/>
    </row>
    <row r="53" spans="2:6" ht="12.75">
      <c r="B53" s="99"/>
      <c r="F53" s="4"/>
    </row>
    <row r="54" spans="2:6" ht="12.75">
      <c r="B54" s="99"/>
      <c r="F54" s="4"/>
    </row>
    <row r="55" spans="2:6" ht="12.75">
      <c r="B55" s="99"/>
      <c r="F55" s="4"/>
    </row>
    <row r="56" spans="2:6" ht="12.75">
      <c r="B56" s="99"/>
      <c r="F56" s="4"/>
    </row>
    <row r="57" spans="2:6" ht="12.75">
      <c r="B57" s="99"/>
      <c r="F57" s="4"/>
    </row>
    <row r="58" spans="2:6" ht="12.75">
      <c r="B58" s="99"/>
      <c r="F58" s="4"/>
    </row>
    <row r="59" spans="2:6" ht="12.75">
      <c r="B59" s="99"/>
      <c r="F59" s="4"/>
    </row>
    <row r="60" spans="2:6" ht="12.75">
      <c r="B60" s="99"/>
      <c r="F60" s="4"/>
    </row>
    <row r="61" spans="2:6" ht="12.75">
      <c r="B61" s="99"/>
      <c r="F61" s="4"/>
    </row>
    <row r="62" spans="2:6" ht="12.75">
      <c r="B62" s="99"/>
      <c r="F62" s="4"/>
    </row>
    <row r="63" spans="2:6" ht="12.75">
      <c r="B63" s="99"/>
      <c r="F63" s="4"/>
    </row>
    <row r="64" spans="2:6" ht="12.75">
      <c r="B64" s="99"/>
      <c r="F64" s="4"/>
    </row>
    <row r="65" spans="2:6" ht="12.75">
      <c r="B65" s="99"/>
      <c r="F65" s="4"/>
    </row>
    <row r="66" spans="2:6" ht="12.75">
      <c r="B66" s="99"/>
      <c r="F66" s="4"/>
    </row>
  </sheetData>
  <sheetProtection/>
  <mergeCells count="20">
    <mergeCell ref="B1:N2"/>
    <mergeCell ref="H3:K3"/>
    <mergeCell ref="B3:B4"/>
    <mergeCell ref="C3:C4"/>
    <mergeCell ref="D3:D4"/>
    <mergeCell ref="N3:N4"/>
    <mergeCell ref="G3:G4"/>
    <mergeCell ref="F3:F4"/>
    <mergeCell ref="B5:M5"/>
    <mergeCell ref="B8:M8"/>
    <mergeCell ref="B11:M11"/>
    <mergeCell ref="E3:E4"/>
    <mergeCell ref="L3:L4"/>
    <mergeCell ref="M3:M4"/>
    <mergeCell ref="A3:A4"/>
    <mergeCell ref="B16:M16"/>
    <mergeCell ref="B22:M22"/>
    <mergeCell ref="B25:M25"/>
    <mergeCell ref="B34:M34"/>
    <mergeCell ref="B39:M39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48"/>
  <sheetViews>
    <sheetView workbookViewId="0" topLeftCell="A1">
      <selection activeCell="F48" sqref="F48"/>
    </sheetView>
  </sheetViews>
  <sheetFormatPr defaultColWidth="8.75390625" defaultRowHeight="12.75"/>
  <cols>
    <col min="1" max="1" width="9.125" style="57" customWidth="1"/>
    <col min="2" max="2" width="19.125" style="8" customWidth="1"/>
    <col min="3" max="3" width="23.375" style="8" customWidth="1"/>
    <col min="4" max="4" width="10.625" style="8" bestFit="1" customWidth="1"/>
    <col min="5" max="5" width="8.375" style="8" bestFit="1" customWidth="1"/>
    <col min="6" max="6" width="19.75390625" style="8" customWidth="1"/>
    <col min="7" max="7" width="26.625" style="8" customWidth="1"/>
    <col min="8" max="10" width="5.625" style="48" bestFit="1" customWidth="1"/>
    <col min="11" max="11" width="4.625" style="48" bestFit="1" customWidth="1"/>
    <col min="12" max="12" width="12.00390625" style="48" customWidth="1"/>
    <col min="13" max="13" width="8.625" style="48" bestFit="1" customWidth="1"/>
    <col min="14" max="14" width="18.00390625" style="8" customWidth="1"/>
  </cols>
  <sheetData>
    <row r="1" spans="1:14" s="1" customFormat="1" ht="15" customHeight="1">
      <c r="A1" s="50"/>
      <c r="B1" s="104" t="s">
        <v>623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spans="1:14" s="1" customFormat="1" ht="111.75" customHeight="1" thickBot="1">
      <c r="A2" s="50"/>
      <c r="B2" s="107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</row>
    <row r="3" spans="1:14" s="2" customFormat="1" ht="12.75" customHeight="1">
      <c r="A3" s="101" t="s">
        <v>507</v>
      </c>
      <c r="B3" s="110" t="s">
        <v>0</v>
      </c>
      <c r="C3" s="112" t="s">
        <v>508</v>
      </c>
      <c r="D3" s="112" t="s">
        <v>509</v>
      </c>
      <c r="E3" s="110" t="s">
        <v>9</v>
      </c>
      <c r="F3" s="110" t="s">
        <v>7</v>
      </c>
      <c r="G3" s="114" t="s">
        <v>510</v>
      </c>
      <c r="H3" s="110" t="s">
        <v>3</v>
      </c>
      <c r="I3" s="110"/>
      <c r="J3" s="110"/>
      <c r="K3" s="110"/>
      <c r="L3" s="110" t="s">
        <v>506</v>
      </c>
      <c r="M3" s="110" t="s">
        <v>6</v>
      </c>
      <c r="N3" s="116" t="s">
        <v>5</v>
      </c>
    </row>
    <row r="4" spans="1:14" s="2" customFormat="1" ht="21" customHeight="1" thickBot="1">
      <c r="A4" s="102"/>
      <c r="B4" s="111"/>
      <c r="C4" s="111"/>
      <c r="D4" s="113"/>
      <c r="E4" s="111"/>
      <c r="F4" s="111"/>
      <c r="G4" s="115"/>
      <c r="H4" s="3">
        <v>1</v>
      </c>
      <c r="I4" s="3">
        <v>2</v>
      </c>
      <c r="J4" s="3">
        <v>3</v>
      </c>
      <c r="K4" s="3" t="s">
        <v>8</v>
      </c>
      <c r="L4" s="111"/>
      <c r="M4" s="111"/>
      <c r="N4" s="117"/>
    </row>
    <row r="5" spans="2:13" ht="15.75">
      <c r="B5" s="118" t="s">
        <v>10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</row>
    <row r="6" spans="1:14" ht="12.75">
      <c r="A6" s="57">
        <v>1</v>
      </c>
      <c r="B6" s="9" t="s">
        <v>534</v>
      </c>
      <c r="C6" s="9" t="s">
        <v>362</v>
      </c>
      <c r="D6" s="9" t="s">
        <v>363</v>
      </c>
      <c r="E6" s="9" t="str">
        <f>"1,1251"</f>
        <v>1,1251</v>
      </c>
      <c r="F6" s="9" t="s">
        <v>38</v>
      </c>
      <c r="G6" s="9" t="s">
        <v>61</v>
      </c>
      <c r="H6" s="25" t="s">
        <v>307</v>
      </c>
      <c r="I6" s="25" t="s">
        <v>232</v>
      </c>
      <c r="J6" s="59" t="s">
        <v>62</v>
      </c>
      <c r="K6" s="60"/>
      <c r="L6" s="44" t="s">
        <v>232</v>
      </c>
      <c r="M6" s="44" t="str">
        <f>"140,6375"</f>
        <v>140,6375</v>
      </c>
      <c r="N6" s="9" t="s">
        <v>364</v>
      </c>
    </row>
    <row r="8" spans="2:13" ht="15.75">
      <c r="B8" s="103" t="s">
        <v>19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</row>
    <row r="9" spans="1:14" ht="12.75">
      <c r="A9" s="57">
        <v>1</v>
      </c>
      <c r="B9" s="9" t="s">
        <v>522</v>
      </c>
      <c r="C9" s="9" t="s">
        <v>274</v>
      </c>
      <c r="D9" s="9" t="s">
        <v>275</v>
      </c>
      <c r="E9" s="9" t="str">
        <f>"1,0503"</f>
        <v>1,0503</v>
      </c>
      <c r="F9" s="9" t="s">
        <v>22</v>
      </c>
      <c r="G9" s="9" t="s">
        <v>15</v>
      </c>
      <c r="H9" s="25" t="s">
        <v>171</v>
      </c>
      <c r="I9" s="60"/>
      <c r="J9" s="60"/>
      <c r="K9" s="60"/>
      <c r="L9" s="44" t="s">
        <v>171</v>
      </c>
      <c r="M9" s="44" t="str">
        <f>"99,7785"</f>
        <v>99,7785</v>
      </c>
      <c r="N9" s="9" t="s">
        <v>278</v>
      </c>
    </row>
    <row r="11" spans="2:13" ht="15.75">
      <c r="B11" s="103" t="s">
        <v>27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</row>
    <row r="12" spans="1:14" ht="12.75">
      <c r="A12" s="57">
        <v>1</v>
      </c>
      <c r="B12" s="11" t="s">
        <v>535</v>
      </c>
      <c r="C12" s="11" t="s">
        <v>366</v>
      </c>
      <c r="D12" s="11" t="s">
        <v>367</v>
      </c>
      <c r="E12" s="11" t="str">
        <f>"0,6816"</f>
        <v>0,6816</v>
      </c>
      <c r="F12" s="11" t="s">
        <v>368</v>
      </c>
      <c r="G12" s="11" t="s">
        <v>369</v>
      </c>
      <c r="H12" s="66" t="s">
        <v>99</v>
      </c>
      <c r="I12" s="66" t="s">
        <v>287</v>
      </c>
      <c r="J12" s="66" t="s">
        <v>288</v>
      </c>
      <c r="K12" s="68"/>
      <c r="L12" s="46" t="s">
        <v>288</v>
      </c>
      <c r="M12" s="46" t="str">
        <f>"177,2160"</f>
        <v>177,2160</v>
      </c>
      <c r="N12" s="11" t="s">
        <v>177</v>
      </c>
    </row>
    <row r="13" spans="1:14" ht="12.75">
      <c r="A13" s="57">
        <v>2</v>
      </c>
      <c r="B13" s="75" t="s">
        <v>536</v>
      </c>
      <c r="C13" s="75" t="s">
        <v>279</v>
      </c>
      <c r="D13" s="75" t="s">
        <v>280</v>
      </c>
      <c r="E13" s="75" t="str">
        <f>"0,6764"</f>
        <v>0,6764</v>
      </c>
      <c r="F13" s="75" t="s">
        <v>38</v>
      </c>
      <c r="G13" s="75" t="s">
        <v>61</v>
      </c>
      <c r="H13" s="76" t="s">
        <v>271</v>
      </c>
      <c r="I13" s="77"/>
      <c r="J13" s="77"/>
      <c r="K13" s="77"/>
      <c r="L13" s="78" t="s">
        <v>496</v>
      </c>
      <c r="M13" s="78" t="str">
        <f>"152,1900"</f>
        <v>152,1900</v>
      </c>
      <c r="N13" s="75" t="s">
        <v>177</v>
      </c>
    </row>
    <row r="14" spans="1:14" ht="12.75">
      <c r="A14" s="57">
        <v>3</v>
      </c>
      <c r="B14" s="12" t="s">
        <v>525</v>
      </c>
      <c r="C14" s="12" t="s">
        <v>42</v>
      </c>
      <c r="D14" s="12" t="s">
        <v>43</v>
      </c>
      <c r="E14" s="12" t="str">
        <f>"0,6963"</f>
        <v>0,6963</v>
      </c>
      <c r="F14" s="12" t="s">
        <v>14</v>
      </c>
      <c r="G14" s="12" t="s">
        <v>15</v>
      </c>
      <c r="H14" s="69" t="s">
        <v>83</v>
      </c>
      <c r="I14" s="71"/>
      <c r="J14" s="71"/>
      <c r="K14" s="71"/>
      <c r="L14" s="47" t="s">
        <v>83</v>
      </c>
      <c r="M14" s="47" t="str">
        <f>"125,3340"</f>
        <v>125,3340</v>
      </c>
      <c r="N14" s="12" t="s">
        <v>177</v>
      </c>
    </row>
    <row r="16" spans="2:13" ht="15.75">
      <c r="B16" s="103" t="s">
        <v>45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</row>
    <row r="17" spans="1:14" ht="12.75">
      <c r="A17" s="57">
        <v>1</v>
      </c>
      <c r="B17" s="11" t="s">
        <v>370</v>
      </c>
      <c r="C17" s="11" t="s">
        <v>371</v>
      </c>
      <c r="D17" s="11" t="s">
        <v>330</v>
      </c>
      <c r="E17" s="11" t="str">
        <f>"0,6553"</f>
        <v>0,6553</v>
      </c>
      <c r="F17" s="11" t="s">
        <v>74</v>
      </c>
      <c r="G17" s="11" t="s">
        <v>75</v>
      </c>
      <c r="H17" s="66" t="s">
        <v>288</v>
      </c>
      <c r="I17" s="66" t="s">
        <v>372</v>
      </c>
      <c r="J17" s="67" t="s">
        <v>343</v>
      </c>
      <c r="K17" s="68"/>
      <c r="L17" s="46" t="s">
        <v>372</v>
      </c>
      <c r="M17" s="46" t="str">
        <f>"183,4840"</f>
        <v>183,4840</v>
      </c>
      <c r="N17" s="11" t="s">
        <v>177</v>
      </c>
    </row>
    <row r="18" spans="1:14" ht="12.75">
      <c r="A18" s="57">
        <v>2</v>
      </c>
      <c r="B18" s="75" t="s">
        <v>512</v>
      </c>
      <c r="C18" s="75" t="s">
        <v>332</v>
      </c>
      <c r="D18" s="75" t="s">
        <v>209</v>
      </c>
      <c r="E18" s="75" t="str">
        <f>"0,6503"</f>
        <v>0,6503</v>
      </c>
      <c r="F18" s="75" t="s">
        <v>22</v>
      </c>
      <c r="G18" s="75" t="s">
        <v>333</v>
      </c>
      <c r="H18" s="76" t="s">
        <v>334</v>
      </c>
      <c r="I18" s="77"/>
      <c r="J18" s="77"/>
      <c r="K18" s="77"/>
      <c r="L18" s="78">
        <v>232.5</v>
      </c>
      <c r="M18" s="78" t="str">
        <f>"151,1948"</f>
        <v>151,1948</v>
      </c>
      <c r="N18" s="75" t="s">
        <v>177</v>
      </c>
    </row>
    <row r="19" spans="1:14" ht="12.75">
      <c r="A19" s="57">
        <v>3</v>
      </c>
      <c r="B19" s="75" t="s">
        <v>537</v>
      </c>
      <c r="C19" s="75" t="s">
        <v>56</v>
      </c>
      <c r="D19" s="75" t="s">
        <v>57</v>
      </c>
      <c r="E19" s="75" t="str">
        <f>"0,6557"</f>
        <v>0,6557</v>
      </c>
      <c r="F19" s="75" t="s">
        <v>14</v>
      </c>
      <c r="G19" s="75" t="s">
        <v>15</v>
      </c>
      <c r="H19" s="76" t="s">
        <v>271</v>
      </c>
      <c r="I19" s="77"/>
      <c r="J19" s="77"/>
      <c r="K19" s="77"/>
      <c r="L19" s="78" t="s">
        <v>271</v>
      </c>
      <c r="M19" s="78" t="str">
        <f>"147,5325"</f>
        <v>147,5325</v>
      </c>
      <c r="N19" s="75" t="s">
        <v>177</v>
      </c>
    </row>
    <row r="20" spans="2:14" ht="12.75">
      <c r="B20" s="12" t="s">
        <v>373</v>
      </c>
      <c r="C20" s="12" t="s">
        <v>374</v>
      </c>
      <c r="D20" s="73" t="s">
        <v>375</v>
      </c>
      <c r="E20" s="12" t="str">
        <f>"0,6610"</f>
        <v>0,6610</v>
      </c>
      <c r="F20" s="74" t="s">
        <v>14</v>
      </c>
      <c r="G20" s="12" t="s">
        <v>15</v>
      </c>
      <c r="H20" s="70" t="s">
        <v>372</v>
      </c>
      <c r="I20" s="70" t="s">
        <v>372</v>
      </c>
      <c r="J20" s="70" t="s">
        <v>343</v>
      </c>
      <c r="K20" s="71"/>
      <c r="L20" s="47">
        <v>0</v>
      </c>
      <c r="M20" s="47" t="s">
        <v>533</v>
      </c>
      <c r="N20" s="12" t="s">
        <v>177</v>
      </c>
    </row>
    <row r="22" spans="2:13" ht="15.75">
      <c r="B22" s="103" t="s">
        <v>63</v>
      </c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</row>
    <row r="23" spans="1:14" ht="12.75">
      <c r="A23" s="57">
        <v>1</v>
      </c>
      <c r="B23" s="11" t="s">
        <v>515</v>
      </c>
      <c r="C23" s="11" t="s">
        <v>336</v>
      </c>
      <c r="D23" s="11" t="s">
        <v>337</v>
      </c>
      <c r="E23" s="11" t="str">
        <f>"0,6200"</f>
        <v>0,6200</v>
      </c>
      <c r="F23" s="11" t="s">
        <v>22</v>
      </c>
      <c r="G23" s="11" t="s">
        <v>80</v>
      </c>
      <c r="H23" s="66" t="s">
        <v>288</v>
      </c>
      <c r="I23" s="68"/>
      <c r="J23" s="68"/>
      <c r="K23" s="68"/>
      <c r="L23" s="46" t="s">
        <v>288</v>
      </c>
      <c r="M23" s="46" t="str">
        <f>"161,2000"</f>
        <v>161,2000</v>
      </c>
      <c r="N23" s="11" t="s">
        <v>340</v>
      </c>
    </row>
    <row r="24" spans="1:14" ht="12.75">
      <c r="A24" s="57">
        <v>2</v>
      </c>
      <c r="B24" s="12" t="s">
        <v>517</v>
      </c>
      <c r="C24" s="12" t="s">
        <v>341</v>
      </c>
      <c r="D24" s="12" t="s">
        <v>223</v>
      </c>
      <c r="E24" s="12" t="str">
        <f>"0,6086"</f>
        <v>0,6086</v>
      </c>
      <c r="F24" s="12" t="s">
        <v>14</v>
      </c>
      <c r="G24" s="12" t="s">
        <v>15</v>
      </c>
      <c r="H24" s="69" t="s">
        <v>117</v>
      </c>
      <c r="I24" s="71"/>
      <c r="J24" s="71"/>
      <c r="K24" s="71"/>
      <c r="L24" s="47" t="s">
        <v>117</v>
      </c>
      <c r="M24" s="47" t="str">
        <f>"127,8060"</f>
        <v>127,8060</v>
      </c>
      <c r="N24" s="12" t="s">
        <v>419</v>
      </c>
    </row>
    <row r="26" spans="2:13" ht="15.75">
      <c r="B26" s="103" t="s">
        <v>66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</row>
    <row r="27" spans="1:14" ht="12.75">
      <c r="A27" s="57">
        <v>1</v>
      </c>
      <c r="B27" s="11" t="s">
        <v>538</v>
      </c>
      <c r="C27" s="11" t="s">
        <v>376</v>
      </c>
      <c r="D27" s="11" t="s">
        <v>377</v>
      </c>
      <c r="E27" s="11" t="str">
        <f>"0,6015"</f>
        <v>0,6015</v>
      </c>
      <c r="F27" s="11" t="s">
        <v>22</v>
      </c>
      <c r="G27" s="11" t="s">
        <v>378</v>
      </c>
      <c r="H27" s="67" t="s">
        <v>99</v>
      </c>
      <c r="I27" s="66" t="s">
        <v>273</v>
      </c>
      <c r="J27" s="67" t="s">
        <v>108</v>
      </c>
      <c r="K27" s="68"/>
      <c r="L27" s="46" t="s">
        <v>273</v>
      </c>
      <c r="M27" s="46" t="str">
        <f>"147,3675"</f>
        <v>147,3675</v>
      </c>
      <c r="N27" s="11" t="s">
        <v>177</v>
      </c>
    </row>
    <row r="28" spans="1:14" ht="12.75">
      <c r="A28" s="57">
        <v>2</v>
      </c>
      <c r="B28" s="12" t="s">
        <v>526</v>
      </c>
      <c r="C28" s="12" t="s">
        <v>85</v>
      </c>
      <c r="D28" s="12" t="s">
        <v>86</v>
      </c>
      <c r="E28" s="12" t="str">
        <f>"0,5902"</f>
        <v>0,5902</v>
      </c>
      <c r="F28" s="12" t="s">
        <v>14</v>
      </c>
      <c r="G28" s="12" t="s">
        <v>15</v>
      </c>
      <c r="H28" s="69" t="s">
        <v>99</v>
      </c>
      <c r="I28" s="71"/>
      <c r="J28" s="71"/>
      <c r="K28" s="71"/>
      <c r="L28" s="47" t="s">
        <v>99</v>
      </c>
      <c r="M28" s="47" t="str">
        <f>"141,6480"</f>
        <v>141,6480</v>
      </c>
      <c r="N28" s="12" t="s">
        <v>177</v>
      </c>
    </row>
    <row r="30" spans="2:13" ht="15.75">
      <c r="B30" s="103" t="s">
        <v>95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</row>
    <row r="31" spans="1:14" ht="12.75">
      <c r="A31" s="57">
        <v>1</v>
      </c>
      <c r="B31" s="9" t="s">
        <v>539</v>
      </c>
      <c r="C31" s="9" t="s">
        <v>379</v>
      </c>
      <c r="D31" s="9" t="s">
        <v>380</v>
      </c>
      <c r="E31" s="9" t="str">
        <f>"0,5746"</f>
        <v>0,5746</v>
      </c>
      <c r="F31" s="9" t="s">
        <v>642</v>
      </c>
      <c r="G31" s="9" t="s">
        <v>80</v>
      </c>
      <c r="H31" s="25" t="s">
        <v>114</v>
      </c>
      <c r="I31" s="25" t="s">
        <v>273</v>
      </c>
      <c r="J31" s="59" t="s">
        <v>287</v>
      </c>
      <c r="K31" s="60"/>
      <c r="L31" s="44" t="s">
        <v>273</v>
      </c>
      <c r="M31" s="44" t="str">
        <f>"140,7770"</f>
        <v>140,7770</v>
      </c>
      <c r="N31" s="9" t="s">
        <v>381</v>
      </c>
    </row>
    <row r="32" ht="12.75">
      <c r="I32" s="72"/>
    </row>
    <row r="33" spans="2:6" ht="18">
      <c r="B33" s="30" t="s">
        <v>121</v>
      </c>
      <c r="C33" s="30"/>
      <c r="D33" s="39"/>
      <c r="E33" s="39"/>
      <c r="F33" s="39"/>
    </row>
    <row r="34" spans="2:6" ht="12.75">
      <c r="B34" s="39"/>
      <c r="C34" s="39"/>
      <c r="D34" s="39"/>
      <c r="E34" s="39"/>
      <c r="F34" s="39"/>
    </row>
    <row r="35" spans="2:6" ht="15.75">
      <c r="B35" s="36" t="s">
        <v>128</v>
      </c>
      <c r="C35" s="36"/>
      <c r="D35" s="39"/>
      <c r="E35" s="39"/>
      <c r="F35" s="39"/>
    </row>
    <row r="36" spans="2:6" ht="13.5">
      <c r="B36" s="37"/>
      <c r="C36" s="38"/>
      <c r="D36" s="39"/>
      <c r="E36" s="39"/>
      <c r="F36" s="39"/>
    </row>
    <row r="37" spans="2:6" ht="13.5">
      <c r="B37" s="79"/>
      <c r="C37" s="80" t="s">
        <v>122</v>
      </c>
      <c r="D37" s="81"/>
      <c r="E37" s="81"/>
      <c r="F37" s="81"/>
    </row>
    <row r="38" spans="2:6" ht="13.5">
      <c r="B38" s="152" t="s">
        <v>123</v>
      </c>
      <c r="C38" s="152" t="s">
        <v>124</v>
      </c>
      <c r="D38" s="152" t="s">
        <v>125</v>
      </c>
      <c r="E38" s="152" t="s">
        <v>126</v>
      </c>
      <c r="F38" s="152" t="s">
        <v>127</v>
      </c>
    </row>
    <row r="39" spans="1:6" ht="12.75">
      <c r="A39" s="57">
        <v>1</v>
      </c>
      <c r="B39" s="35" t="s">
        <v>370</v>
      </c>
      <c r="C39" s="82" t="s">
        <v>122</v>
      </c>
      <c r="D39" s="44" t="s">
        <v>540</v>
      </c>
      <c r="E39" s="44" t="s">
        <v>372</v>
      </c>
      <c r="F39" s="44" t="s">
        <v>382</v>
      </c>
    </row>
    <row r="40" spans="1:6" ht="12.75">
      <c r="A40" s="57">
        <v>2</v>
      </c>
      <c r="B40" s="35" t="s">
        <v>365</v>
      </c>
      <c r="C40" s="82" t="s">
        <v>122</v>
      </c>
      <c r="D40" s="44" t="s">
        <v>541</v>
      </c>
      <c r="E40" s="44" t="s">
        <v>288</v>
      </c>
      <c r="F40" s="44" t="s">
        <v>383</v>
      </c>
    </row>
    <row r="41" spans="1:6" ht="12.75">
      <c r="A41" s="57">
        <v>3</v>
      </c>
      <c r="B41" s="35" t="s">
        <v>335</v>
      </c>
      <c r="C41" s="82" t="s">
        <v>122</v>
      </c>
      <c r="D41" s="44" t="s">
        <v>542</v>
      </c>
      <c r="E41" s="44" t="s">
        <v>288</v>
      </c>
      <c r="F41" s="44" t="s">
        <v>384</v>
      </c>
    </row>
    <row r="42" spans="2:6" ht="12.75">
      <c r="B42" s="34"/>
      <c r="F42" s="20"/>
    </row>
    <row r="43" spans="2:6" ht="12.75">
      <c r="B43" s="16"/>
      <c r="F43" s="20"/>
    </row>
    <row r="44" spans="2:6" ht="12.75">
      <c r="B44" s="16"/>
      <c r="F44" s="20"/>
    </row>
    <row r="45" spans="2:6" ht="12.75">
      <c r="B45" s="16"/>
      <c r="F45" s="20"/>
    </row>
    <row r="46" spans="2:6" ht="12.75">
      <c r="B46" s="16"/>
      <c r="F46" s="20"/>
    </row>
    <row r="47" spans="2:6" ht="12.75">
      <c r="B47" s="16"/>
      <c r="F47" s="20"/>
    </row>
    <row r="48" spans="2:6" ht="12.75">
      <c r="B48" s="16"/>
      <c r="F48" s="20"/>
    </row>
  </sheetData>
  <sheetProtection/>
  <mergeCells count="19">
    <mergeCell ref="N3:N4"/>
    <mergeCell ref="B5:M5"/>
    <mergeCell ref="B8:M8"/>
    <mergeCell ref="B11:M11"/>
    <mergeCell ref="B1:N2"/>
    <mergeCell ref="B3:B4"/>
    <mergeCell ref="C3:C4"/>
    <mergeCell ref="D3:D4"/>
    <mergeCell ref="E3:E4"/>
    <mergeCell ref="F3:F4"/>
    <mergeCell ref="A3:A4"/>
    <mergeCell ref="B16:M16"/>
    <mergeCell ref="B22:M22"/>
    <mergeCell ref="B26:M26"/>
    <mergeCell ref="B30:M30"/>
    <mergeCell ref="L3:L4"/>
    <mergeCell ref="M3:M4"/>
    <mergeCell ref="G3:G4"/>
    <mergeCell ref="H3:K3"/>
  </mergeCells>
  <printOptions/>
  <pageMargins left="0.7" right="0.7" top="0.75" bottom="0.75" header="0.3" footer="0.3"/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A1">
      <selection activeCell="F13" sqref="F13"/>
    </sheetView>
  </sheetViews>
  <sheetFormatPr defaultColWidth="8.75390625" defaultRowHeight="12.75"/>
  <cols>
    <col min="1" max="1" width="9.125" style="57" customWidth="1"/>
    <col min="2" max="2" width="20.25390625" style="8" customWidth="1"/>
    <col min="3" max="3" width="25.375" style="8" customWidth="1"/>
    <col min="4" max="4" width="10.625" style="8" bestFit="1" customWidth="1"/>
    <col min="5" max="5" width="8.375" style="8" bestFit="1" customWidth="1"/>
    <col min="6" max="6" width="18.875" style="8" customWidth="1"/>
    <col min="7" max="7" width="25.125" style="8" customWidth="1"/>
    <col min="8" max="10" width="5.625" style="48" bestFit="1" customWidth="1"/>
    <col min="11" max="11" width="4.625" style="48" bestFit="1" customWidth="1"/>
    <col min="12" max="12" width="12.25390625" style="48" customWidth="1"/>
    <col min="13" max="13" width="8.625" style="48" bestFit="1" customWidth="1"/>
    <col min="14" max="14" width="15.375" style="8" bestFit="1" customWidth="1"/>
  </cols>
  <sheetData>
    <row r="1" spans="1:14" s="1" customFormat="1" ht="15" customHeight="1">
      <c r="A1" s="50"/>
      <c r="B1" s="104" t="s">
        <v>622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spans="1:14" s="1" customFormat="1" ht="109.5" customHeight="1" thickBot="1">
      <c r="A2" s="50"/>
      <c r="B2" s="107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</row>
    <row r="3" spans="1:14" s="2" customFormat="1" ht="12.75" customHeight="1">
      <c r="A3" s="101" t="s">
        <v>507</v>
      </c>
      <c r="B3" s="110" t="s">
        <v>0</v>
      </c>
      <c r="C3" s="112" t="s">
        <v>508</v>
      </c>
      <c r="D3" s="112" t="s">
        <v>509</v>
      </c>
      <c r="E3" s="110" t="s">
        <v>9</v>
      </c>
      <c r="F3" s="110" t="s">
        <v>7</v>
      </c>
      <c r="G3" s="114" t="s">
        <v>510</v>
      </c>
      <c r="H3" s="110" t="s">
        <v>3</v>
      </c>
      <c r="I3" s="110"/>
      <c r="J3" s="110"/>
      <c r="K3" s="110"/>
      <c r="L3" s="110" t="s">
        <v>506</v>
      </c>
      <c r="M3" s="110" t="s">
        <v>6</v>
      </c>
      <c r="N3" s="116" t="s">
        <v>5</v>
      </c>
    </row>
    <row r="4" spans="1:14" s="2" customFormat="1" ht="21" customHeight="1" thickBot="1">
      <c r="A4" s="102"/>
      <c r="B4" s="111"/>
      <c r="C4" s="111"/>
      <c r="D4" s="113"/>
      <c r="E4" s="111"/>
      <c r="F4" s="111"/>
      <c r="G4" s="115"/>
      <c r="H4" s="3">
        <v>1</v>
      </c>
      <c r="I4" s="3">
        <v>2</v>
      </c>
      <c r="J4" s="3">
        <v>3</v>
      </c>
      <c r="K4" s="3" t="s">
        <v>8</v>
      </c>
      <c r="L4" s="111"/>
      <c r="M4" s="111"/>
      <c r="N4" s="117"/>
    </row>
    <row r="5" spans="2:13" ht="15.75">
      <c r="B5" s="118" t="s">
        <v>27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</row>
    <row r="6" spans="1:14" ht="12.75">
      <c r="A6" s="57">
        <v>1</v>
      </c>
      <c r="B6" s="9" t="s">
        <v>528</v>
      </c>
      <c r="C6" s="9" t="s">
        <v>385</v>
      </c>
      <c r="D6" s="9" t="s">
        <v>386</v>
      </c>
      <c r="E6" s="9" t="str">
        <f>"0,6729"</f>
        <v>0,6729</v>
      </c>
      <c r="F6" s="9" t="s">
        <v>22</v>
      </c>
      <c r="G6" s="9" t="s">
        <v>39</v>
      </c>
      <c r="H6" s="25" t="s">
        <v>48</v>
      </c>
      <c r="I6" s="59" t="s">
        <v>104</v>
      </c>
      <c r="J6" s="25" t="s">
        <v>104</v>
      </c>
      <c r="K6" s="60"/>
      <c r="L6" s="44" t="s">
        <v>104</v>
      </c>
      <c r="M6" s="44" t="str">
        <f>"127,8510"</f>
        <v>127,8510</v>
      </c>
      <c r="N6" s="9" t="s">
        <v>177</v>
      </c>
    </row>
    <row r="8" spans="2:13" ht="15.75">
      <c r="B8" s="103" t="s">
        <v>45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</row>
    <row r="9" spans="1:14" ht="12.75">
      <c r="A9" s="57">
        <v>1</v>
      </c>
      <c r="B9" s="11" t="s">
        <v>529</v>
      </c>
      <c r="C9" s="11" t="s">
        <v>387</v>
      </c>
      <c r="D9" s="11" t="s">
        <v>283</v>
      </c>
      <c r="E9" s="11" t="str">
        <f>"0,6499"</f>
        <v>0,6499</v>
      </c>
      <c r="F9" s="11" t="s">
        <v>74</v>
      </c>
      <c r="G9" s="11" t="s">
        <v>388</v>
      </c>
      <c r="H9" s="66" t="s">
        <v>77</v>
      </c>
      <c r="I9" s="66" t="s">
        <v>117</v>
      </c>
      <c r="J9" s="67" t="s">
        <v>264</v>
      </c>
      <c r="K9" s="68"/>
      <c r="L9" s="46" t="s">
        <v>117</v>
      </c>
      <c r="M9" s="46" t="str">
        <f>"136,4790"</f>
        <v>136,4790</v>
      </c>
      <c r="N9" s="11" t="s">
        <v>177</v>
      </c>
    </row>
    <row r="10" spans="1:14" ht="12.75">
      <c r="A10" s="57">
        <v>2</v>
      </c>
      <c r="B10" s="12" t="s">
        <v>530</v>
      </c>
      <c r="C10" s="12" t="s">
        <v>389</v>
      </c>
      <c r="D10" s="12" t="s">
        <v>390</v>
      </c>
      <c r="E10" s="12" t="str">
        <f>"0,6467"</f>
        <v>0,6467</v>
      </c>
      <c r="F10" s="12" t="s">
        <v>22</v>
      </c>
      <c r="G10" s="12" t="s">
        <v>39</v>
      </c>
      <c r="H10" s="69" t="s">
        <v>84</v>
      </c>
      <c r="I10" s="70" t="s">
        <v>114</v>
      </c>
      <c r="J10" s="71"/>
      <c r="K10" s="71"/>
      <c r="L10" s="47">
        <v>202.5</v>
      </c>
      <c r="M10" s="47" t="str">
        <f>"130,9568"</f>
        <v>130,9568</v>
      </c>
      <c r="N10" s="12" t="s">
        <v>177</v>
      </c>
    </row>
    <row r="12" spans="2:13" ht="15.75">
      <c r="B12" s="103" t="s">
        <v>63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</row>
    <row r="13" spans="1:14" ht="12.75">
      <c r="A13" s="57">
        <v>1</v>
      </c>
      <c r="B13" s="9" t="s">
        <v>531</v>
      </c>
      <c r="C13" s="9" t="s">
        <v>391</v>
      </c>
      <c r="D13" s="9" t="s">
        <v>392</v>
      </c>
      <c r="E13" s="9" t="str">
        <f>"0,6197"</f>
        <v>0,6197</v>
      </c>
      <c r="F13" s="9" t="s">
        <v>22</v>
      </c>
      <c r="G13" s="9" t="s">
        <v>39</v>
      </c>
      <c r="H13" s="25" t="s">
        <v>372</v>
      </c>
      <c r="I13" s="59" t="s">
        <v>393</v>
      </c>
      <c r="J13" s="60"/>
      <c r="K13" s="60"/>
      <c r="L13" s="44" t="s">
        <v>372</v>
      </c>
      <c r="M13" s="44" t="str">
        <f>"173,5160"</f>
        <v>173,5160</v>
      </c>
      <c r="N13" s="9" t="s">
        <v>177</v>
      </c>
    </row>
    <row r="15" spans="2:13" ht="15.75">
      <c r="B15" s="103" t="s">
        <v>66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</row>
    <row r="16" spans="1:14" ht="12.75">
      <c r="A16" s="57">
        <v>1</v>
      </c>
      <c r="B16" s="9" t="s">
        <v>532</v>
      </c>
      <c r="C16" s="9" t="s">
        <v>356</v>
      </c>
      <c r="D16" s="9" t="s">
        <v>357</v>
      </c>
      <c r="E16" s="9" t="str">
        <f>"0,5893"</f>
        <v>0,5893</v>
      </c>
      <c r="F16" s="9" t="s">
        <v>14</v>
      </c>
      <c r="G16" s="9" t="s">
        <v>15</v>
      </c>
      <c r="H16" s="25" t="s">
        <v>291</v>
      </c>
      <c r="I16" s="60"/>
      <c r="J16" s="60"/>
      <c r="K16" s="60"/>
      <c r="L16" s="44" t="s">
        <v>291</v>
      </c>
      <c r="M16" s="44" t="str">
        <f>"162,0575"</f>
        <v>162,0575</v>
      </c>
      <c r="N16" s="9" t="s">
        <v>177</v>
      </c>
    </row>
    <row r="18" ht="15.75">
      <c r="F18" s="13"/>
    </row>
    <row r="19" ht="15.75">
      <c r="F19" s="13"/>
    </row>
    <row r="20" ht="15.75">
      <c r="F20" s="13"/>
    </row>
    <row r="21" ht="15.75">
      <c r="F21" s="13"/>
    </row>
    <row r="22" ht="15.75">
      <c r="F22" s="13"/>
    </row>
    <row r="23" ht="15.75">
      <c r="F23" s="13"/>
    </row>
    <row r="24" ht="15.75">
      <c r="F24" s="13"/>
    </row>
  </sheetData>
  <sheetProtection/>
  <mergeCells count="16">
    <mergeCell ref="B1:N2"/>
    <mergeCell ref="B3:B4"/>
    <mergeCell ref="C3:C4"/>
    <mergeCell ref="D3:D4"/>
    <mergeCell ref="E3:E4"/>
    <mergeCell ref="F3:F4"/>
    <mergeCell ref="G3:G4"/>
    <mergeCell ref="H3:K3"/>
    <mergeCell ref="A3:A4"/>
    <mergeCell ref="B15:M15"/>
    <mergeCell ref="L3:L4"/>
    <mergeCell ref="M3:M4"/>
    <mergeCell ref="N3:N4"/>
    <mergeCell ref="B5:M5"/>
    <mergeCell ref="B8:M8"/>
    <mergeCell ref="B12:M12"/>
  </mergeCell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5"/>
  <sheetViews>
    <sheetView workbookViewId="0" topLeftCell="B1">
      <selection activeCell="U11" sqref="U11:U12"/>
    </sheetView>
  </sheetViews>
  <sheetFormatPr defaultColWidth="8.75390625" defaultRowHeight="12.75"/>
  <cols>
    <col min="1" max="1" width="9.125" style="57" customWidth="1"/>
    <col min="2" max="2" width="19.00390625" style="8" customWidth="1"/>
    <col min="3" max="3" width="25.125" style="8" customWidth="1"/>
    <col min="4" max="4" width="10.625" style="8" bestFit="1" customWidth="1"/>
    <col min="5" max="5" width="8.375" style="8" bestFit="1" customWidth="1"/>
    <col min="6" max="6" width="16.75390625" style="8" customWidth="1"/>
    <col min="7" max="7" width="30.625" style="8" bestFit="1" customWidth="1"/>
    <col min="8" max="10" width="5.625" style="8" bestFit="1" customWidth="1"/>
    <col min="11" max="11" width="4.625" style="8" bestFit="1" customWidth="1"/>
    <col min="12" max="14" width="5.625" style="8" bestFit="1" customWidth="1"/>
    <col min="15" max="15" width="4.625" style="8" bestFit="1" customWidth="1"/>
    <col min="16" max="18" width="5.625" style="8" bestFit="1" customWidth="1"/>
    <col min="19" max="19" width="4.625" style="8" bestFit="1" customWidth="1"/>
    <col min="20" max="20" width="7.875" style="48" bestFit="1" customWidth="1"/>
    <col min="21" max="21" width="8.625" style="8" bestFit="1" customWidth="1"/>
    <col min="22" max="22" width="19.25390625" style="8" customWidth="1"/>
  </cols>
  <sheetData>
    <row r="1" spans="1:22" s="1" customFormat="1" ht="15" customHeight="1">
      <c r="A1" s="50"/>
      <c r="B1" s="104" t="s">
        <v>626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6"/>
    </row>
    <row r="2" spans="1:22" s="1" customFormat="1" ht="81" customHeight="1" thickBot="1">
      <c r="A2" s="50"/>
      <c r="B2" s="107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9"/>
    </row>
    <row r="3" spans="1:22" s="2" customFormat="1" ht="12.75" customHeight="1">
      <c r="A3" s="101" t="s">
        <v>507</v>
      </c>
      <c r="B3" s="110" t="s">
        <v>0</v>
      </c>
      <c r="C3" s="112" t="s">
        <v>508</v>
      </c>
      <c r="D3" s="112" t="s">
        <v>509</v>
      </c>
      <c r="E3" s="110" t="s">
        <v>9</v>
      </c>
      <c r="F3" s="110" t="s">
        <v>7</v>
      </c>
      <c r="G3" s="114" t="s">
        <v>510</v>
      </c>
      <c r="H3" s="110" t="s">
        <v>1</v>
      </c>
      <c r="I3" s="110"/>
      <c r="J3" s="110"/>
      <c r="K3" s="110"/>
      <c r="L3" s="110" t="s">
        <v>2</v>
      </c>
      <c r="M3" s="110"/>
      <c r="N3" s="110"/>
      <c r="O3" s="110"/>
      <c r="P3" s="110" t="s">
        <v>3</v>
      </c>
      <c r="Q3" s="110"/>
      <c r="R3" s="110"/>
      <c r="S3" s="110"/>
      <c r="T3" s="110" t="s">
        <v>4</v>
      </c>
      <c r="U3" s="110" t="s">
        <v>6</v>
      </c>
      <c r="V3" s="116" t="s">
        <v>5</v>
      </c>
    </row>
    <row r="4" spans="1:22" s="2" customFormat="1" ht="21" customHeight="1" thickBot="1">
      <c r="A4" s="102"/>
      <c r="B4" s="111"/>
      <c r="C4" s="111"/>
      <c r="D4" s="113"/>
      <c r="E4" s="111"/>
      <c r="F4" s="111"/>
      <c r="G4" s="115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3">
        <v>1</v>
      </c>
      <c r="Q4" s="3">
        <v>2</v>
      </c>
      <c r="R4" s="3">
        <v>3</v>
      </c>
      <c r="S4" s="3" t="s">
        <v>8</v>
      </c>
      <c r="T4" s="111"/>
      <c r="U4" s="111"/>
      <c r="V4" s="117"/>
    </row>
    <row r="5" spans="2:21" ht="15.75">
      <c r="B5" s="118" t="s">
        <v>45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2" ht="12.75">
      <c r="A6" s="57">
        <v>1</v>
      </c>
      <c r="B6" s="11" t="s">
        <v>544</v>
      </c>
      <c r="C6" s="11" t="s">
        <v>326</v>
      </c>
      <c r="D6" s="11" t="s">
        <v>214</v>
      </c>
      <c r="E6" s="11" t="str">
        <f>"0,6444"</f>
        <v>0,6444</v>
      </c>
      <c r="F6" s="11" t="s">
        <v>22</v>
      </c>
      <c r="G6" s="11" t="s">
        <v>61</v>
      </c>
      <c r="H6" s="63" t="s">
        <v>76</v>
      </c>
      <c r="I6" s="22" t="s">
        <v>114</v>
      </c>
      <c r="J6" s="22" t="s">
        <v>272</v>
      </c>
      <c r="K6" s="64"/>
      <c r="L6" s="63" t="s">
        <v>62</v>
      </c>
      <c r="M6" s="22" t="s">
        <v>327</v>
      </c>
      <c r="N6" s="63" t="s">
        <v>25</v>
      </c>
      <c r="O6" s="64"/>
      <c r="P6" s="22" t="s">
        <v>76</v>
      </c>
      <c r="Q6" s="22" t="s">
        <v>264</v>
      </c>
      <c r="R6" s="22" t="s">
        <v>271</v>
      </c>
      <c r="S6" s="64"/>
      <c r="T6" s="46">
        <v>597.5</v>
      </c>
      <c r="U6" s="28" t="str">
        <f>"385,0290"</f>
        <v>385,0290</v>
      </c>
      <c r="V6" s="11" t="s">
        <v>420</v>
      </c>
    </row>
    <row r="7" spans="1:22" ht="12.75">
      <c r="A7" s="57">
        <v>1</v>
      </c>
      <c r="B7" s="75" t="s">
        <v>545</v>
      </c>
      <c r="C7" s="75" t="s">
        <v>329</v>
      </c>
      <c r="D7" s="75" t="s">
        <v>330</v>
      </c>
      <c r="E7" s="75" t="str">
        <f>"0,6553"</f>
        <v>0,6553</v>
      </c>
      <c r="F7" s="75" t="s">
        <v>331</v>
      </c>
      <c r="G7" s="75" t="s">
        <v>15</v>
      </c>
      <c r="H7" s="83" t="s">
        <v>76</v>
      </c>
      <c r="I7" s="83" t="s">
        <v>264</v>
      </c>
      <c r="J7" s="83" t="s">
        <v>271</v>
      </c>
      <c r="K7" s="84"/>
      <c r="L7" s="83" t="s">
        <v>32</v>
      </c>
      <c r="M7" s="83" t="s">
        <v>184</v>
      </c>
      <c r="N7" s="85" t="s">
        <v>33</v>
      </c>
      <c r="O7" s="86"/>
      <c r="P7" s="83" t="s">
        <v>76</v>
      </c>
      <c r="Q7" s="83" t="s">
        <v>263</v>
      </c>
      <c r="R7" s="83" t="s">
        <v>113</v>
      </c>
      <c r="S7" s="84"/>
      <c r="T7" s="78" t="s">
        <v>353</v>
      </c>
      <c r="U7" s="87" t="str">
        <f>"393,1800"</f>
        <v>393,1800</v>
      </c>
      <c r="V7" s="75" t="s">
        <v>177</v>
      </c>
    </row>
    <row r="8" spans="1:22" ht="12.75">
      <c r="A8" s="57">
        <v>2</v>
      </c>
      <c r="B8" s="12" t="s">
        <v>512</v>
      </c>
      <c r="C8" s="12" t="s">
        <v>332</v>
      </c>
      <c r="D8" s="12" t="s">
        <v>209</v>
      </c>
      <c r="E8" s="12" t="str">
        <f>"0,6503"</f>
        <v>0,6503</v>
      </c>
      <c r="F8" s="12" t="s">
        <v>22</v>
      </c>
      <c r="G8" s="12" t="s">
        <v>333</v>
      </c>
      <c r="H8" s="23" t="s">
        <v>76</v>
      </c>
      <c r="I8" s="23" t="s">
        <v>117</v>
      </c>
      <c r="J8" s="23" t="s">
        <v>264</v>
      </c>
      <c r="K8" s="65"/>
      <c r="L8" s="23" t="s">
        <v>307</v>
      </c>
      <c r="M8" s="23" t="s">
        <v>62</v>
      </c>
      <c r="N8" s="23" t="s">
        <v>58</v>
      </c>
      <c r="O8" s="65"/>
      <c r="P8" s="23" t="s">
        <v>76</v>
      </c>
      <c r="Q8" s="23" t="s">
        <v>271</v>
      </c>
      <c r="R8" s="23" t="s">
        <v>334</v>
      </c>
      <c r="S8" s="65"/>
      <c r="T8" s="47">
        <v>587.5</v>
      </c>
      <c r="U8" s="29" t="str">
        <f>"382,0513"</f>
        <v>382,0513</v>
      </c>
      <c r="V8" s="12" t="s">
        <v>177</v>
      </c>
    </row>
    <row r="10" spans="2:21" ht="15.75">
      <c r="B10" s="103" t="s">
        <v>63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</row>
    <row r="11" spans="1:22" ht="12.75">
      <c r="A11" s="57">
        <v>1</v>
      </c>
      <c r="B11" s="137" t="s">
        <v>515</v>
      </c>
      <c r="C11" s="11" t="s">
        <v>336</v>
      </c>
      <c r="D11" s="138" t="s">
        <v>337</v>
      </c>
      <c r="E11" s="11" t="str">
        <f>"0,6200"</f>
        <v>0,6200</v>
      </c>
      <c r="F11" s="138" t="s">
        <v>22</v>
      </c>
      <c r="G11" s="11" t="s">
        <v>80</v>
      </c>
      <c r="H11" s="153" t="s">
        <v>287</v>
      </c>
      <c r="I11" s="22" t="s">
        <v>338</v>
      </c>
      <c r="J11" s="153" t="s">
        <v>339</v>
      </c>
      <c r="K11" s="64"/>
      <c r="L11" s="153" t="s">
        <v>33</v>
      </c>
      <c r="M11" s="22" t="s">
        <v>49</v>
      </c>
      <c r="N11" s="153" t="s">
        <v>55</v>
      </c>
      <c r="O11" s="64"/>
      <c r="P11" s="154" t="s">
        <v>288</v>
      </c>
      <c r="Q11" s="63" t="s">
        <v>288</v>
      </c>
      <c r="R11" s="153" t="s">
        <v>288</v>
      </c>
      <c r="S11" s="64"/>
      <c r="T11" s="141">
        <v>727.5</v>
      </c>
      <c r="U11" s="28" t="str">
        <f>"451,0500"</f>
        <v>451,0500</v>
      </c>
      <c r="V11" s="142" t="s">
        <v>340</v>
      </c>
    </row>
    <row r="12" spans="1:22" ht="12.75">
      <c r="A12" s="57">
        <v>2</v>
      </c>
      <c r="B12" s="73" t="s">
        <v>517</v>
      </c>
      <c r="C12" s="12" t="s">
        <v>341</v>
      </c>
      <c r="D12" s="145" t="s">
        <v>223</v>
      </c>
      <c r="E12" s="12" t="str">
        <f>"0,6086"</f>
        <v>0,6086</v>
      </c>
      <c r="F12" s="145" t="s">
        <v>14</v>
      </c>
      <c r="G12" s="12" t="s">
        <v>15</v>
      </c>
      <c r="H12" s="155" t="s">
        <v>264</v>
      </c>
      <c r="I12" s="157" t="s">
        <v>271</v>
      </c>
      <c r="J12" s="156" t="s">
        <v>271</v>
      </c>
      <c r="K12" s="65"/>
      <c r="L12" s="155" t="s">
        <v>40</v>
      </c>
      <c r="M12" s="23" t="s">
        <v>58</v>
      </c>
      <c r="N12" s="156" t="s">
        <v>183</v>
      </c>
      <c r="O12" s="65"/>
      <c r="P12" s="155" t="s">
        <v>51</v>
      </c>
      <c r="Q12" s="23" t="s">
        <v>94</v>
      </c>
      <c r="R12" s="155" t="s">
        <v>117</v>
      </c>
      <c r="S12" s="65"/>
      <c r="T12" s="149" t="s">
        <v>355</v>
      </c>
      <c r="U12" s="29" t="str">
        <f>"343,8590"</f>
        <v>343,8590</v>
      </c>
      <c r="V12" s="74" t="s">
        <v>419</v>
      </c>
    </row>
    <row r="14" spans="2:21" ht="15.75">
      <c r="B14" s="103" t="s">
        <v>625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</row>
    <row r="15" spans="1:22" ht="12.75">
      <c r="A15" s="57">
        <v>1</v>
      </c>
      <c r="B15" s="9" t="s">
        <v>546</v>
      </c>
      <c r="C15" s="9" t="s">
        <v>97</v>
      </c>
      <c r="D15" s="9" t="s">
        <v>98</v>
      </c>
      <c r="E15" s="9" t="str">
        <f>"0,5806"</f>
        <v>0,5806</v>
      </c>
      <c r="F15" s="9" t="s">
        <v>38</v>
      </c>
      <c r="G15" s="9" t="s">
        <v>54</v>
      </c>
      <c r="H15" s="21" t="s">
        <v>342</v>
      </c>
      <c r="I15" s="55"/>
      <c r="J15" s="55"/>
      <c r="K15" s="55"/>
      <c r="L15" s="21" t="s">
        <v>113</v>
      </c>
      <c r="M15" s="21" t="s">
        <v>114</v>
      </c>
      <c r="N15" s="21" t="s">
        <v>99</v>
      </c>
      <c r="O15" s="55"/>
      <c r="P15" s="21" t="s">
        <v>343</v>
      </c>
      <c r="Q15" s="54" t="s">
        <v>344</v>
      </c>
      <c r="R15" s="55"/>
      <c r="S15" s="55"/>
      <c r="T15" s="44" t="s">
        <v>349</v>
      </c>
      <c r="U15" s="27" t="str">
        <f>"510,9280"</f>
        <v>510,9280</v>
      </c>
      <c r="V15" s="9" t="s">
        <v>499</v>
      </c>
    </row>
    <row r="17" spans="2:21" ht="15.75">
      <c r="B17" s="103" t="s">
        <v>109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</row>
    <row r="18" spans="1:22" ht="12.75">
      <c r="A18" s="57">
        <v>1</v>
      </c>
      <c r="B18" s="9" t="s">
        <v>547</v>
      </c>
      <c r="C18" s="9" t="s">
        <v>345</v>
      </c>
      <c r="D18" s="9" t="s">
        <v>346</v>
      </c>
      <c r="E18" s="9" t="str">
        <f>"0,5675"</f>
        <v>0,5675</v>
      </c>
      <c r="F18" s="9" t="s">
        <v>22</v>
      </c>
      <c r="G18" s="9" t="s">
        <v>347</v>
      </c>
      <c r="H18" s="21" t="s">
        <v>104</v>
      </c>
      <c r="I18" s="54" t="s">
        <v>77</v>
      </c>
      <c r="J18" s="54" t="s">
        <v>77</v>
      </c>
      <c r="K18" s="55"/>
      <c r="L18" s="21" t="s">
        <v>32</v>
      </c>
      <c r="M18" s="54" t="s">
        <v>33</v>
      </c>
      <c r="N18" s="55"/>
      <c r="O18" s="55"/>
      <c r="P18" s="21" t="s">
        <v>114</v>
      </c>
      <c r="Q18" s="21" t="s">
        <v>287</v>
      </c>
      <c r="R18" s="21" t="s">
        <v>348</v>
      </c>
      <c r="S18" s="55"/>
      <c r="T18" s="44">
        <v>602.5</v>
      </c>
      <c r="U18" s="27" t="str">
        <f>"341,9187"</f>
        <v>341,9187</v>
      </c>
      <c r="V18" s="9" t="s">
        <v>177</v>
      </c>
    </row>
    <row r="20" spans="2:3" ht="18">
      <c r="B20" s="14" t="s">
        <v>121</v>
      </c>
      <c r="C20" s="14"/>
    </row>
    <row r="21" spans="2:3" ht="13.5">
      <c r="B21" s="17"/>
      <c r="C21" s="18" t="s">
        <v>122</v>
      </c>
    </row>
    <row r="22" spans="2:6" ht="13.5">
      <c r="B22" s="19" t="s">
        <v>123</v>
      </c>
      <c r="C22" s="19" t="s">
        <v>124</v>
      </c>
      <c r="D22" s="19" t="s">
        <v>125</v>
      </c>
      <c r="E22" s="19" t="s">
        <v>126</v>
      </c>
      <c r="F22" s="19" t="s">
        <v>127</v>
      </c>
    </row>
    <row r="23" spans="1:6" ht="12.75">
      <c r="A23" s="57">
        <v>1</v>
      </c>
      <c r="B23" s="16" t="s">
        <v>96</v>
      </c>
      <c r="C23" s="45" t="s">
        <v>122</v>
      </c>
      <c r="D23" s="48" t="s">
        <v>548</v>
      </c>
      <c r="E23" s="48" t="s">
        <v>349</v>
      </c>
      <c r="F23" s="48" t="s">
        <v>350</v>
      </c>
    </row>
    <row r="24" spans="1:6" ht="12.75">
      <c r="A24" s="57">
        <v>2</v>
      </c>
      <c r="B24" s="16" t="s">
        <v>335</v>
      </c>
      <c r="C24" s="45" t="s">
        <v>122</v>
      </c>
      <c r="D24" s="48" t="s">
        <v>542</v>
      </c>
      <c r="E24" s="48" t="s">
        <v>351</v>
      </c>
      <c r="F24" s="48" t="s">
        <v>352</v>
      </c>
    </row>
    <row r="25" spans="1:6" ht="12.75">
      <c r="A25" s="57">
        <v>3</v>
      </c>
      <c r="B25" s="16" t="s">
        <v>328</v>
      </c>
      <c r="C25" s="45" t="s">
        <v>122</v>
      </c>
      <c r="D25" s="48" t="s">
        <v>540</v>
      </c>
      <c r="E25" s="48" t="s">
        <v>353</v>
      </c>
      <c r="F25" s="48" t="s">
        <v>354</v>
      </c>
    </row>
  </sheetData>
  <sheetProtection/>
  <mergeCells count="18">
    <mergeCell ref="B1:V2"/>
    <mergeCell ref="B3:B4"/>
    <mergeCell ref="C3:C4"/>
    <mergeCell ref="D3:D4"/>
    <mergeCell ref="E3:E4"/>
    <mergeCell ref="F3:F4"/>
    <mergeCell ref="G3:G4"/>
    <mergeCell ref="H3:K3"/>
    <mergeCell ref="L3:O3"/>
    <mergeCell ref="P3:S3"/>
    <mergeCell ref="A3:A4"/>
    <mergeCell ref="B17:U17"/>
    <mergeCell ref="T3:T4"/>
    <mergeCell ref="U3:U4"/>
    <mergeCell ref="V3:V4"/>
    <mergeCell ref="B5:U5"/>
    <mergeCell ref="B10:U10"/>
    <mergeCell ref="B14:U14"/>
  </mergeCells>
  <printOptions/>
  <pageMargins left="0.7" right="0.7" top="0.75" bottom="0.75" header="0.3" footer="0.3"/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F14" sqref="F14"/>
    </sheetView>
  </sheetViews>
  <sheetFormatPr defaultColWidth="8.75390625" defaultRowHeight="12.75"/>
  <cols>
    <col min="1" max="1" width="8.75390625" style="0" customWidth="1"/>
    <col min="2" max="2" width="19.75390625" style="8" customWidth="1"/>
    <col min="3" max="3" width="27.125" style="8" bestFit="1" customWidth="1"/>
    <col min="4" max="4" width="10.625" style="8" bestFit="1" customWidth="1"/>
    <col min="5" max="5" width="8.375" style="8" bestFit="1" customWidth="1"/>
    <col min="6" max="6" width="18.125" style="8" customWidth="1"/>
    <col min="7" max="7" width="24.125" style="8" customWidth="1"/>
    <col min="8" max="8" width="4.875" style="8" customWidth="1"/>
    <col min="9" max="9" width="4.125" style="8" customWidth="1"/>
    <col min="10" max="10" width="4.25390625" style="8" customWidth="1"/>
    <col min="11" max="11" width="4.625" style="8" bestFit="1" customWidth="1"/>
    <col min="12" max="12" width="13.00390625" style="8" customWidth="1"/>
    <col min="13" max="13" width="8.625" style="8" bestFit="1" customWidth="1"/>
    <col min="14" max="14" width="15.375" style="8" bestFit="1" customWidth="1"/>
  </cols>
  <sheetData>
    <row r="1" spans="2:14" s="1" customFormat="1" ht="15" customHeight="1">
      <c r="B1" s="104" t="s">
        <v>621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spans="2:14" s="1" customFormat="1" ht="108.75" customHeight="1" thickBot="1">
      <c r="B2" s="107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</row>
    <row r="3" spans="1:14" s="2" customFormat="1" ht="12.75" customHeight="1">
      <c r="A3" s="101" t="s">
        <v>507</v>
      </c>
      <c r="B3" s="110" t="s">
        <v>0</v>
      </c>
      <c r="C3" s="112" t="s">
        <v>508</v>
      </c>
      <c r="D3" s="112" t="s">
        <v>509</v>
      </c>
      <c r="E3" s="110" t="s">
        <v>9</v>
      </c>
      <c r="F3" s="110" t="s">
        <v>7</v>
      </c>
      <c r="G3" s="114" t="s">
        <v>510</v>
      </c>
      <c r="H3" s="110" t="s">
        <v>3</v>
      </c>
      <c r="I3" s="110"/>
      <c r="J3" s="110"/>
      <c r="K3" s="110"/>
      <c r="L3" s="110" t="s">
        <v>506</v>
      </c>
      <c r="M3" s="110" t="s">
        <v>6</v>
      </c>
      <c r="N3" s="116" t="s">
        <v>5</v>
      </c>
    </row>
    <row r="4" spans="1:14" s="2" customFormat="1" ht="21" customHeight="1" thickBot="1">
      <c r="A4" s="102"/>
      <c r="B4" s="111"/>
      <c r="C4" s="111"/>
      <c r="D4" s="113"/>
      <c r="E4" s="111"/>
      <c r="F4" s="111"/>
      <c r="G4" s="115"/>
      <c r="H4" s="3">
        <v>1</v>
      </c>
      <c r="I4" s="3">
        <v>2</v>
      </c>
      <c r="J4" s="3">
        <v>3</v>
      </c>
      <c r="K4" s="3" t="s">
        <v>8</v>
      </c>
      <c r="L4" s="111"/>
      <c r="M4" s="111"/>
      <c r="N4" s="117"/>
    </row>
    <row r="5" spans="2:13" ht="15.75">
      <c r="B5" s="119" t="s">
        <v>66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</row>
    <row r="6" spans="1:14" ht="12.75">
      <c r="A6" s="57">
        <v>1</v>
      </c>
      <c r="B6" s="9" t="s">
        <v>527</v>
      </c>
      <c r="C6" s="9" t="s">
        <v>266</v>
      </c>
      <c r="D6" s="9" t="s">
        <v>270</v>
      </c>
      <c r="E6" s="9" t="str">
        <f>"0,6002"</f>
        <v>0,6002</v>
      </c>
      <c r="F6" s="9" t="s">
        <v>14</v>
      </c>
      <c r="G6" s="9" t="s">
        <v>15</v>
      </c>
      <c r="H6" s="21" t="s">
        <v>273</v>
      </c>
      <c r="I6" s="10"/>
      <c r="J6" s="10"/>
      <c r="K6" s="10"/>
      <c r="L6" s="44" t="s">
        <v>273</v>
      </c>
      <c r="M6" s="27" t="str">
        <f>"147,0490"</f>
        <v>147,0490</v>
      </c>
      <c r="N6" s="9" t="s">
        <v>177</v>
      </c>
    </row>
    <row r="8" ht="15.75">
      <c r="F8" s="13"/>
    </row>
    <row r="9" ht="15.75">
      <c r="F9" s="13"/>
    </row>
    <row r="10" ht="15.75">
      <c r="F10" s="13"/>
    </row>
    <row r="11" ht="15.75">
      <c r="F11" s="13"/>
    </row>
    <row r="12" ht="15.75">
      <c r="F12" s="13"/>
    </row>
    <row r="13" ht="15.75">
      <c r="F13" s="13"/>
    </row>
    <row r="14" ht="15.75">
      <c r="F14" s="13"/>
    </row>
  </sheetData>
  <sheetProtection/>
  <mergeCells count="13">
    <mergeCell ref="F3:F4"/>
    <mergeCell ref="G3:G4"/>
    <mergeCell ref="H3:K3"/>
    <mergeCell ref="L3:L4"/>
    <mergeCell ref="M3:M4"/>
    <mergeCell ref="A3:A4"/>
    <mergeCell ref="N3:N4"/>
    <mergeCell ref="B5:M5"/>
    <mergeCell ref="B1:N2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9"/>
  <sheetViews>
    <sheetView workbookViewId="0" topLeftCell="A1">
      <selection activeCell="H19" sqref="H19"/>
    </sheetView>
  </sheetViews>
  <sheetFormatPr defaultColWidth="8.75390625" defaultRowHeight="12.75"/>
  <cols>
    <col min="1" max="1" width="9.125" style="57" customWidth="1"/>
    <col min="2" max="2" width="17.125" style="58" customWidth="1"/>
    <col min="3" max="3" width="24.75390625" style="100" customWidth="1"/>
    <col min="4" max="5" width="9.125" style="100" customWidth="1"/>
    <col min="6" max="6" width="12.75390625" style="100" customWidth="1"/>
    <col min="7" max="7" width="28.75390625" style="0" customWidth="1"/>
    <col min="8" max="8" width="7.00390625" style="0" customWidth="1"/>
    <col min="9" max="9" width="6.625" style="0" customWidth="1"/>
    <col min="10" max="10" width="8.75390625" style="0" customWidth="1"/>
    <col min="11" max="11" width="5.375" style="0" customWidth="1"/>
    <col min="12" max="12" width="6.375" style="0" customWidth="1"/>
    <col min="13" max="13" width="6.125" style="0" customWidth="1"/>
    <col min="14" max="14" width="6.25390625" style="0" customWidth="1"/>
    <col min="15" max="15" width="6.875" style="0" customWidth="1"/>
    <col min="16" max="16" width="9.125" style="53" customWidth="1"/>
    <col min="17" max="17" width="8.75390625" style="0" customWidth="1"/>
    <col min="18" max="18" width="15.00390625" style="0" customWidth="1"/>
  </cols>
  <sheetData>
    <row r="1" spans="2:18" ht="12.75">
      <c r="B1" s="104" t="s">
        <v>637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6"/>
    </row>
    <row r="2" spans="2:18" ht="115.5" customHeight="1" thickBot="1">
      <c r="B2" s="107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9"/>
    </row>
    <row r="3" spans="1:18" ht="15" customHeight="1">
      <c r="A3" s="101" t="s">
        <v>507</v>
      </c>
      <c r="B3" s="110" t="s">
        <v>0</v>
      </c>
      <c r="C3" s="112" t="s">
        <v>508</v>
      </c>
      <c r="D3" s="112" t="s">
        <v>509</v>
      </c>
      <c r="E3" s="110" t="s">
        <v>458</v>
      </c>
      <c r="F3" s="110" t="s">
        <v>7</v>
      </c>
      <c r="G3" s="114" t="s">
        <v>510</v>
      </c>
      <c r="H3" s="110" t="s">
        <v>459</v>
      </c>
      <c r="I3" s="110"/>
      <c r="J3" s="110"/>
      <c r="K3" s="110"/>
      <c r="L3" s="110" t="s">
        <v>647</v>
      </c>
      <c r="M3" s="110"/>
      <c r="N3" s="110"/>
      <c r="O3" s="110"/>
      <c r="P3" s="110" t="s">
        <v>4</v>
      </c>
      <c r="Q3" s="110" t="s">
        <v>6</v>
      </c>
      <c r="R3" s="116" t="s">
        <v>5</v>
      </c>
    </row>
    <row r="4" spans="1:18" ht="15" customHeight="1" thickBot="1">
      <c r="A4" s="102"/>
      <c r="B4" s="111"/>
      <c r="C4" s="111"/>
      <c r="D4" s="113"/>
      <c r="E4" s="111"/>
      <c r="F4" s="111"/>
      <c r="G4" s="115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111"/>
      <c r="Q4" s="111"/>
      <c r="R4" s="117"/>
    </row>
    <row r="5" spans="2:18" ht="15.75">
      <c r="B5" s="124" t="s">
        <v>66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5"/>
    </row>
    <row r="6" spans="1:18" ht="12.75">
      <c r="A6" s="57">
        <v>1</v>
      </c>
      <c r="B6" s="96" t="s">
        <v>460</v>
      </c>
      <c r="C6" s="7" t="s">
        <v>461</v>
      </c>
      <c r="D6" s="7" t="s">
        <v>462</v>
      </c>
      <c r="E6" s="7" t="str">
        <f>"0,5694"</f>
        <v>0,5694</v>
      </c>
      <c r="F6" s="7" t="s">
        <v>22</v>
      </c>
      <c r="G6" s="7" t="s">
        <v>463</v>
      </c>
      <c r="H6" s="25" t="s">
        <v>171</v>
      </c>
      <c r="I6" s="25" t="s">
        <v>151</v>
      </c>
      <c r="J6" s="25" t="s">
        <v>189</v>
      </c>
      <c r="K6" s="95"/>
      <c r="L6" s="25" t="s">
        <v>162</v>
      </c>
      <c r="M6" s="25" t="s">
        <v>302</v>
      </c>
      <c r="N6" s="25" t="s">
        <v>303</v>
      </c>
      <c r="O6" s="25" t="s">
        <v>298</v>
      </c>
      <c r="P6" s="49" t="s">
        <v>76</v>
      </c>
      <c r="Q6" s="49" t="str">
        <f>"113,8800"</f>
        <v>113,8800</v>
      </c>
      <c r="R6" s="7" t="s">
        <v>177</v>
      </c>
    </row>
    <row r="7" spans="2:18" ht="12.75">
      <c r="B7" s="97"/>
      <c r="C7" s="5"/>
      <c r="D7" s="5"/>
      <c r="E7" s="5"/>
      <c r="F7" s="5"/>
      <c r="G7" s="5"/>
      <c r="H7" s="1"/>
      <c r="I7" s="1"/>
      <c r="J7" s="1"/>
      <c r="K7" s="1"/>
      <c r="L7" s="1"/>
      <c r="M7" s="1"/>
      <c r="N7" s="1"/>
      <c r="O7" s="1"/>
      <c r="P7" s="50"/>
      <c r="Q7" s="1"/>
      <c r="R7" s="5"/>
    </row>
    <row r="8" spans="2:18" ht="15.75">
      <c r="B8" s="123" t="s">
        <v>95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5"/>
    </row>
    <row r="9" spans="1:18" ht="12.75">
      <c r="A9" s="57">
        <v>1</v>
      </c>
      <c r="B9" s="96" t="s">
        <v>100</v>
      </c>
      <c r="C9" s="7" t="s">
        <v>101</v>
      </c>
      <c r="D9" s="7" t="s">
        <v>102</v>
      </c>
      <c r="E9" s="7" t="str">
        <f>"0,5549"</f>
        <v>0,5549</v>
      </c>
      <c r="F9" s="7" t="s">
        <v>22</v>
      </c>
      <c r="G9" s="7" t="s">
        <v>103</v>
      </c>
      <c r="H9" s="25" t="s">
        <v>44</v>
      </c>
      <c r="I9" s="94" t="s">
        <v>307</v>
      </c>
      <c r="J9" s="94" t="s">
        <v>307</v>
      </c>
      <c r="K9" s="95"/>
      <c r="L9" s="25" t="s">
        <v>302</v>
      </c>
      <c r="M9" s="25" t="s">
        <v>298</v>
      </c>
      <c r="N9" s="25" t="s">
        <v>464</v>
      </c>
      <c r="O9" s="95"/>
      <c r="P9" s="49" t="s">
        <v>505</v>
      </c>
      <c r="Q9" s="49" t="str">
        <f>"112,3672"</f>
        <v>112,3672</v>
      </c>
      <c r="R9" s="7" t="s">
        <v>177</v>
      </c>
    </row>
  </sheetData>
  <sheetProtection/>
  <mergeCells count="15">
    <mergeCell ref="R3:R4"/>
    <mergeCell ref="B5:Q5"/>
    <mergeCell ref="B8:Q8"/>
    <mergeCell ref="B1:R2"/>
    <mergeCell ref="B3:B4"/>
    <mergeCell ref="C3:C4"/>
    <mergeCell ref="D3:D4"/>
    <mergeCell ref="E3:E4"/>
    <mergeCell ref="F3:F4"/>
    <mergeCell ref="G3:G4"/>
    <mergeCell ref="H3:K3"/>
    <mergeCell ref="L3:O3"/>
    <mergeCell ref="P3:P4"/>
    <mergeCell ref="A3:A4"/>
    <mergeCell ref="Q3:Q4"/>
  </mergeCells>
  <printOptions/>
  <pageMargins left="0.7" right="0.7" top="0.75" bottom="0.75" header="0.3" footer="0.3"/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G28" sqref="G28"/>
    </sheetView>
  </sheetViews>
  <sheetFormatPr defaultColWidth="8.75390625" defaultRowHeight="12.75"/>
  <cols>
    <col min="1" max="1" width="9.125" style="57" customWidth="1"/>
    <col min="2" max="2" width="22.125" style="0" customWidth="1"/>
    <col min="3" max="3" width="23.625" style="0" customWidth="1"/>
    <col min="4" max="5" width="8.75390625" style="0" customWidth="1"/>
    <col min="6" max="6" width="19.375" style="0" customWidth="1"/>
    <col min="7" max="7" width="27.375" style="0" customWidth="1"/>
    <col min="8" max="8" width="7.75390625" style="57" customWidth="1"/>
    <col min="9" max="9" width="6.25390625" style="57" customWidth="1"/>
    <col min="10" max="10" width="6.625" style="57" customWidth="1"/>
    <col min="11" max="11" width="6.25390625" style="57" customWidth="1"/>
    <col min="12" max="12" width="10.875" style="57" customWidth="1"/>
    <col min="13" max="13" width="9.75390625" style="57" customWidth="1"/>
    <col min="14" max="14" width="17.75390625" style="0" customWidth="1"/>
  </cols>
  <sheetData>
    <row r="1" spans="1:14" ht="12.75">
      <c r="A1" s="174"/>
      <c r="B1" s="125" t="s">
        <v>648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6"/>
    </row>
    <row r="2" spans="1:14" ht="123.75" customHeight="1" thickBot="1">
      <c r="A2" s="174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9"/>
    </row>
    <row r="3" spans="1:14" ht="15" customHeight="1">
      <c r="A3" s="101" t="s">
        <v>507</v>
      </c>
      <c r="B3" s="131" t="s">
        <v>0</v>
      </c>
      <c r="C3" s="112" t="s">
        <v>508</v>
      </c>
      <c r="D3" s="112" t="s">
        <v>509</v>
      </c>
      <c r="E3" s="110" t="s">
        <v>9</v>
      </c>
      <c r="F3" s="110" t="s">
        <v>7</v>
      </c>
      <c r="G3" s="114" t="s">
        <v>510</v>
      </c>
      <c r="H3" s="110" t="s">
        <v>2</v>
      </c>
      <c r="I3" s="110"/>
      <c r="J3" s="110"/>
      <c r="K3" s="110"/>
      <c r="L3" s="110" t="s">
        <v>506</v>
      </c>
      <c r="M3" s="110" t="s">
        <v>6</v>
      </c>
      <c r="N3" s="116" t="s">
        <v>5</v>
      </c>
    </row>
    <row r="4" spans="1:14" ht="15" customHeight="1" thickBot="1">
      <c r="A4" s="102"/>
      <c r="B4" s="175"/>
      <c r="C4" s="111"/>
      <c r="D4" s="113"/>
      <c r="E4" s="111"/>
      <c r="F4" s="111"/>
      <c r="G4" s="115"/>
      <c r="H4" s="3">
        <v>1</v>
      </c>
      <c r="I4" s="3">
        <v>2</v>
      </c>
      <c r="J4" s="3">
        <v>3</v>
      </c>
      <c r="K4" s="3" t="s">
        <v>8</v>
      </c>
      <c r="L4" s="111"/>
      <c r="M4" s="111"/>
      <c r="N4" s="117"/>
    </row>
    <row r="5" spans="2:14" ht="15.75">
      <c r="B5" s="118" t="s">
        <v>407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8"/>
    </row>
    <row r="6" spans="1:14" ht="12.75">
      <c r="A6" s="57">
        <v>1</v>
      </c>
      <c r="B6" s="9" t="s">
        <v>408</v>
      </c>
      <c r="C6" s="9" t="s">
        <v>409</v>
      </c>
      <c r="D6" s="9" t="s">
        <v>410</v>
      </c>
      <c r="E6" s="9" t="str">
        <f>"0,6865"</f>
        <v>0,6865</v>
      </c>
      <c r="F6" s="9" t="s">
        <v>38</v>
      </c>
      <c r="G6" s="9" t="s">
        <v>61</v>
      </c>
      <c r="H6" s="25" t="s">
        <v>40</v>
      </c>
      <c r="I6" s="25" t="s">
        <v>58</v>
      </c>
      <c r="J6" s="25" t="s">
        <v>183</v>
      </c>
      <c r="K6" s="60"/>
      <c r="L6" s="44" t="s">
        <v>183</v>
      </c>
      <c r="M6" s="44" t="str">
        <f>"99,5425"</f>
        <v>99,5425</v>
      </c>
      <c r="N6" s="9" t="s">
        <v>177</v>
      </c>
    </row>
    <row r="7" spans="2:14" ht="12.75">
      <c r="B7" s="8"/>
      <c r="C7" s="8"/>
      <c r="D7" s="8"/>
      <c r="E7" s="8"/>
      <c r="F7" s="8"/>
      <c r="G7" s="8"/>
      <c r="H7" s="48"/>
      <c r="I7" s="48"/>
      <c r="J7" s="48"/>
      <c r="K7" s="48"/>
      <c r="L7" s="48"/>
      <c r="M7" s="48"/>
      <c r="N7" s="8"/>
    </row>
    <row r="8" spans="2:14" ht="15.75">
      <c r="B8" s="103" t="s">
        <v>45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8"/>
    </row>
    <row r="9" spans="1:14" ht="12.75">
      <c r="A9" s="57">
        <v>1</v>
      </c>
      <c r="B9" s="9" t="s">
        <v>206</v>
      </c>
      <c r="C9" s="9" t="s">
        <v>207</v>
      </c>
      <c r="D9" s="9" t="s">
        <v>29</v>
      </c>
      <c r="E9" s="9" t="str">
        <f>"0,6699"</f>
        <v>0,6699</v>
      </c>
      <c r="F9" s="9" t="s">
        <v>22</v>
      </c>
      <c r="G9" s="9" t="s">
        <v>61</v>
      </c>
      <c r="H9" s="25" t="s">
        <v>307</v>
      </c>
      <c r="I9" s="25" t="s">
        <v>232</v>
      </c>
      <c r="J9" s="25" t="s">
        <v>62</v>
      </c>
      <c r="K9" s="60"/>
      <c r="L9" s="44" t="s">
        <v>62</v>
      </c>
      <c r="M9" s="44" t="str">
        <f>"87,0870"</f>
        <v>87,0870</v>
      </c>
      <c r="N9" s="9" t="s">
        <v>177</v>
      </c>
    </row>
    <row r="10" spans="2:14" ht="12.75">
      <c r="B10" s="8"/>
      <c r="C10" s="8"/>
      <c r="D10" s="8"/>
      <c r="E10" s="8"/>
      <c r="F10" s="8"/>
      <c r="G10" s="8"/>
      <c r="H10" s="48"/>
      <c r="I10" s="48"/>
      <c r="J10" s="48"/>
      <c r="K10" s="48"/>
      <c r="L10" s="48"/>
      <c r="M10" s="48"/>
      <c r="N10" s="8"/>
    </row>
    <row r="11" spans="2:14" ht="15.75">
      <c r="B11" s="103" t="s">
        <v>63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8"/>
    </row>
    <row r="12" spans="1:14" ht="12.75">
      <c r="A12" s="57">
        <v>1</v>
      </c>
      <c r="B12" s="9" t="s">
        <v>411</v>
      </c>
      <c r="C12" s="9" t="s">
        <v>412</v>
      </c>
      <c r="D12" s="9" t="s">
        <v>413</v>
      </c>
      <c r="E12" s="9" t="str">
        <f>"0,6152"</f>
        <v>0,6152</v>
      </c>
      <c r="F12" s="9" t="s">
        <v>22</v>
      </c>
      <c r="G12" s="9" t="s">
        <v>61</v>
      </c>
      <c r="H12" s="59" t="s">
        <v>307</v>
      </c>
      <c r="I12" s="25" t="s">
        <v>307</v>
      </c>
      <c r="J12" s="59" t="s">
        <v>232</v>
      </c>
      <c r="K12" s="60"/>
      <c r="L12" s="44" t="s">
        <v>307</v>
      </c>
      <c r="M12" s="44" t="str">
        <f>"73,8240"</f>
        <v>73,8240</v>
      </c>
      <c r="N12" s="9" t="s">
        <v>177</v>
      </c>
    </row>
  </sheetData>
  <sheetProtection/>
  <mergeCells count="15">
    <mergeCell ref="H3:K3"/>
    <mergeCell ref="L3:L4"/>
    <mergeCell ref="M3:M4"/>
    <mergeCell ref="N3:N4"/>
    <mergeCell ref="B5:M5"/>
    <mergeCell ref="A3:A4"/>
    <mergeCell ref="B8:M8"/>
    <mergeCell ref="B11:M11"/>
    <mergeCell ref="B1:N2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selection activeCell="M22" sqref="M22:M23"/>
    </sheetView>
  </sheetViews>
  <sheetFormatPr defaultColWidth="8.75390625" defaultRowHeight="12.75"/>
  <cols>
    <col min="1" max="1" width="9.125" style="57" customWidth="1"/>
    <col min="2" max="2" width="18.875" style="0" customWidth="1"/>
    <col min="3" max="3" width="25.25390625" style="0" customWidth="1"/>
    <col min="4" max="4" width="11.875" style="0" customWidth="1"/>
    <col min="5" max="5" width="11.375" style="0" customWidth="1"/>
    <col min="6" max="6" width="19.00390625" style="0" customWidth="1"/>
    <col min="7" max="7" width="30.75390625" style="0" customWidth="1"/>
    <col min="8" max="8" width="6.75390625" style="57" customWidth="1"/>
    <col min="9" max="9" width="6.25390625" style="57" customWidth="1"/>
    <col min="10" max="10" width="7.625" style="57" customWidth="1"/>
    <col min="11" max="11" width="8.125" style="57" customWidth="1"/>
    <col min="12" max="12" width="10.75390625" style="57" customWidth="1"/>
    <col min="13" max="13" width="10.25390625" style="57" customWidth="1"/>
    <col min="14" max="14" width="16.875" style="0" customWidth="1"/>
  </cols>
  <sheetData>
    <row r="1" spans="2:14" ht="12.75" customHeight="1">
      <c r="B1" s="104" t="s">
        <v>610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6"/>
    </row>
    <row r="2" spans="2:14" ht="114" customHeight="1" thickBot="1">
      <c r="B2" s="127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9"/>
    </row>
    <row r="3" spans="1:14" ht="15" customHeight="1">
      <c r="A3" s="101" t="s">
        <v>507</v>
      </c>
      <c r="B3" s="110" t="s">
        <v>0</v>
      </c>
      <c r="C3" s="112" t="s">
        <v>508</v>
      </c>
      <c r="D3" s="112" t="s">
        <v>509</v>
      </c>
      <c r="E3" s="110" t="s">
        <v>9</v>
      </c>
      <c r="F3" s="110" t="s">
        <v>7</v>
      </c>
      <c r="G3" s="114" t="s">
        <v>510</v>
      </c>
      <c r="H3" s="110" t="s">
        <v>2</v>
      </c>
      <c r="I3" s="110"/>
      <c r="J3" s="110"/>
      <c r="K3" s="110"/>
      <c r="L3" s="110" t="s">
        <v>506</v>
      </c>
      <c r="M3" s="110" t="s">
        <v>6</v>
      </c>
      <c r="N3" s="116" t="s">
        <v>5</v>
      </c>
    </row>
    <row r="4" spans="1:14" ht="15" customHeight="1" thickBot="1">
      <c r="A4" s="102"/>
      <c r="B4" s="111"/>
      <c r="C4" s="111"/>
      <c r="D4" s="113"/>
      <c r="E4" s="111"/>
      <c r="F4" s="111"/>
      <c r="G4" s="115"/>
      <c r="H4" s="3">
        <v>1</v>
      </c>
      <c r="I4" s="3">
        <v>2</v>
      </c>
      <c r="J4" s="3">
        <v>3</v>
      </c>
      <c r="K4" s="3" t="s">
        <v>8</v>
      </c>
      <c r="L4" s="111"/>
      <c r="M4" s="111"/>
      <c r="N4" s="117"/>
    </row>
    <row r="5" spans="2:14" ht="15.75">
      <c r="B5" s="118" t="s">
        <v>407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8"/>
    </row>
    <row r="6" spans="1:14" ht="12.75">
      <c r="A6" s="57">
        <v>1</v>
      </c>
      <c r="B6" s="9" t="s">
        <v>421</v>
      </c>
      <c r="C6" s="9" t="s">
        <v>422</v>
      </c>
      <c r="D6" s="9" t="s">
        <v>423</v>
      </c>
      <c r="E6" s="9" t="str">
        <f>"0,6882"</f>
        <v>0,6882</v>
      </c>
      <c r="F6" s="9" t="s">
        <v>642</v>
      </c>
      <c r="G6" s="9" t="s">
        <v>15</v>
      </c>
      <c r="H6" s="25" t="s">
        <v>62</v>
      </c>
      <c r="I6" s="25" t="s">
        <v>40</v>
      </c>
      <c r="J6" s="59" t="s">
        <v>58</v>
      </c>
      <c r="K6" s="60"/>
      <c r="L6" s="44" t="s">
        <v>40</v>
      </c>
      <c r="M6" s="44" t="str">
        <f>"92,9070"</f>
        <v>92,9070</v>
      </c>
      <c r="N6" s="9" t="s">
        <v>424</v>
      </c>
    </row>
    <row r="7" spans="2:14" ht="12.75">
      <c r="B7" s="8"/>
      <c r="C7" s="8"/>
      <c r="D7" s="8"/>
      <c r="E7" s="8"/>
      <c r="F7" s="8"/>
      <c r="G7" s="8"/>
      <c r="H7" s="48"/>
      <c r="I7" s="48"/>
      <c r="J7" s="48"/>
      <c r="K7" s="48"/>
      <c r="L7" s="48"/>
      <c r="M7" s="48"/>
      <c r="N7" s="8"/>
    </row>
    <row r="8" spans="2:14" ht="15.75">
      <c r="B8" s="103" t="s">
        <v>45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8"/>
    </row>
    <row r="9" spans="1:14" ht="12.75">
      <c r="A9" s="57">
        <v>1</v>
      </c>
      <c r="B9" s="137" t="s">
        <v>425</v>
      </c>
      <c r="C9" s="11" t="s">
        <v>426</v>
      </c>
      <c r="D9" s="138" t="s">
        <v>427</v>
      </c>
      <c r="E9" s="11" t="str">
        <f>"0,6566"</f>
        <v>0,6566</v>
      </c>
      <c r="F9" s="138" t="s">
        <v>642</v>
      </c>
      <c r="G9" s="11" t="s">
        <v>15</v>
      </c>
      <c r="H9" s="159" t="s">
        <v>276</v>
      </c>
      <c r="I9" s="66" t="s">
        <v>161</v>
      </c>
      <c r="J9" s="139" t="s">
        <v>399</v>
      </c>
      <c r="K9" s="68"/>
      <c r="L9" s="141">
        <v>72.5</v>
      </c>
      <c r="M9" s="46" t="str">
        <f>"47,6035"</f>
        <v>47,6035</v>
      </c>
      <c r="N9" s="142" t="s">
        <v>428</v>
      </c>
    </row>
    <row r="10" spans="1:14" ht="12.75">
      <c r="A10" s="57">
        <v>1</v>
      </c>
      <c r="B10" s="143" t="s">
        <v>52</v>
      </c>
      <c r="C10" s="75" t="s">
        <v>53</v>
      </c>
      <c r="D10" s="31" t="s">
        <v>47</v>
      </c>
      <c r="E10" s="75" t="str">
        <f>"0,6406"</f>
        <v>0,6406</v>
      </c>
      <c r="F10" s="31" t="s">
        <v>38</v>
      </c>
      <c r="G10" s="75" t="s">
        <v>54</v>
      </c>
      <c r="H10" s="132" t="s">
        <v>289</v>
      </c>
      <c r="I10" s="151" t="s">
        <v>281</v>
      </c>
      <c r="J10" s="132" t="s">
        <v>281</v>
      </c>
      <c r="K10" s="77"/>
      <c r="L10" s="134">
        <v>177.5</v>
      </c>
      <c r="M10" s="78" t="str">
        <f>"113,7065"</f>
        <v>113,7065</v>
      </c>
      <c r="N10" s="144" t="s">
        <v>396</v>
      </c>
    </row>
    <row r="11" spans="1:14" ht="12.75">
      <c r="A11" s="57">
        <v>2</v>
      </c>
      <c r="B11" s="143" t="s">
        <v>429</v>
      </c>
      <c r="C11" s="75" t="s">
        <v>430</v>
      </c>
      <c r="D11" s="31" t="s">
        <v>398</v>
      </c>
      <c r="E11" s="75" t="str">
        <f>"0,6754"</f>
        <v>0,6754</v>
      </c>
      <c r="F11" s="31" t="s">
        <v>642</v>
      </c>
      <c r="G11" s="75" t="s">
        <v>15</v>
      </c>
      <c r="H11" s="132" t="s">
        <v>183</v>
      </c>
      <c r="I11" s="76" t="s">
        <v>184</v>
      </c>
      <c r="J11" s="132" t="s">
        <v>215</v>
      </c>
      <c r="K11" s="77"/>
      <c r="L11" s="134">
        <v>157.5</v>
      </c>
      <c r="M11" s="78" t="str">
        <f>"106,3755"</f>
        <v>106,3755</v>
      </c>
      <c r="N11" s="144" t="s">
        <v>424</v>
      </c>
    </row>
    <row r="12" spans="1:14" ht="12.75">
      <c r="A12" s="57">
        <v>1</v>
      </c>
      <c r="B12" s="73" t="s">
        <v>431</v>
      </c>
      <c r="C12" s="12" t="s">
        <v>432</v>
      </c>
      <c r="D12" s="145" t="s">
        <v>283</v>
      </c>
      <c r="E12" s="12" t="str">
        <f>"0,6499"</f>
        <v>0,6499</v>
      </c>
      <c r="F12" s="145" t="s">
        <v>38</v>
      </c>
      <c r="G12" s="12" t="s">
        <v>54</v>
      </c>
      <c r="H12" s="146" t="s">
        <v>58</v>
      </c>
      <c r="I12" s="70" t="s">
        <v>32</v>
      </c>
      <c r="J12" s="147" t="s">
        <v>32</v>
      </c>
      <c r="K12" s="71"/>
      <c r="L12" s="149" t="s">
        <v>58</v>
      </c>
      <c r="M12" s="47" t="str">
        <f>"90,9860"</f>
        <v>90,9860</v>
      </c>
      <c r="N12" s="74" t="s">
        <v>396</v>
      </c>
    </row>
    <row r="13" spans="2:14" ht="12.75">
      <c r="B13" s="8"/>
      <c r="C13" s="8"/>
      <c r="D13" s="8"/>
      <c r="E13" s="8"/>
      <c r="F13" s="8"/>
      <c r="G13" s="8"/>
      <c r="H13" s="48"/>
      <c r="I13" s="48"/>
      <c r="J13" s="48"/>
      <c r="K13" s="48"/>
      <c r="L13" s="48"/>
      <c r="M13" s="48"/>
      <c r="N13" s="8"/>
    </row>
    <row r="14" spans="2:14" ht="15.75">
      <c r="B14" s="103" t="s">
        <v>63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8"/>
    </row>
    <row r="15" spans="1:14" ht="12.75">
      <c r="A15" s="57">
        <v>1</v>
      </c>
      <c r="B15" s="9" t="s">
        <v>433</v>
      </c>
      <c r="C15" s="9" t="s">
        <v>434</v>
      </c>
      <c r="D15" s="9" t="s">
        <v>223</v>
      </c>
      <c r="E15" s="9" t="str">
        <f>"0,6086"</f>
        <v>0,6086</v>
      </c>
      <c r="F15" s="9" t="s">
        <v>38</v>
      </c>
      <c r="G15" s="9" t="s">
        <v>54</v>
      </c>
      <c r="H15" s="25" t="s">
        <v>48</v>
      </c>
      <c r="I15" s="25" t="s">
        <v>83</v>
      </c>
      <c r="J15" s="59" t="s">
        <v>55</v>
      </c>
      <c r="K15" s="60"/>
      <c r="L15" s="44" t="s">
        <v>83</v>
      </c>
      <c r="M15" s="44" t="str">
        <f>"109,5480"</f>
        <v>109,5480</v>
      </c>
      <c r="N15" s="9" t="s">
        <v>177</v>
      </c>
    </row>
    <row r="16" spans="2:14" ht="12.75">
      <c r="B16" s="8"/>
      <c r="C16" s="8"/>
      <c r="D16" s="8"/>
      <c r="E16" s="8"/>
      <c r="F16" s="8"/>
      <c r="G16" s="8"/>
      <c r="H16" s="48"/>
      <c r="I16" s="48"/>
      <c r="J16" s="48"/>
      <c r="K16" s="48"/>
      <c r="L16" s="48"/>
      <c r="M16" s="48"/>
      <c r="N16" s="8"/>
    </row>
    <row r="17" spans="2:14" ht="15.75">
      <c r="B17" s="103" t="s">
        <v>66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8"/>
    </row>
    <row r="18" spans="1:14" ht="12.75">
      <c r="A18" s="57">
        <v>1</v>
      </c>
      <c r="B18" s="137" t="s">
        <v>71</v>
      </c>
      <c r="C18" s="11" t="s">
        <v>72</v>
      </c>
      <c r="D18" s="138" t="s">
        <v>73</v>
      </c>
      <c r="E18" s="11" t="str">
        <f>"0,5990"</f>
        <v>0,5990</v>
      </c>
      <c r="F18" s="138" t="s">
        <v>74</v>
      </c>
      <c r="G18" s="11" t="s">
        <v>75</v>
      </c>
      <c r="H18" s="139" t="s">
        <v>76</v>
      </c>
      <c r="I18" s="66" t="s">
        <v>77</v>
      </c>
      <c r="J18" s="159" t="s">
        <v>117</v>
      </c>
      <c r="K18" s="68"/>
      <c r="L18" s="141" t="s">
        <v>77</v>
      </c>
      <c r="M18" s="46" t="str">
        <f>"122,7950"</f>
        <v>122,7950</v>
      </c>
      <c r="N18" s="142" t="s">
        <v>177</v>
      </c>
    </row>
    <row r="19" spans="1:14" ht="12.75">
      <c r="A19" s="57">
        <v>2</v>
      </c>
      <c r="B19" s="73" t="s">
        <v>435</v>
      </c>
      <c r="C19" s="12" t="s">
        <v>436</v>
      </c>
      <c r="D19" s="145" t="s">
        <v>437</v>
      </c>
      <c r="E19" s="12" t="str">
        <f>"0,5966"</f>
        <v>0,5966</v>
      </c>
      <c r="F19" s="145" t="s">
        <v>38</v>
      </c>
      <c r="G19" s="12" t="s">
        <v>438</v>
      </c>
      <c r="H19" s="146" t="s">
        <v>33</v>
      </c>
      <c r="I19" s="69" t="s">
        <v>281</v>
      </c>
      <c r="J19" s="161"/>
      <c r="K19" s="71"/>
      <c r="L19" s="149" t="s">
        <v>281</v>
      </c>
      <c r="M19" s="47" t="str">
        <f>"105,8965"</f>
        <v>105,8965</v>
      </c>
      <c r="N19" s="74" t="s">
        <v>177</v>
      </c>
    </row>
    <row r="20" spans="2:14" ht="12.75">
      <c r="B20" s="8"/>
      <c r="C20" s="8"/>
      <c r="D20" s="8"/>
      <c r="E20" s="8"/>
      <c r="F20" s="8"/>
      <c r="G20" s="8"/>
      <c r="H20" s="48"/>
      <c r="I20" s="48"/>
      <c r="J20" s="48"/>
      <c r="K20" s="48"/>
      <c r="L20" s="48"/>
      <c r="M20" s="48"/>
      <c r="N20" s="8"/>
    </row>
    <row r="21" spans="2:14" ht="15.75">
      <c r="B21" s="103" t="s">
        <v>439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8"/>
    </row>
    <row r="22" spans="1:14" ht="12.75">
      <c r="A22" s="57">
        <v>1</v>
      </c>
      <c r="B22" s="137" t="s">
        <v>96</v>
      </c>
      <c r="C22" s="11" t="s">
        <v>97</v>
      </c>
      <c r="D22" s="138" t="s">
        <v>440</v>
      </c>
      <c r="E22" s="11" t="str">
        <f>"0,5808"</f>
        <v>0,5808</v>
      </c>
      <c r="F22" s="138" t="s">
        <v>38</v>
      </c>
      <c r="G22" s="11" t="s">
        <v>54</v>
      </c>
      <c r="H22" s="139" t="s">
        <v>114</v>
      </c>
      <c r="I22" s="66" t="s">
        <v>99</v>
      </c>
      <c r="J22" s="159" t="s">
        <v>273</v>
      </c>
      <c r="K22" s="68"/>
      <c r="L22" s="141" t="s">
        <v>99</v>
      </c>
      <c r="M22" s="46" t="str">
        <f>"139,3920"</f>
        <v>139,3920</v>
      </c>
      <c r="N22" s="142" t="s">
        <v>499</v>
      </c>
    </row>
    <row r="23" spans="1:14" ht="12.75">
      <c r="A23" s="57">
        <v>2</v>
      </c>
      <c r="B23" s="73" t="s">
        <v>441</v>
      </c>
      <c r="C23" s="12" t="s">
        <v>442</v>
      </c>
      <c r="D23" s="145" t="s">
        <v>107</v>
      </c>
      <c r="E23" s="12" t="str">
        <f>"0,5833"</f>
        <v>0,5833</v>
      </c>
      <c r="F23" s="145" t="s">
        <v>38</v>
      </c>
      <c r="G23" s="12" t="s">
        <v>54</v>
      </c>
      <c r="H23" s="146" t="s">
        <v>104</v>
      </c>
      <c r="I23" s="70" t="s">
        <v>76</v>
      </c>
      <c r="J23" s="147" t="s">
        <v>76</v>
      </c>
      <c r="K23" s="71"/>
      <c r="L23" s="149" t="s">
        <v>104</v>
      </c>
      <c r="M23" s="47" t="str">
        <f>"110,8270"</f>
        <v>110,8270</v>
      </c>
      <c r="N23" s="74" t="s">
        <v>396</v>
      </c>
    </row>
    <row r="24" spans="2:14" ht="12.75">
      <c r="B24" s="8"/>
      <c r="C24" s="8"/>
      <c r="D24" s="8"/>
      <c r="E24" s="8"/>
      <c r="F24" s="8"/>
      <c r="G24" s="8"/>
      <c r="H24" s="48"/>
      <c r="I24" s="48"/>
      <c r="J24" s="48"/>
      <c r="K24" s="48"/>
      <c r="L24" s="48"/>
      <c r="M24" s="48"/>
      <c r="N24" s="8"/>
    </row>
    <row r="25" spans="2:14" ht="15.75">
      <c r="B25" s="103" t="s">
        <v>443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8"/>
    </row>
    <row r="26" spans="1:14" ht="12.75">
      <c r="A26" s="57">
        <v>1</v>
      </c>
      <c r="B26" s="9" t="s">
        <v>444</v>
      </c>
      <c r="C26" s="9" t="s">
        <v>445</v>
      </c>
      <c r="D26" s="9" t="s">
        <v>446</v>
      </c>
      <c r="E26" s="9" t="str">
        <f>"0,5698"</f>
        <v>0,5698</v>
      </c>
      <c r="F26" s="9" t="s">
        <v>642</v>
      </c>
      <c r="G26" s="9" t="s">
        <v>15</v>
      </c>
      <c r="H26" s="25" t="s">
        <v>94</v>
      </c>
      <c r="I26" s="25" t="s">
        <v>84</v>
      </c>
      <c r="J26" s="59" t="s">
        <v>77</v>
      </c>
      <c r="K26" s="60"/>
      <c r="L26" s="44">
        <v>202.5</v>
      </c>
      <c r="M26" s="44" t="str">
        <f>"115,3845"</f>
        <v>115,3845</v>
      </c>
      <c r="N26" s="9" t="s">
        <v>177</v>
      </c>
    </row>
    <row r="27" spans="2:14" ht="15.75">
      <c r="B27" s="8"/>
      <c r="C27" s="8"/>
      <c r="D27" s="8"/>
      <c r="E27" s="8"/>
      <c r="F27" s="13"/>
      <c r="G27" s="8"/>
      <c r="H27" s="48"/>
      <c r="I27" s="48"/>
      <c r="J27" s="48"/>
      <c r="K27" s="48"/>
      <c r="L27" s="48"/>
      <c r="M27" s="48"/>
      <c r="N27" s="8"/>
    </row>
    <row r="28" spans="2:14" ht="12.75">
      <c r="B28" s="8"/>
      <c r="C28" s="8"/>
      <c r="D28" s="8"/>
      <c r="E28" s="8"/>
      <c r="F28" s="8"/>
      <c r="G28" s="8"/>
      <c r="H28" s="48"/>
      <c r="I28" s="48"/>
      <c r="J28" s="48"/>
      <c r="K28" s="48"/>
      <c r="L28" s="48"/>
      <c r="M28" s="48"/>
      <c r="N28" s="8"/>
    </row>
    <row r="29" spans="2:14" ht="18">
      <c r="B29" s="30" t="s">
        <v>121</v>
      </c>
      <c r="C29" s="30"/>
      <c r="D29" s="31"/>
      <c r="E29" s="31"/>
      <c r="F29" s="31"/>
      <c r="G29" s="8"/>
      <c r="H29" s="48"/>
      <c r="I29" s="48"/>
      <c r="J29" s="48"/>
      <c r="K29" s="48"/>
      <c r="L29" s="48"/>
      <c r="M29" s="48"/>
      <c r="N29" s="8"/>
    </row>
    <row r="30" spans="2:14" ht="15.75">
      <c r="B30" s="36" t="s">
        <v>128</v>
      </c>
      <c r="C30" s="36"/>
      <c r="D30" s="31"/>
      <c r="E30" s="31"/>
      <c r="F30" s="31"/>
      <c r="G30" s="8"/>
      <c r="H30" s="48"/>
      <c r="I30" s="48"/>
      <c r="J30" s="48"/>
      <c r="K30" s="48"/>
      <c r="L30" s="48"/>
      <c r="M30" s="48"/>
      <c r="N30" s="8"/>
    </row>
    <row r="31" spans="2:14" ht="13.5">
      <c r="B31" s="37"/>
      <c r="C31" s="38" t="s">
        <v>122</v>
      </c>
      <c r="D31" s="31"/>
      <c r="E31" s="31"/>
      <c r="F31" s="31"/>
      <c r="G31" s="8"/>
      <c r="H31" s="48"/>
      <c r="I31" s="48"/>
      <c r="J31" s="48"/>
      <c r="K31" s="48"/>
      <c r="L31" s="48"/>
      <c r="M31" s="48"/>
      <c r="N31" s="8"/>
    </row>
    <row r="32" spans="2:14" ht="13.5">
      <c r="B32" s="173" t="s">
        <v>123</v>
      </c>
      <c r="C32" s="173" t="s">
        <v>124</v>
      </c>
      <c r="D32" s="173" t="s">
        <v>125</v>
      </c>
      <c r="E32" s="173" t="s">
        <v>126</v>
      </c>
      <c r="F32" s="173" t="s">
        <v>127</v>
      </c>
      <c r="G32" s="8"/>
      <c r="H32" s="48"/>
      <c r="I32" s="48"/>
      <c r="J32" s="48"/>
      <c r="K32" s="48"/>
      <c r="L32" s="48"/>
      <c r="M32" s="48"/>
      <c r="N32" s="8"/>
    </row>
    <row r="33" spans="1:14" ht="12.75">
      <c r="A33" s="57">
        <v>1</v>
      </c>
      <c r="B33" s="26" t="s">
        <v>96</v>
      </c>
      <c r="C33" s="93" t="s">
        <v>122</v>
      </c>
      <c r="D33" s="44" t="s">
        <v>611</v>
      </c>
      <c r="E33" s="44" t="s">
        <v>99</v>
      </c>
      <c r="F33" s="44" t="s">
        <v>447</v>
      </c>
      <c r="G33" s="8"/>
      <c r="H33" s="48"/>
      <c r="I33" s="48"/>
      <c r="J33" s="48"/>
      <c r="K33" s="48"/>
      <c r="L33" s="48"/>
      <c r="M33" s="48"/>
      <c r="N33" s="8"/>
    </row>
    <row r="34" spans="1:14" ht="12.75">
      <c r="A34" s="57">
        <v>2</v>
      </c>
      <c r="B34" s="26" t="s">
        <v>71</v>
      </c>
      <c r="C34" s="93" t="s">
        <v>122</v>
      </c>
      <c r="D34" s="44" t="s">
        <v>590</v>
      </c>
      <c r="E34" s="44" t="s">
        <v>77</v>
      </c>
      <c r="F34" s="44" t="s">
        <v>131</v>
      </c>
      <c r="G34" s="8"/>
      <c r="H34" s="48"/>
      <c r="I34" s="48"/>
      <c r="J34" s="48"/>
      <c r="K34" s="48"/>
      <c r="L34" s="48"/>
      <c r="M34" s="48"/>
      <c r="N34" s="8"/>
    </row>
    <row r="35" spans="1:14" ht="12.75">
      <c r="A35" s="57">
        <v>3</v>
      </c>
      <c r="B35" s="26" t="s">
        <v>444</v>
      </c>
      <c r="C35" s="93" t="s">
        <v>122</v>
      </c>
      <c r="D35" s="44" t="s">
        <v>448</v>
      </c>
      <c r="E35" s="44" t="s">
        <v>84</v>
      </c>
      <c r="F35" s="44" t="s">
        <v>449</v>
      </c>
      <c r="G35" s="8"/>
      <c r="H35" s="48"/>
      <c r="I35" s="48"/>
      <c r="J35" s="48"/>
      <c r="K35" s="48"/>
      <c r="L35" s="48"/>
      <c r="M35" s="48"/>
      <c r="N35" s="8"/>
    </row>
    <row r="36" spans="2:14" ht="12.75">
      <c r="B36" s="32"/>
      <c r="C36" s="31"/>
      <c r="D36" s="31"/>
      <c r="E36" s="31"/>
      <c r="F36" s="33"/>
      <c r="G36" s="8"/>
      <c r="H36" s="48"/>
      <c r="I36" s="48"/>
      <c r="J36" s="48"/>
      <c r="K36" s="48"/>
      <c r="L36" s="48"/>
      <c r="M36" s="48"/>
      <c r="N36" s="8"/>
    </row>
  </sheetData>
  <sheetProtection/>
  <mergeCells count="18">
    <mergeCell ref="M3:M4"/>
    <mergeCell ref="B25:M25"/>
    <mergeCell ref="N3:N4"/>
    <mergeCell ref="B5:M5"/>
    <mergeCell ref="B8:M8"/>
    <mergeCell ref="B14:M14"/>
    <mergeCell ref="B17:M17"/>
    <mergeCell ref="B21:M21"/>
    <mergeCell ref="A3:A4"/>
    <mergeCell ref="B1:N2"/>
    <mergeCell ref="B3:B4"/>
    <mergeCell ref="C3:C4"/>
    <mergeCell ref="D3:D4"/>
    <mergeCell ref="E3:E4"/>
    <mergeCell ref="F3:F4"/>
    <mergeCell ref="G3:G4"/>
    <mergeCell ref="H3:K3"/>
    <mergeCell ref="L3:L4"/>
  </mergeCells>
  <printOptions/>
  <pageMargins left="0.7" right="0.7" top="0.75" bottom="0.75" header="0.3" footer="0.3"/>
  <pageSetup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F24" sqref="F24"/>
    </sheetView>
  </sheetViews>
  <sheetFormatPr defaultColWidth="8.75390625" defaultRowHeight="12.75"/>
  <cols>
    <col min="1" max="1" width="8.75390625" style="0" customWidth="1"/>
    <col min="2" max="2" width="16.125" style="0" customWidth="1"/>
    <col min="3" max="3" width="27.125" style="0" customWidth="1"/>
    <col min="4" max="5" width="8.75390625" style="0" customWidth="1"/>
    <col min="6" max="6" width="18.00390625" style="0" customWidth="1"/>
    <col min="7" max="7" width="26.75390625" style="0" customWidth="1"/>
    <col min="8" max="11" width="8.75390625" style="0" customWidth="1"/>
    <col min="12" max="12" width="10.125" style="53" customWidth="1"/>
    <col min="13" max="13" width="15.00390625" style="0" customWidth="1"/>
    <col min="14" max="14" width="16.00390625" style="0" customWidth="1"/>
  </cols>
  <sheetData>
    <row r="1" spans="2:14" ht="12.75">
      <c r="B1" s="104" t="s">
        <v>635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spans="2:14" ht="84" customHeight="1" thickBot="1">
      <c r="B2" s="107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</row>
    <row r="3" spans="1:14" ht="15" customHeight="1">
      <c r="A3" s="101" t="s">
        <v>507</v>
      </c>
      <c r="B3" s="110" t="s">
        <v>0</v>
      </c>
      <c r="C3" s="112" t="s">
        <v>508</v>
      </c>
      <c r="D3" s="112" t="s">
        <v>509</v>
      </c>
      <c r="E3" s="110" t="s">
        <v>9</v>
      </c>
      <c r="F3" s="110" t="s">
        <v>7</v>
      </c>
      <c r="G3" s="114" t="s">
        <v>510</v>
      </c>
      <c r="H3" s="110" t="s">
        <v>2</v>
      </c>
      <c r="I3" s="110"/>
      <c r="J3" s="110"/>
      <c r="K3" s="110"/>
      <c r="L3" s="110" t="s">
        <v>506</v>
      </c>
      <c r="M3" s="110" t="s">
        <v>6</v>
      </c>
      <c r="N3" s="116" t="s">
        <v>5</v>
      </c>
    </row>
    <row r="4" spans="1:14" ht="15" customHeight="1" thickBot="1">
      <c r="A4" s="102"/>
      <c r="B4" s="111"/>
      <c r="C4" s="111"/>
      <c r="D4" s="113"/>
      <c r="E4" s="111"/>
      <c r="F4" s="111"/>
      <c r="G4" s="115"/>
      <c r="H4" s="3">
        <v>1</v>
      </c>
      <c r="I4" s="3">
        <v>2</v>
      </c>
      <c r="J4" s="3">
        <v>3</v>
      </c>
      <c r="K4" s="3" t="s">
        <v>8</v>
      </c>
      <c r="L4" s="111"/>
      <c r="M4" s="111"/>
      <c r="N4" s="117"/>
    </row>
    <row r="5" spans="2:14" ht="15.75">
      <c r="B5" s="118" t="s">
        <v>45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8"/>
    </row>
    <row r="6" spans="1:14" ht="12.75">
      <c r="A6" s="57">
        <v>1</v>
      </c>
      <c r="B6" s="9" t="s">
        <v>450</v>
      </c>
      <c r="C6" s="9" t="s">
        <v>451</v>
      </c>
      <c r="D6" s="9" t="s">
        <v>452</v>
      </c>
      <c r="E6" s="9" t="str">
        <f>"0,6402"</f>
        <v>0,6402</v>
      </c>
      <c r="F6" s="9" t="s">
        <v>38</v>
      </c>
      <c r="G6" s="9" t="s">
        <v>453</v>
      </c>
      <c r="H6" s="25" t="s">
        <v>32</v>
      </c>
      <c r="I6" s="59" t="s">
        <v>33</v>
      </c>
      <c r="J6" s="59" t="s">
        <v>33</v>
      </c>
      <c r="K6" s="60"/>
      <c r="L6" s="44" t="s">
        <v>32</v>
      </c>
      <c r="M6" s="44" t="str">
        <f>"96,0300"</f>
        <v>96,0300</v>
      </c>
      <c r="N6" s="9" t="s">
        <v>454</v>
      </c>
    </row>
  </sheetData>
  <sheetProtection/>
  <mergeCells count="13">
    <mergeCell ref="F3:F4"/>
    <mergeCell ref="G3:G4"/>
    <mergeCell ref="H3:K3"/>
    <mergeCell ref="L3:L4"/>
    <mergeCell ref="M3:M4"/>
    <mergeCell ref="A3:A4"/>
    <mergeCell ref="N3:N4"/>
    <mergeCell ref="B5:M5"/>
    <mergeCell ref="B1:N2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G14" sqref="G14"/>
    </sheetView>
  </sheetViews>
  <sheetFormatPr defaultColWidth="8.75390625" defaultRowHeight="12.75"/>
  <cols>
    <col min="1" max="1" width="8.75390625" style="0" customWidth="1"/>
    <col min="2" max="2" width="22.125" style="0" customWidth="1"/>
    <col min="3" max="3" width="25.00390625" style="0" customWidth="1"/>
    <col min="4" max="5" width="8.75390625" style="0" customWidth="1"/>
    <col min="6" max="6" width="11.125" style="0" customWidth="1"/>
    <col min="7" max="7" width="24.375" style="0" customWidth="1"/>
    <col min="8" max="10" width="8.75390625" style="0" customWidth="1"/>
    <col min="11" max="11" width="7.625" style="0" customWidth="1"/>
    <col min="12" max="12" width="12.125" style="53" customWidth="1"/>
    <col min="13" max="13" width="8.75390625" style="0" customWidth="1"/>
    <col min="14" max="14" width="17.00390625" style="0" customWidth="1"/>
  </cols>
  <sheetData>
    <row r="1" spans="2:14" ht="12.75">
      <c r="B1" s="104" t="s">
        <v>636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spans="2:14" ht="108" customHeight="1" thickBot="1">
      <c r="B2" s="107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</row>
    <row r="3" spans="1:14" ht="15" customHeight="1">
      <c r="A3" s="101" t="s">
        <v>507</v>
      </c>
      <c r="B3" s="110" t="s">
        <v>0</v>
      </c>
      <c r="C3" s="112" t="s">
        <v>508</v>
      </c>
      <c r="D3" s="112" t="s">
        <v>509</v>
      </c>
      <c r="E3" s="110" t="s">
        <v>9</v>
      </c>
      <c r="F3" s="110" t="s">
        <v>7</v>
      </c>
      <c r="G3" s="114" t="s">
        <v>510</v>
      </c>
      <c r="H3" s="110" t="s">
        <v>2</v>
      </c>
      <c r="I3" s="110"/>
      <c r="J3" s="110"/>
      <c r="K3" s="110"/>
      <c r="L3" s="110" t="s">
        <v>506</v>
      </c>
      <c r="M3" s="110" t="s">
        <v>6</v>
      </c>
      <c r="N3" s="116" t="s">
        <v>5</v>
      </c>
    </row>
    <row r="4" spans="1:14" ht="15" customHeight="1" thickBot="1">
      <c r="A4" s="102"/>
      <c r="B4" s="111"/>
      <c r="C4" s="111"/>
      <c r="D4" s="113"/>
      <c r="E4" s="111"/>
      <c r="F4" s="111"/>
      <c r="G4" s="115"/>
      <c r="H4" s="3">
        <v>1</v>
      </c>
      <c r="I4" s="3">
        <v>2</v>
      </c>
      <c r="J4" s="3">
        <v>3</v>
      </c>
      <c r="K4" s="3" t="s">
        <v>8</v>
      </c>
      <c r="L4" s="111"/>
      <c r="M4" s="111"/>
      <c r="N4" s="117"/>
    </row>
    <row r="5" spans="2:14" ht="15.75">
      <c r="B5" s="118" t="s">
        <v>66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8"/>
    </row>
    <row r="6" spans="1:14" ht="12.75">
      <c r="A6" s="57">
        <v>1</v>
      </c>
      <c r="B6" s="9" t="s">
        <v>455</v>
      </c>
      <c r="C6" s="9" t="s">
        <v>456</v>
      </c>
      <c r="D6" s="9" t="s">
        <v>457</v>
      </c>
      <c r="E6" s="9" t="str">
        <f>"0,6046"</f>
        <v>0,6046</v>
      </c>
      <c r="F6" s="9" t="s">
        <v>22</v>
      </c>
      <c r="G6" s="9" t="s">
        <v>80</v>
      </c>
      <c r="H6" s="25" t="s">
        <v>264</v>
      </c>
      <c r="I6" s="59" t="s">
        <v>271</v>
      </c>
      <c r="J6" s="59" t="s">
        <v>271</v>
      </c>
      <c r="K6" s="60"/>
      <c r="L6" s="44" t="s">
        <v>264</v>
      </c>
      <c r="M6" s="44" t="str">
        <f>"129,9890"</f>
        <v>129,9890</v>
      </c>
      <c r="N6" s="9" t="s">
        <v>177</v>
      </c>
    </row>
  </sheetData>
  <sheetProtection/>
  <mergeCells count="13">
    <mergeCell ref="F3:F4"/>
    <mergeCell ref="G3:G4"/>
    <mergeCell ref="H3:K3"/>
    <mergeCell ref="L3:L4"/>
    <mergeCell ref="M3:M4"/>
    <mergeCell ref="A3:A4"/>
    <mergeCell ref="N3:N4"/>
    <mergeCell ref="B5:M5"/>
    <mergeCell ref="B1:N2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F19" sqref="F19"/>
    </sheetView>
  </sheetViews>
  <sheetFormatPr defaultColWidth="8.75390625" defaultRowHeight="12.75"/>
  <cols>
    <col min="1" max="1" width="8.75390625" style="0" customWidth="1"/>
    <col min="2" max="2" width="19.375" style="0" customWidth="1"/>
    <col min="3" max="3" width="24.625" style="100" customWidth="1"/>
    <col min="4" max="4" width="10.625" style="100" customWidth="1"/>
    <col min="5" max="5" width="15.75390625" style="0" customWidth="1"/>
    <col min="6" max="6" width="25.875" style="0" customWidth="1"/>
    <col min="7" max="9" width="9.125" style="57" customWidth="1"/>
    <col min="10" max="10" width="4.875" style="57" customWidth="1"/>
    <col min="11" max="11" width="12.375" style="57" customWidth="1"/>
    <col min="12" max="12" width="15.25390625" style="0" customWidth="1"/>
  </cols>
  <sheetData>
    <row r="1" spans="2:12" ht="12.75">
      <c r="B1" s="104" t="s">
        <v>641</v>
      </c>
      <c r="C1" s="125"/>
      <c r="D1" s="125"/>
      <c r="E1" s="125"/>
      <c r="F1" s="125"/>
      <c r="G1" s="125"/>
      <c r="H1" s="125"/>
      <c r="I1" s="125"/>
      <c r="J1" s="125"/>
      <c r="K1" s="125"/>
      <c r="L1" s="126"/>
    </row>
    <row r="2" spans="2:12" ht="111" customHeight="1" thickBot="1">
      <c r="B2" s="127"/>
      <c r="C2" s="128"/>
      <c r="D2" s="128"/>
      <c r="E2" s="128"/>
      <c r="F2" s="128"/>
      <c r="G2" s="128"/>
      <c r="H2" s="128"/>
      <c r="I2" s="128"/>
      <c r="J2" s="128"/>
      <c r="K2" s="128"/>
      <c r="L2" s="129"/>
    </row>
    <row r="3" spans="1:12" ht="15" customHeight="1">
      <c r="A3" s="101" t="s">
        <v>507</v>
      </c>
      <c r="B3" s="110" t="s">
        <v>0</v>
      </c>
      <c r="C3" s="112" t="s">
        <v>508</v>
      </c>
      <c r="D3" s="112" t="s">
        <v>509</v>
      </c>
      <c r="E3" s="110" t="s">
        <v>7</v>
      </c>
      <c r="F3" s="114" t="s">
        <v>510</v>
      </c>
      <c r="G3" s="130" t="s">
        <v>3</v>
      </c>
      <c r="H3" s="130"/>
      <c r="I3" s="130"/>
      <c r="J3" s="131"/>
      <c r="K3" s="110" t="s">
        <v>506</v>
      </c>
      <c r="L3" s="116" t="s">
        <v>5</v>
      </c>
    </row>
    <row r="4" spans="1:12" ht="15" customHeight="1" thickBot="1">
      <c r="A4" s="102"/>
      <c r="B4" s="111"/>
      <c r="C4" s="111"/>
      <c r="D4" s="113"/>
      <c r="E4" s="111"/>
      <c r="F4" s="115"/>
      <c r="G4" s="3" t="s">
        <v>606</v>
      </c>
      <c r="H4" s="3" t="s">
        <v>607</v>
      </c>
      <c r="I4" s="3" t="s">
        <v>608</v>
      </c>
      <c r="J4" s="3" t="s">
        <v>612</v>
      </c>
      <c r="K4" s="111"/>
      <c r="L4" s="117"/>
    </row>
    <row r="5" spans="2:12" ht="15.75">
      <c r="B5" s="124" t="s">
        <v>45</v>
      </c>
      <c r="C5" s="124"/>
      <c r="D5" s="124"/>
      <c r="E5" s="124"/>
      <c r="F5" s="124"/>
      <c r="G5" s="124"/>
      <c r="H5" s="124"/>
      <c r="I5" s="124"/>
      <c r="J5" s="124"/>
      <c r="K5" s="124"/>
      <c r="L5" s="5"/>
    </row>
    <row r="6" spans="1:12" ht="12.75">
      <c r="A6" s="57">
        <v>1</v>
      </c>
      <c r="B6" s="96" t="s">
        <v>474</v>
      </c>
      <c r="C6" s="7" t="s">
        <v>475</v>
      </c>
      <c r="D6" s="7" t="s">
        <v>476</v>
      </c>
      <c r="E6" s="7" t="s">
        <v>22</v>
      </c>
      <c r="F6" s="7" t="s">
        <v>39</v>
      </c>
      <c r="G6" s="25" t="s">
        <v>480</v>
      </c>
      <c r="H6" s="25" t="s">
        <v>481</v>
      </c>
      <c r="I6" s="94" t="s">
        <v>482</v>
      </c>
      <c r="J6" s="95"/>
      <c r="K6" s="49" t="s">
        <v>481</v>
      </c>
      <c r="L6" s="7" t="s">
        <v>177</v>
      </c>
    </row>
    <row r="7" spans="1:12" ht="12.75">
      <c r="A7" s="57"/>
      <c r="B7" s="4"/>
      <c r="C7" s="5"/>
      <c r="D7" s="5"/>
      <c r="E7" s="5"/>
      <c r="F7" s="5"/>
      <c r="G7" s="50"/>
      <c r="H7" s="50"/>
      <c r="I7" s="50"/>
      <c r="J7" s="50"/>
      <c r="K7" s="50"/>
      <c r="L7" s="5"/>
    </row>
    <row r="8" spans="1:12" ht="15.75">
      <c r="A8" s="57"/>
      <c r="B8" s="123" t="s">
        <v>63</v>
      </c>
      <c r="C8" s="123"/>
      <c r="D8" s="123"/>
      <c r="E8" s="123"/>
      <c r="F8" s="123"/>
      <c r="G8" s="123"/>
      <c r="H8" s="123"/>
      <c r="I8" s="123"/>
      <c r="J8" s="123"/>
      <c r="K8" s="123"/>
      <c r="L8" s="5"/>
    </row>
    <row r="9" spans="1:12" ht="12.75">
      <c r="A9" s="57">
        <v>1</v>
      </c>
      <c r="B9" s="96" t="s">
        <v>483</v>
      </c>
      <c r="C9" s="7" t="s">
        <v>484</v>
      </c>
      <c r="D9" s="7" t="s">
        <v>485</v>
      </c>
      <c r="E9" s="7" t="s">
        <v>193</v>
      </c>
      <c r="F9" s="7" t="s">
        <v>61</v>
      </c>
      <c r="G9" s="25" t="s">
        <v>486</v>
      </c>
      <c r="H9" s="94" t="s">
        <v>487</v>
      </c>
      <c r="I9" s="94" t="s">
        <v>487</v>
      </c>
      <c r="J9" s="95"/>
      <c r="K9" s="49" t="s">
        <v>486</v>
      </c>
      <c r="L9" s="7" t="s">
        <v>177</v>
      </c>
    </row>
    <row r="10" spans="1:12" ht="12.75">
      <c r="A10" s="57"/>
      <c r="B10" s="4"/>
      <c r="C10" s="5"/>
      <c r="D10" s="5"/>
      <c r="E10" s="5"/>
      <c r="F10" s="5"/>
      <c r="G10" s="50"/>
      <c r="H10" s="50"/>
      <c r="I10" s="50"/>
      <c r="J10" s="50"/>
      <c r="K10" s="50"/>
      <c r="L10" s="5"/>
    </row>
    <row r="11" spans="1:12" ht="15.75">
      <c r="A11" s="57"/>
      <c r="B11" s="123" t="s">
        <v>470</v>
      </c>
      <c r="C11" s="123"/>
      <c r="D11" s="123"/>
      <c r="E11" s="123"/>
      <c r="F11" s="123"/>
      <c r="G11" s="123"/>
      <c r="H11" s="123"/>
      <c r="I11" s="123"/>
      <c r="J11" s="123"/>
      <c r="K11" s="123"/>
      <c r="L11" s="5"/>
    </row>
    <row r="12" spans="1:12" ht="12.75">
      <c r="A12" s="57">
        <v>1</v>
      </c>
      <c r="B12" s="96" t="s">
        <v>471</v>
      </c>
      <c r="C12" s="7" t="s">
        <v>472</v>
      </c>
      <c r="D12" s="7" t="s">
        <v>473</v>
      </c>
      <c r="E12" s="7" t="s">
        <v>38</v>
      </c>
      <c r="F12" s="7" t="s">
        <v>93</v>
      </c>
      <c r="G12" s="25" t="s">
        <v>488</v>
      </c>
      <c r="H12" s="25" t="s">
        <v>489</v>
      </c>
      <c r="I12" s="94" t="s">
        <v>490</v>
      </c>
      <c r="J12" s="95"/>
      <c r="K12" s="49" t="s">
        <v>489</v>
      </c>
      <c r="L12" s="7" t="s">
        <v>177</v>
      </c>
    </row>
  </sheetData>
  <sheetProtection/>
  <mergeCells count="13">
    <mergeCell ref="B8:K8"/>
    <mergeCell ref="B11:K11"/>
    <mergeCell ref="B1:L2"/>
    <mergeCell ref="B3:B4"/>
    <mergeCell ref="C3:C4"/>
    <mergeCell ref="D3:D4"/>
    <mergeCell ref="E3:E4"/>
    <mergeCell ref="F3:F4"/>
    <mergeCell ref="G3:J3"/>
    <mergeCell ref="K3:K4"/>
    <mergeCell ref="L3:L4"/>
    <mergeCell ref="A3:A4"/>
    <mergeCell ref="B5:K5"/>
  </mergeCells>
  <printOptions/>
  <pageMargins left="0.7" right="0.7" top="0.75" bottom="0.75" header="0.3" footer="0.3"/>
  <pageSetup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6"/>
  <sheetViews>
    <sheetView workbookViewId="0" topLeftCell="A1">
      <selection activeCell="D9" sqref="D9"/>
    </sheetView>
  </sheetViews>
  <sheetFormatPr defaultColWidth="8.75390625" defaultRowHeight="12.75"/>
  <cols>
    <col min="1" max="1" width="8.75390625" style="0" customWidth="1"/>
    <col min="2" max="2" width="18.00390625" style="0" customWidth="1"/>
    <col min="3" max="3" width="26.625" style="0" customWidth="1"/>
    <col min="4" max="4" width="10.375" style="0" customWidth="1"/>
    <col min="5" max="5" width="22.25390625" style="0" customWidth="1"/>
    <col min="6" max="6" width="26.375" style="0" customWidth="1"/>
    <col min="7" max="10" width="8.75390625" style="0" customWidth="1"/>
    <col min="11" max="11" width="12.25390625" style="53" customWidth="1"/>
    <col min="12" max="12" width="15.625" style="0" customWidth="1"/>
  </cols>
  <sheetData>
    <row r="1" spans="2:12" ht="12.75">
      <c r="B1" s="104" t="s">
        <v>640</v>
      </c>
      <c r="C1" s="105"/>
      <c r="D1" s="105"/>
      <c r="E1" s="105"/>
      <c r="F1" s="105"/>
      <c r="G1" s="105"/>
      <c r="H1" s="105"/>
      <c r="I1" s="105"/>
      <c r="J1" s="105"/>
      <c r="K1" s="105"/>
      <c r="L1" s="106"/>
    </row>
    <row r="2" spans="2:12" ht="111.75" customHeight="1" thickBot="1">
      <c r="B2" s="107"/>
      <c r="C2" s="108"/>
      <c r="D2" s="108"/>
      <c r="E2" s="108"/>
      <c r="F2" s="108"/>
      <c r="G2" s="108"/>
      <c r="H2" s="108"/>
      <c r="I2" s="108"/>
      <c r="J2" s="108"/>
      <c r="K2" s="108"/>
      <c r="L2" s="109"/>
    </row>
    <row r="3" spans="1:12" ht="15" customHeight="1">
      <c r="A3" s="101" t="s">
        <v>507</v>
      </c>
      <c r="B3" s="110" t="s">
        <v>0</v>
      </c>
      <c r="C3" s="112" t="s">
        <v>508</v>
      </c>
      <c r="D3" s="112" t="s">
        <v>509</v>
      </c>
      <c r="E3" s="110" t="s">
        <v>7</v>
      </c>
      <c r="F3" s="114" t="s">
        <v>510</v>
      </c>
      <c r="G3" s="130" t="s">
        <v>3</v>
      </c>
      <c r="H3" s="130"/>
      <c r="I3" s="130"/>
      <c r="J3" s="131"/>
      <c r="K3" s="110" t="s">
        <v>506</v>
      </c>
      <c r="L3" s="116" t="s">
        <v>5</v>
      </c>
    </row>
    <row r="4" spans="1:12" ht="15" customHeight="1" thickBot="1">
      <c r="A4" s="102"/>
      <c r="B4" s="111"/>
      <c r="C4" s="111"/>
      <c r="D4" s="113"/>
      <c r="E4" s="111"/>
      <c r="F4" s="115"/>
      <c r="G4" s="3" t="s">
        <v>606</v>
      </c>
      <c r="H4" s="3" t="s">
        <v>607</v>
      </c>
      <c r="I4" s="3" t="s">
        <v>608</v>
      </c>
      <c r="J4" s="3" t="s">
        <v>612</v>
      </c>
      <c r="K4" s="111"/>
      <c r="L4" s="117"/>
    </row>
    <row r="5" spans="2:12" ht="15.75">
      <c r="B5" s="118" t="s">
        <v>470</v>
      </c>
      <c r="C5" s="118"/>
      <c r="D5" s="118"/>
      <c r="E5" s="118"/>
      <c r="F5" s="118"/>
      <c r="G5" s="118"/>
      <c r="H5" s="118"/>
      <c r="I5" s="118"/>
      <c r="J5" s="118"/>
      <c r="K5" s="118"/>
      <c r="L5" s="8"/>
    </row>
    <row r="6" spans="1:12" ht="12.75">
      <c r="A6" s="57">
        <v>1</v>
      </c>
      <c r="B6" s="9" t="s">
        <v>471</v>
      </c>
      <c r="C6" s="9" t="s">
        <v>472</v>
      </c>
      <c r="D6" s="9" t="s">
        <v>473</v>
      </c>
      <c r="E6" s="9" t="s">
        <v>38</v>
      </c>
      <c r="F6" s="9" t="s">
        <v>93</v>
      </c>
      <c r="G6" s="25" t="s">
        <v>48</v>
      </c>
      <c r="H6" s="25" t="s">
        <v>83</v>
      </c>
      <c r="I6" s="59" t="s">
        <v>51</v>
      </c>
      <c r="J6" s="10"/>
      <c r="K6" s="44" t="s">
        <v>83</v>
      </c>
      <c r="L6" s="9" t="s">
        <v>177</v>
      </c>
    </row>
  </sheetData>
  <sheetProtection/>
  <mergeCells count="11">
    <mergeCell ref="G3:J3"/>
    <mergeCell ref="K3:K4"/>
    <mergeCell ref="A3:A4"/>
    <mergeCell ref="L3:L4"/>
    <mergeCell ref="B5:K5"/>
    <mergeCell ref="B1:L2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E23" sqref="E23"/>
    </sheetView>
  </sheetViews>
  <sheetFormatPr defaultColWidth="8.75390625" defaultRowHeight="12.75"/>
  <cols>
    <col min="1" max="1" width="8.75390625" style="0" customWidth="1"/>
    <col min="2" max="2" width="19.00390625" style="0" customWidth="1"/>
    <col min="3" max="3" width="24.375" style="0" customWidth="1"/>
    <col min="4" max="4" width="10.25390625" style="0" customWidth="1"/>
    <col min="5" max="5" width="16.75390625" style="0" customWidth="1"/>
    <col min="6" max="6" width="24.00390625" style="0" customWidth="1"/>
    <col min="7" max="9" width="8.75390625" style="0" customWidth="1"/>
    <col min="10" max="10" width="5.75390625" style="0" customWidth="1"/>
    <col min="11" max="11" width="10.75390625" style="53" customWidth="1"/>
    <col min="12" max="12" width="18.125" style="0" customWidth="1"/>
  </cols>
  <sheetData>
    <row r="1" spans="2:12" ht="12.75">
      <c r="B1" s="104" t="s">
        <v>638</v>
      </c>
      <c r="C1" s="105"/>
      <c r="D1" s="105"/>
      <c r="E1" s="105"/>
      <c r="F1" s="105"/>
      <c r="G1" s="105"/>
      <c r="H1" s="105"/>
      <c r="I1" s="105"/>
      <c r="J1" s="105"/>
      <c r="K1" s="105"/>
      <c r="L1" s="106"/>
    </row>
    <row r="2" spans="2:12" ht="108" customHeight="1" thickBot="1">
      <c r="B2" s="107"/>
      <c r="C2" s="108"/>
      <c r="D2" s="108"/>
      <c r="E2" s="108"/>
      <c r="F2" s="108"/>
      <c r="G2" s="108"/>
      <c r="H2" s="108"/>
      <c r="I2" s="108"/>
      <c r="J2" s="108"/>
      <c r="K2" s="108"/>
      <c r="L2" s="109"/>
    </row>
    <row r="3" spans="1:12" ht="15" customHeight="1">
      <c r="A3" s="101" t="s">
        <v>507</v>
      </c>
      <c r="B3" s="110" t="s">
        <v>0</v>
      </c>
      <c r="C3" s="112" t="s">
        <v>508</v>
      </c>
      <c r="D3" s="112" t="s">
        <v>509</v>
      </c>
      <c r="E3" s="110" t="s">
        <v>7</v>
      </c>
      <c r="F3" s="114" t="s">
        <v>510</v>
      </c>
      <c r="G3" s="130" t="s">
        <v>3</v>
      </c>
      <c r="H3" s="130"/>
      <c r="I3" s="130"/>
      <c r="J3" s="131"/>
      <c r="K3" s="110" t="s">
        <v>506</v>
      </c>
      <c r="L3" s="116" t="s">
        <v>5</v>
      </c>
    </row>
    <row r="4" spans="1:12" ht="15" customHeight="1" thickBot="1">
      <c r="A4" s="102"/>
      <c r="B4" s="111"/>
      <c r="C4" s="111"/>
      <c r="D4" s="113"/>
      <c r="E4" s="111"/>
      <c r="F4" s="115"/>
      <c r="G4" s="3" t="s">
        <v>606</v>
      </c>
      <c r="H4" s="3" t="s">
        <v>607</v>
      </c>
      <c r="I4" s="3" t="s">
        <v>608</v>
      </c>
      <c r="J4" s="3" t="s">
        <v>612</v>
      </c>
      <c r="K4" s="111"/>
      <c r="L4" s="117"/>
    </row>
    <row r="5" spans="2:12" ht="15.75">
      <c r="B5" s="118" t="s">
        <v>63</v>
      </c>
      <c r="C5" s="118"/>
      <c r="D5" s="118"/>
      <c r="E5" s="118"/>
      <c r="F5" s="118"/>
      <c r="G5" s="118"/>
      <c r="H5" s="118"/>
      <c r="I5" s="118"/>
      <c r="J5" s="118"/>
      <c r="K5" s="118"/>
      <c r="L5" s="8"/>
    </row>
    <row r="6" spans="1:12" ht="12.75">
      <c r="A6" s="57">
        <v>1</v>
      </c>
      <c r="B6" s="9" t="s">
        <v>467</v>
      </c>
      <c r="C6" s="9" t="s">
        <v>468</v>
      </c>
      <c r="D6" s="9" t="s">
        <v>469</v>
      </c>
      <c r="E6" s="9" t="s">
        <v>22</v>
      </c>
      <c r="F6" s="9" t="s">
        <v>54</v>
      </c>
      <c r="G6" s="25" t="s">
        <v>464</v>
      </c>
      <c r="H6" s="59" t="s">
        <v>172</v>
      </c>
      <c r="I6" s="59" t="s">
        <v>172</v>
      </c>
      <c r="J6" s="60"/>
      <c r="K6" s="44">
        <v>92.5</v>
      </c>
      <c r="L6" s="9" t="s">
        <v>177</v>
      </c>
    </row>
    <row r="7" spans="1:12" ht="12.75">
      <c r="A7" s="57"/>
      <c r="B7" s="8"/>
      <c r="C7" s="8"/>
      <c r="D7" s="8"/>
      <c r="E7" s="8"/>
      <c r="F7" s="8"/>
      <c r="G7" s="8"/>
      <c r="H7" s="8"/>
      <c r="I7" s="8"/>
      <c r="J7" s="8"/>
      <c r="K7" s="45"/>
      <c r="L7" s="8"/>
    </row>
    <row r="8" spans="1:12" ht="15.75">
      <c r="A8" s="57"/>
      <c r="B8" s="103" t="s">
        <v>470</v>
      </c>
      <c r="C8" s="103"/>
      <c r="D8" s="103"/>
      <c r="E8" s="103"/>
      <c r="F8" s="103"/>
      <c r="G8" s="103"/>
      <c r="H8" s="103"/>
      <c r="I8" s="103"/>
      <c r="J8" s="103"/>
      <c r="K8" s="103"/>
      <c r="L8" s="8"/>
    </row>
    <row r="9" spans="1:12" ht="12.75">
      <c r="A9" s="57">
        <v>1</v>
      </c>
      <c r="B9" s="9" t="s">
        <v>471</v>
      </c>
      <c r="C9" s="9" t="s">
        <v>472</v>
      </c>
      <c r="D9" s="9" t="s">
        <v>473</v>
      </c>
      <c r="E9" s="9" t="s">
        <v>38</v>
      </c>
      <c r="F9" s="9" t="s">
        <v>93</v>
      </c>
      <c r="G9" s="25" t="s">
        <v>464</v>
      </c>
      <c r="H9" s="59" t="s">
        <v>172</v>
      </c>
      <c r="I9" s="60"/>
      <c r="J9" s="60"/>
      <c r="K9" s="44">
        <v>92.5</v>
      </c>
      <c r="L9" s="9" t="s">
        <v>177</v>
      </c>
    </row>
  </sheetData>
  <sheetProtection/>
  <mergeCells count="12">
    <mergeCell ref="B1:L2"/>
    <mergeCell ref="B3:B4"/>
    <mergeCell ref="C3:C4"/>
    <mergeCell ref="D3:D4"/>
    <mergeCell ref="E3:E4"/>
    <mergeCell ref="F3:F4"/>
    <mergeCell ref="G3:J3"/>
    <mergeCell ref="K3:K4"/>
    <mergeCell ref="A3:A4"/>
    <mergeCell ref="L3:L4"/>
    <mergeCell ref="B5:K5"/>
    <mergeCell ref="B8:K8"/>
  </mergeCells>
  <printOptions/>
  <pageMargins left="0.7" right="0.7" top="0.75" bottom="0.75" header="0.3" footer="0.3"/>
  <pageSetup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6"/>
  <sheetViews>
    <sheetView workbookViewId="0" topLeftCell="A1">
      <selection activeCell="C17" sqref="C17"/>
    </sheetView>
  </sheetViews>
  <sheetFormatPr defaultColWidth="8.75390625" defaultRowHeight="12.75"/>
  <cols>
    <col min="1" max="1" width="8.75390625" style="0" customWidth="1"/>
    <col min="2" max="2" width="15.125" style="0" customWidth="1"/>
    <col min="3" max="3" width="24.25390625" style="0" customWidth="1"/>
    <col min="4" max="4" width="10.375" style="0" customWidth="1"/>
    <col min="5" max="5" width="18.625" style="0" customWidth="1"/>
    <col min="6" max="6" width="25.00390625" style="0" customWidth="1"/>
    <col min="7" max="10" width="8.75390625" style="0" customWidth="1"/>
    <col min="11" max="11" width="10.625" style="0" customWidth="1"/>
    <col min="12" max="12" width="15.125" style="0" customWidth="1"/>
  </cols>
  <sheetData>
    <row r="1" spans="2:12" ht="12.75">
      <c r="B1" s="104" t="s">
        <v>639</v>
      </c>
      <c r="C1" s="105"/>
      <c r="D1" s="105"/>
      <c r="E1" s="105"/>
      <c r="F1" s="105"/>
      <c r="G1" s="105"/>
      <c r="H1" s="105"/>
      <c r="I1" s="105"/>
      <c r="J1" s="105"/>
      <c r="K1" s="105"/>
      <c r="L1" s="106"/>
    </row>
    <row r="2" spans="2:12" ht="114.75" customHeight="1" thickBot="1">
      <c r="B2" s="107"/>
      <c r="C2" s="108"/>
      <c r="D2" s="108"/>
      <c r="E2" s="108"/>
      <c r="F2" s="108"/>
      <c r="G2" s="108"/>
      <c r="H2" s="108"/>
      <c r="I2" s="108"/>
      <c r="J2" s="108"/>
      <c r="K2" s="108"/>
      <c r="L2" s="109"/>
    </row>
    <row r="3" spans="1:12" ht="15" customHeight="1">
      <c r="A3" s="101" t="s">
        <v>507</v>
      </c>
      <c r="B3" s="110" t="s">
        <v>0</v>
      </c>
      <c r="C3" s="112" t="s">
        <v>508</v>
      </c>
      <c r="D3" s="112" t="s">
        <v>509</v>
      </c>
      <c r="E3" s="110" t="s">
        <v>7</v>
      </c>
      <c r="F3" s="114" t="s">
        <v>510</v>
      </c>
      <c r="G3" s="130" t="s">
        <v>3</v>
      </c>
      <c r="H3" s="130"/>
      <c r="I3" s="130"/>
      <c r="J3" s="131"/>
      <c r="K3" s="110" t="s">
        <v>506</v>
      </c>
      <c r="L3" s="116" t="s">
        <v>5</v>
      </c>
    </row>
    <row r="4" spans="1:12" ht="15" customHeight="1" thickBot="1">
      <c r="A4" s="102"/>
      <c r="B4" s="111"/>
      <c r="C4" s="111"/>
      <c r="D4" s="113"/>
      <c r="E4" s="111"/>
      <c r="F4" s="115"/>
      <c r="G4" s="3" t="s">
        <v>606</v>
      </c>
      <c r="H4" s="3" t="s">
        <v>607</v>
      </c>
      <c r="I4" s="3" t="s">
        <v>608</v>
      </c>
      <c r="J4" s="3" t="s">
        <v>612</v>
      </c>
      <c r="K4" s="111"/>
      <c r="L4" s="117"/>
    </row>
    <row r="5" spans="2:12" ht="15.75">
      <c r="B5" s="119" t="s">
        <v>45</v>
      </c>
      <c r="C5" s="119"/>
      <c r="D5" s="119"/>
      <c r="E5" s="119"/>
      <c r="F5" s="119"/>
      <c r="G5" s="119"/>
      <c r="H5" s="119"/>
      <c r="I5" s="119"/>
      <c r="J5" s="119"/>
      <c r="K5" s="119"/>
      <c r="L5" s="8"/>
    </row>
    <row r="6" spans="1:12" ht="12.75">
      <c r="A6" s="57">
        <v>1</v>
      </c>
      <c r="B6" s="9" t="s">
        <v>474</v>
      </c>
      <c r="C6" s="9" t="s">
        <v>475</v>
      </c>
      <c r="D6" s="9" t="s">
        <v>476</v>
      </c>
      <c r="E6" s="9" t="s">
        <v>22</v>
      </c>
      <c r="F6" s="9" t="s">
        <v>39</v>
      </c>
      <c r="G6" s="59" t="s">
        <v>477</v>
      </c>
      <c r="H6" s="25" t="s">
        <v>478</v>
      </c>
      <c r="I6" s="59" t="s">
        <v>479</v>
      </c>
      <c r="J6" s="60"/>
      <c r="K6" s="44">
        <v>17.5</v>
      </c>
      <c r="L6" s="9" t="s">
        <v>177</v>
      </c>
    </row>
  </sheetData>
  <sheetProtection/>
  <mergeCells count="11">
    <mergeCell ref="G3:J3"/>
    <mergeCell ref="K3:K4"/>
    <mergeCell ref="L3:L4"/>
    <mergeCell ref="A3:A4"/>
    <mergeCell ref="B5:K5"/>
    <mergeCell ref="B1:L2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C1">
      <selection activeCell="E18" sqref="E18"/>
    </sheetView>
  </sheetViews>
  <sheetFormatPr defaultColWidth="8.75390625" defaultRowHeight="12.75"/>
  <cols>
    <col min="1" max="1" width="8.75390625" style="0" customWidth="1"/>
    <col min="2" max="2" width="21.00390625" style="8" customWidth="1"/>
    <col min="3" max="3" width="24.875" style="8" customWidth="1"/>
    <col min="4" max="4" width="10.625" style="8" bestFit="1" customWidth="1"/>
    <col min="5" max="5" width="8.375" style="8" bestFit="1" customWidth="1"/>
    <col min="6" max="6" width="19.625" style="8" customWidth="1"/>
    <col min="7" max="7" width="26.625" style="8" customWidth="1"/>
    <col min="8" max="10" width="5.625" style="8" bestFit="1" customWidth="1"/>
    <col min="11" max="11" width="4.625" style="8" bestFit="1" customWidth="1"/>
    <col min="12" max="14" width="5.625" style="8" bestFit="1" customWidth="1"/>
    <col min="15" max="15" width="4.625" style="8" bestFit="1" customWidth="1"/>
    <col min="16" max="18" width="5.625" style="8" bestFit="1" customWidth="1"/>
    <col min="19" max="19" width="4.625" style="8" bestFit="1" customWidth="1"/>
    <col min="20" max="20" width="7.875" style="45" bestFit="1" customWidth="1"/>
    <col min="21" max="21" width="8.625" style="8" bestFit="1" customWidth="1"/>
    <col min="22" max="22" width="15.375" style="8" bestFit="1" customWidth="1"/>
  </cols>
  <sheetData>
    <row r="1" spans="2:22" s="1" customFormat="1" ht="15" customHeight="1">
      <c r="B1" s="104" t="s">
        <v>624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6"/>
    </row>
    <row r="2" spans="2:22" s="1" customFormat="1" ht="121.5" customHeight="1" thickBot="1">
      <c r="B2" s="107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9"/>
    </row>
    <row r="3" spans="1:22" s="2" customFormat="1" ht="12.75" customHeight="1">
      <c r="A3" s="101" t="s">
        <v>507</v>
      </c>
      <c r="B3" s="110" t="s">
        <v>0</v>
      </c>
      <c r="C3" s="112" t="s">
        <v>508</v>
      </c>
      <c r="D3" s="112" t="s">
        <v>509</v>
      </c>
      <c r="E3" s="110" t="s">
        <v>9</v>
      </c>
      <c r="F3" s="110" t="s">
        <v>7</v>
      </c>
      <c r="G3" s="114" t="s">
        <v>510</v>
      </c>
      <c r="H3" s="110" t="s">
        <v>1</v>
      </c>
      <c r="I3" s="110"/>
      <c r="J3" s="110"/>
      <c r="K3" s="110"/>
      <c r="L3" s="110" t="s">
        <v>2</v>
      </c>
      <c r="M3" s="110"/>
      <c r="N3" s="110"/>
      <c r="O3" s="110"/>
      <c r="P3" s="110" t="s">
        <v>3</v>
      </c>
      <c r="Q3" s="110"/>
      <c r="R3" s="110"/>
      <c r="S3" s="110"/>
      <c r="T3" s="110" t="s">
        <v>4</v>
      </c>
      <c r="U3" s="110" t="s">
        <v>6</v>
      </c>
      <c r="V3" s="116" t="s">
        <v>5</v>
      </c>
    </row>
    <row r="4" spans="1:22" s="2" customFormat="1" ht="21" customHeight="1" thickBot="1">
      <c r="A4" s="102"/>
      <c r="B4" s="111"/>
      <c r="C4" s="111"/>
      <c r="D4" s="113"/>
      <c r="E4" s="111"/>
      <c r="F4" s="111"/>
      <c r="G4" s="115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3">
        <v>1</v>
      </c>
      <c r="Q4" s="3">
        <v>2</v>
      </c>
      <c r="R4" s="3">
        <v>3</v>
      </c>
      <c r="S4" s="3" t="s">
        <v>8</v>
      </c>
      <c r="T4" s="111"/>
      <c r="U4" s="111"/>
      <c r="V4" s="117"/>
    </row>
    <row r="5" spans="2:21" ht="15.75">
      <c r="B5" s="119" t="s">
        <v>10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</row>
    <row r="6" spans="1:22" ht="12.75">
      <c r="A6" s="57">
        <v>1</v>
      </c>
      <c r="B6" s="9" t="s">
        <v>267</v>
      </c>
      <c r="C6" s="9" t="s">
        <v>268</v>
      </c>
      <c r="D6" s="9" t="s">
        <v>269</v>
      </c>
      <c r="E6" s="9" t="str">
        <f>"0,8745"</f>
        <v>0,8745</v>
      </c>
      <c r="F6" s="9" t="s">
        <v>14</v>
      </c>
      <c r="G6" s="9" t="s">
        <v>256</v>
      </c>
      <c r="H6" s="59" t="s">
        <v>141</v>
      </c>
      <c r="I6" s="59" t="s">
        <v>141</v>
      </c>
      <c r="J6" s="25" t="s">
        <v>141</v>
      </c>
      <c r="K6" s="60"/>
      <c r="L6" s="25" t="s">
        <v>276</v>
      </c>
      <c r="M6" s="25" t="s">
        <v>162</v>
      </c>
      <c r="N6" s="60"/>
      <c r="O6" s="60"/>
      <c r="P6" s="25" t="s">
        <v>44</v>
      </c>
      <c r="Q6" s="25" t="s">
        <v>307</v>
      </c>
      <c r="R6" s="59" t="s">
        <v>58</v>
      </c>
      <c r="S6" s="60"/>
      <c r="T6" s="44" t="s">
        <v>361</v>
      </c>
      <c r="U6" s="44" t="str">
        <f>"231,7425"</f>
        <v>231,7425</v>
      </c>
      <c r="V6" s="9" t="s">
        <v>253</v>
      </c>
    </row>
    <row r="7" spans="1:17" ht="12.75">
      <c r="A7" s="57"/>
      <c r="Q7" s="24"/>
    </row>
    <row r="8" spans="1:21" ht="15.75">
      <c r="A8" s="57"/>
      <c r="B8" s="120" t="s">
        <v>66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</row>
    <row r="9" spans="1:22" ht="12.75">
      <c r="A9" s="57">
        <v>1</v>
      </c>
      <c r="B9" s="9" t="s">
        <v>532</v>
      </c>
      <c r="C9" s="9" t="s">
        <v>356</v>
      </c>
      <c r="D9" s="9" t="s">
        <v>357</v>
      </c>
      <c r="E9" s="9" t="str">
        <f>"0,5893"</f>
        <v>0,5893</v>
      </c>
      <c r="F9" s="9" t="s">
        <v>14</v>
      </c>
      <c r="G9" s="9" t="s">
        <v>15</v>
      </c>
      <c r="H9" s="25" t="s">
        <v>339</v>
      </c>
      <c r="I9" s="60"/>
      <c r="J9" s="60"/>
      <c r="K9" s="60"/>
      <c r="L9" s="25" t="s">
        <v>51</v>
      </c>
      <c r="M9" s="25" t="s">
        <v>76</v>
      </c>
      <c r="N9" s="59" t="s">
        <v>77</v>
      </c>
      <c r="O9" s="60"/>
      <c r="P9" s="25" t="s">
        <v>287</v>
      </c>
      <c r="Q9" s="25" t="s">
        <v>291</v>
      </c>
      <c r="R9" s="59" t="s">
        <v>358</v>
      </c>
      <c r="S9" s="60"/>
      <c r="T9" s="44" t="s">
        <v>497</v>
      </c>
      <c r="U9" s="44" t="str">
        <f>"447,8680"</f>
        <v>447,8680</v>
      </c>
      <c r="V9" s="9" t="s">
        <v>177</v>
      </c>
    </row>
    <row r="10" spans="1:22" ht="12.75">
      <c r="A10" s="57">
        <v>2</v>
      </c>
      <c r="B10" s="9" t="s">
        <v>543</v>
      </c>
      <c r="C10" s="9" t="s">
        <v>359</v>
      </c>
      <c r="D10" s="9" t="s">
        <v>360</v>
      </c>
      <c r="E10" s="9" t="str">
        <f>"0,5924"</f>
        <v>0,5924</v>
      </c>
      <c r="F10" s="9" t="s">
        <v>210</v>
      </c>
      <c r="G10" s="9" t="s">
        <v>211</v>
      </c>
      <c r="H10" s="59" t="s">
        <v>99</v>
      </c>
      <c r="I10" s="25" t="s">
        <v>287</v>
      </c>
      <c r="J10" s="25" t="s">
        <v>288</v>
      </c>
      <c r="K10" s="60"/>
      <c r="L10" s="59" t="s">
        <v>184</v>
      </c>
      <c r="M10" s="25" t="s">
        <v>184</v>
      </c>
      <c r="N10" s="25" t="s">
        <v>33</v>
      </c>
      <c r="O10" s="60"/>
      <c r="P10" s="25" t="s">
        <v>287</v>
      </c>
      <c r="Q10" s="25" t="s">
        <v>288</v>
      </c>
      <c r="R10" s="25" t="s">
        <v>361</v>
      </c>
      <c r="S10" s="60"/>
      <c r="T10" s="44" t="s">
        <v>498</v>
      </c>
      <c r="U10" s="44" t="str">
        <f>"405,7940"</f>
        <v>405,7940</v>
      </c>
      <c r="V10" s="9" t="s">
        <v>177</v>
      </c>
    </row>
    <row r="12" ht="15.75">
      <c r="F12" s="13"/>
    </row>
    <row r="13" ht="15.75">
      <c r="F13" s="13"/>
    </row>
    <row r="14" ht="15.75">
      <c r="F14" s="13"/>
    </row>
    <row r="15" ht="15.75">
      <c r="F15" s="13"/>
    </row>
    <row r="16" ht="15.75">
      <c r="F16" s="13"/>
    </row>
    <row r="17" ht="15.75">
      <c r="F17" s="13"/>
    </row>
    <row r="18" ht="15.75">
      <c r="F18" s="13"/>
    </row>
    <row r="22" ht="12.75">
      <c r="F22" s="8" t="s">
        <v>625</v>
      </c>
    </row>
  </sheetData>
  <sheetProtection/>
  <mergeCells count="16">
    <mergeCell ref="G3:G4"/>
    <mergeCell ref="H3:K3"/>
    <mergeCell ref="L3:O3"/>
    <mergeCell ref="P3:S3"/>
    <mergeCell ref="T3:T4"/>
    <mergeCell ref="U3:U4"/>
    <mergeCell ref="A3:A4"/>
    <mergeCell ref="V3:V4"/>
    <mergeCell ref="B5:U5"/>
    <mergeCell ref="B8:U8"/>
    <mergeCell ref="B1:V2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9"/>
  <sheetViews>
    <sheetView workbookViewId="0" topLeftCell="A3">
      <selection activeCell="F33" sqref="F33"/>
    </sheetView>
  </sheetViews>
  <sheetFormatPr defaultColWidth="8.75390625" defaultRowHeight="12.75"/>
  <cols>
    <col min="1" max="1" width="9.125" style="57" customWidth="1"/>
    <col min="2" max="2" width="18.125" style="8" customWidth="1"/>
    <col min="3" max="3" width="25.125" style="8" customWidth="1"/>
    <col min="4" max="4" width="10.625" style="8" bestFit="1" customWidth="1"/>
    <col min="5" max="5" width="8.375" style="8" bestFit="1" customWidth="1"/>
    <col min="6" max="6" width="18.25390625" style="8" customWidth="1"/>
    <col min="7" max="7" width="32.25390625" style="8" customWidth="1"/>
    <col min="8" max="10" width="5.625" style="48" bestFit="1" customWidth="1"/>
    <col min="11" max="11" width="4.625" style="48" bestFit="1" customWidth="1"/>
    <col min="12" max="14" width="5.625" style="48" bestFit="1" customWidth="1"/>
    <col min="15" max="15" width="4.625" style="48" bestFit="1" customWidth="1"/>
    <col min="16" max="18" width="5.625" style="48" bestFit="1" customWidth="1"/>
    <col min="19" max="19" width="4.625" style="48" bestFit="1" customWidth="1"/>
    <col min="20" max="20" width="7.875" style="89" bestFit="1" customWidth="1"/>
    <col min="21" max="21" width="8.625" style="48" bestFit="1" customWidth="1"/>
    <col min="22" max="22" width="19.125" style="8" customWidth="1"/>
  </cols>
  <sheetData>
    <row r="1" spans="1:22" s="1" customFormat="1" ht="15" customHeight="1">
      <c r="A1" s="50"/>
      <c r="B1" s="104" t="s">
        <v>627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6"/>
    </row>
    <row r="2" spans="1:22" s="1" customFormat="1" ht="112.5" customHeight="1" thickBot="1">
      <c r="A2" s="50"/>
      <c r="B2" s="107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9"/>
    </row>
    <row r="3" spans="1:22" s="2" customFormat="1" ht="12.75" customHeight="1">
      <c r="A3" s="101" t="s">
        <v>507</v>
      </c>
      <c r="B3" s="110" t="s">
        <v>0</v>
      </c>
      <c r="C3" s="112" t="s">
        <v>508</v>
      </c>
      <c r="D3" s="112" t="s">
        <v>509</v>
      </c>
      <c r="E3" s="110" t="s">
        <v>9</v>
      </c>
      <c r="F3" s="110" t="s">
        <v>7</v>
      </c>
      <c r="G3" s="114" t="s">
        <v>510</v>
      </c>
      <c r="H3" s="110" t="s">
        <v>1</v>
      </c>
      <c r="I3" s="110"/>
      <c r="J3" s="110"/>
      <c r="K3" s="110"/>
      <c r="L3" s="110" t="s">
        <v>2</v>
      </c>
      <c r="M3" s="110"/>
      <c r="N3" s="110"/>
      <c r="O3" s="110"/>
      <c r="P3" s="110" t="s">
        <v>3</v>
      </c>
      <c r="Q3" s="110"/>
      <c r="R3" s="110"/>
      <c r="S3" s="110"/>
      <c r="T3" s="121" t="s">
        <v>4</v>
      </c>
      <c r="U3" s="110" t="s">
        <v>6</v>
      </c>
      <c r="V3" s="116" t="s">
        <v>5</v>
      </c>
    </row>
    <row r="4" spans="1:22" s="2" customFormat="1" ht="21" customHeight="1" thickBot="1">
      <c r="A4" s="102"/>
      <c r="B4" s="111"/>
      <c r="C4" s="111"/>
      <c r="D4" s="113"/>
      <c r="E4" s="111"/>
      <c r="F4" s="111"/>
      <c r="G4" s="115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3">
        <v>1</v>
      </c>
      <c r="Q4" s="3">
        <v>2</v>
      </c>
      <c r="R4" s="3">
        <v>3</v>
      </c>
      <c r="S4" s="3" t="s">
        <v>8</v>
      </c>
      <c r="T4" s="122"/>
      <c r="U4" s="111"/>
      <c r="V4" s="117"/>
    </row>
    <row r="5" spans="2:21" ht="15.75">
      <c r="B5" s="118" t="s">
        <v>292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2" ht="12.75">
      <c r="A6" s="57">
        <v>1</v>
      </c>
      <c r="B6" s="9" t="s">
        <v>520</v>
      </c>
      <c r="C6" s="9" t="s">
        <v>293</v>
      </c>
      <c r="D6" s="9" t="s">
        <v>294</v>
      </c>
      <c r="E6" s="9" t="str">
        <f>"1,2504"</f>
        <v>1,2504</v>
      </c>
      <c r="F6" s="9" t="s">
        <v>22</v>
      </c>
      <c r="G6" s="9" t="s">
        <v>61</v>
      </c>
      <c r="H6" s="25" t="s">
        <v>295</v>
      </c>
      <c r="I6" s="60"/>
      <c r="J6" s="60"/>
      <c r="K6" s="60"/>
      <c r="L6" s="25" t="s">
        <v>167</v>
      </c>
      <c r="M6" s="25" t="s">
        <v>277</v>
      </c>
      <c r="N6" s="25" t="s">
        <v>296</v>
      </c>
      <c r="O6" s="60"/>
      <c r="P6" s="25" t="s">
        <v>44</v>
      </c>
      <c r="Q6" s="25" t="s">
        <v>284</v>
      </c>
      <c r="R6" s="25" t="s">
        <v>197</v>
      </c>
      <c r="S6" s="60"/>
      <c r="T6" s="88">
        <v>272.5</v>
      </c>
      <c r="U6" s="44" t="str">
        <f>"340,7340"</f>
        <v>340,7340</v>
      </c>
      <c r="V6" s="9" t="s">
        <v>297</v>
      </c>
    </row>
    <row r="8" spans="2:21" ht="15.75">
      <c r="B8" s="103" t="s">
        <v>132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</row>
    <row r="9" spans="1:22" ht="12.75">
      <c r="A9" s="57">
        <v>1</v>
      </c>
      <c r="B9" s="9" t="s">
        <v>549</v>
      </c>
      <c r="C9" s="9" t="s">
        <v>133</v>
      </c>
      <c r="D9" s="9" t="s">
        <v>134</v>
      </c>
      <c r="E9" s="9" t="str">
        <f>"1,1916"</f>
        <v>1,1916</v>
      </c>
      <c r="F9" s="9" t="s">
        <v>135</v>
      </c>
      <c r="G9" s="9" t="s">
        <v>645</v>
      </c>
      <c r="H9" s="59" t="s">
        <v>298</v>
      </c>
      <c r="I9" s="59" t="s">
        <v>298</v>
      </c>
      <c r="J9" s="25" t="s">
        <v>298</v>
      </c>
      <c r="K9" s="60"/>
      <c r="L9" s="25" t="s">
        <v>299</v>
      </c>
      <c r="M9" s="25" t="s">
        <v>136</v>
      </c>
      <c r="N9" s="59" t="s">
        <v>276</v>
      </c>
      <c r="O9" s="60"/>
      <c r="P9" s="25" t="s">
        <v>298</v>
      </c>
      <c r="Q9" s="25" t="s">
        <v>150</v>
      </c>
      <c r="R9" s="25" t="s">
        <v>151</v>
      </c>
      <c r="S9" s="60"/>
      <c r="T9" s="88">
        <v>257.5</v>
      </c>
      <c r="U9" s="44" t="str">
        <f>"306,8370"</f>
        <v>306,8370</v>
      </c>
      <c r="V9" s="9" t="s">
        <v>137</v>
      </c>
    </row>
    <row r="11" spans="2:21" ht="15.75">
      <c r="B11" s="103" t="s">
        <v>19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</row>
    <row r="12" spans="1:22" ht="12.75">
      <c r="A12" s="57">
        <v>1</v>
      </c>
      <c r="B12" s="9" t="s">
        <v>550</v>
      </c>
      <c r="C12" s="9" t="s">
        <v>300</v>
      </c>
      <c r="D12" s="9" t="s">
        <v>301</v>
      </c>
      <c r="E12" s="9" t="str">
        <f>"1,0911"</f>
        <v>1,0911</v>
      </c>
      <c r="F12" s="9" t="s">
        <v>14</v>
      </c>
      <c r="G12" s="9" t="s">
        <v>15</v>
      </c>
      <c r="H12" s="25" t="s">
        <v>302</v>
      </c>
      <c r="I12" s="59" t="s">
        <v>170</v>
      </c>
      <c r="J12" s="25" t="s">
        <v>303</v>
      </c>
      <c r="K12" s="60"/>
      <c r="L12" s="25" t="s">
        <v>304</v>
      </c>
      <c r="M12" s="59" t="s">
        <v>167</v>
      </c>
      <c r="N12" s="59" t="s">
        <v>167</v>
      </c>
      <c r="O12" s="60"/>
      <c r="P12" s="25" t="s">
        <v>170</v>
      </c>
      <c r="Q12" s="25" t="s">
        <v>171</v>
      </c>
      <c r="R12" s="25" t="s">
        <v>44</v>
      </c>
      <c r="S12" s="60"/>
      <c r="T12" s="88">
        <v>237.5</v>
      </c>
      <c r="U12" s="44" t="str">
        <f>"259,1362"</f>
        <v>259,1362</v>
      </c>
      <c r="V12" s="9" t="s">
        <v>177</v>
      </c>
    </row>
    <row r="14" spans="2:21" ht="15.75">
      <c r="B14" s="103" t="s">
        <v>178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</row>
    <row r="15" spans="1:22" ht="12.75">
      <c r="A15" s="57">
        <v>1</v>
      </c>
      <c r="B15" s="137" t="s">
        <v>551</v>
      </c>
      <c r="C15" s="11" t="s">
        <v>305</v>
      </c>
      <c r="D15" s="138" t="s">
        <v>306</v>
      </c>
      <c r="E15" s="11" t="str">
        <f>"0,9834"</f>
        <v>0,9834</v>
      </c>
      <c r="F15" s="138" t="s">
        <v>14</v>
      </c>
      <c r="G15" s="163" t="s">
        <v>80</v>
      </c>
      <c r="H15" s="139" t="s">
        <v>307</v>
      </c>
      <c r="I15" s="66" t="s">
        <v>62</v>
      </c>
      <c r="J15" s="139" t="s">
        <v>58</v>
      </c>
      <c r="K15" s="68"/>
      <c r="L15" s="139" t="s">
        <v>298</v>
      </c>
      <c r="M15" s="66" t="s">
        <v>150</v>
      </c>
      <c r="N15" s="159" t="s">
        <v>152</v>
      </c>
      <c r="O15" s="68"/>
      <c r="P15" s="139" t="s">
        <v>58</v>
      </c>
      <c r="Q15" s="66" t="s">
        <v>218</v>
      </c>
      <c r="R15" s="139" t="s">
        <v>34</v>
      </c>
      <c r="S15" s="68"/>
      <c r="T15" s="160">
        <v>405</v>
      </c>
      <c r="U15" s="46" t="str">
        <f>"398,2770"</f>
        <v>398,2770</v>
      </c>
      <c r="V15" s="142" t="s">
        <v>177</v>
      </c>
    </row>
    <row r="16" spans="1:22" ht="12.75">
      <c r="A16" s="57">
        <v>2</v>
      </c>
      <c r="B16" s="73" t="s">
        <v>552</v>
      </c>
      <c r="C16" s="12" t="s">
        <v>308</v>
      </c>
      <c r="D16" s="145" t="s">
        <v>309</v>
      </c>
      <c r="E16" s="12" t="str">
        <f>"0,9779"</f>
        <v>0,9779</v>
      </c>
      <c r="F16" s="145" t="s">
        <v>22</v>
      </c>
      <c r="G16" s="164" t="s">
        <v>643</v>
      </c>
      <c r="H16" s="146" t="s">
        <v>284</v>
      </c>
      <c r="I16" s="70" t="s">
        <v>197</v>
      </c>
      <c r="J16" s="147" t="s">
        <v>197</v>
      </c>
      <c r="K16" s="71"/>
      <c r="L16" s="147" t="s">
        <v>310</v>
      </c>
      <c r="M16" s="70" t="s">
        <v>310</v>
      </c>
      <c r="N16" s="146" t="s">
        <v>310</v>
      </c>
      <c r="O16" s="71"/>
      <c r="P16" s="146" t="s">
        <v>307</v>
      </c>
      <c r="Q16" s="69" t="s">
        <v>232</v>
      </c>
      <c r="R16" s="146" t="s">
        <v>62</v>
      </c>
      <c r="S16" s="71"/>
      <c r="T16" s="162">
        <v>305</v>
      </c>
      <c r="U16" s="47" t="str">
        <f>"298,2595"</f>
        <v>298,2595</v>
      </c>
      <c r="V16" s="74" t="s">
        <v>491</v>
      </c>
    </row>
    <row r="17" ht="12.75">
      <c r="G17" s="61"/>
    </row>
    <row r="18" spans="2:21" ht="15.75">
      <c r="B18" s="103" t="s">
        <v>178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</row>
    <row r="19" spans="1:22" ht="12.75">
      <c r="A19" s="57">
        <v>1</v>
      </c>
      <c r="B19" s="137" t="s">
        <v>311</v>
      </c>
      <c r="C19" s="11" t="s">
        <v>312</v>
      </c>
      <c r="D19" s="138" t="s">
        <v>313</v>
      </c>
      <c r="E19" s="11" t="str">
        <f>"0,7647"</f>
        <v>0,7647</v>
      </c>
      <c r="F19" s="138" t="s">
        <v>30</v>
      </c>
      <c r="G19" s="11" t="s">
        <v>314</v>
      </c>
      <c r="H19" s="159" t="s">
        <v>44</v>
      </c>
      <c r="I19" s="66" t="s">
        <v>44</v>
      </c>
      <c r="J19" s="159" t="s">
        <v>307</v>
      </c>
      <c r="K19" s="68"/>
      <c r="L19" s="139" t="s">
        <v>310</v>
      </c>
      <c r="M19" s="67" t="s">
        <v>162</v>
      </c>
      <c r="N19" s="159" t="s">
        <v>162</v>
      </c>
      <c r="O19" s="68"/>
      <c r="P19" s="139" t="s">
        <v>307</v>
      </c>
      <c r="Q19" s="66" t="s">
        <v>62</v>
      </c>
      <c r="R19" s="139" t="s">
        <v>40</v>
      </c>
      <c r="S19" s="68"/>
      <c r="T19" s="160">
        <v>305</v>
      </c>
      <c r="U19" s="46" t="str">
        <f>"233,2335"</f>
        <v>233,2335</v>
      </c>
      <c r="V19" s="142" t="s">
        <v>35</v>
      </c>
    </row>
    <row r="20" spans="1:22" ht="12.75">
      <c r="A20" s="57">
        <v>1</v>
      </c>
      <c r="B20" s="73" t="s">
        <v>553</v>
      </c>
      <c r="C20" s="12" t="s">
        <v>187</v>
      </c>
      <c r="D20" s="145" t="s">
        <v>188</v>
      </c>
      <c r="E20" s="12" t="str">
        <f>"0,7293"</f>
        <v>0,7293</v>
      </c>
      <c r="F20" s="145" t="s">
        <v>135</v>
      </c>
      <c r="G20" s="12" t="s">
        <v>61</v>
      </c>
      <c r="H20" s="146" t="s">
        <v>307</v>
      </c>
      <c r="I20" s="69" t="s">
        <v>198</v>
      </c>
      <c r="J20" s="146" t="s">
        <v>24</v>
      </c>
      <c r="K20" s="71"/>
      <c r="L20" s="146" t="s">
        <v>151</v>
      </c>
      <c r="M20" s="69" t="s">
        <v>189</v>
      </c>
      <c r="N20" s="147" t="s">
        <v>194</v>
      </c>
      <c r="O20" s="71"/>
      <c r="P20" s="146" t="s">
        <v>48</v>
      </c>
      <c r="Q20" s="69" t="s">
        <v>83</v>
      </c>
      <c r="R20" s="146" t="s">
        <v>104</v>
      </c>
      <c r="S20" s="71"/>
      <c r="T20" s="162">
        <v>435</v>
      </c>
      <c r="U20" s="47" t="str">
        <f>"317,2455"</f>
        <v>317,2455</v>
      </c>
      <c r="V20" s="74" t="s">
        <v>177</v>
      </c>
    </row>
    <row r="22" spans="2:21" ht="15.75">
      <c r="B22" s="103" t="s">
        <v>27</v>
      </c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</row>
    <row r="23" spans="1:22" ht="12.75">
      <c r="A23" s="57">
        <v>1</v>
      </c>
      <c r="B23" s="11" t="s">
        <v>554</v>
      </c>
      <c r="C23" s="11" t="s">
        <v>315</v>
      </c>
      <c r="D23" s="11" t="s">
        <v>316</v>
      </c>
      <c r="E23" s="11" t="str">
        <f>"0,6849"</f>
        <v>0,6849</v>
      </c>
      <c r="F23" s="11" t="s">
        <v>22</v>
      </c>
      <c r="G23" s="11" t="s">
        <v>54</v>
      </c>
      <c r="H23" s="66" t="s">
        <v>48</v>
      </c>
      <c r="I23" s="66" t="s">
        <v>51</v>
      </c>
      <c r="J23" s="66" t="s">
        <v>76</v>
      </c>
      <c r="K23" s="68"/>
      <c r="L23" s="66" t="s">
        <v>24</v>
      </c>
      <c r="M23" s="66" t="s">
        <v>58</v>
      </c>
      <c r="N23" s="66" t="s">
        <v>183</v>
      </c>
      <c r="O23" s="68"/>
      <c r="P23" s="66" t="s">
        <v>77</v>
      </c>
      <c r="Q23" s="66" t="s">
        <v>264</v>
      </c>
      <c r="R23" s="67" t="s">
        <v>257</v>
      </c>
      <c r="S23" s="68"/>
      <c r="T23" s="90">
        <v>560</v>
      </c>
      <c r="U23" s="46" t="str">
        <f>"383,5440"</f>
        <v>383,5440</v>
      </c>
      <c r="V23" s="11" t="s">
        <v>177</v>
      </c>
    </row>
    <row r="24" spans="1:22" ht="12.75">
      <c r="A24" s="57">
        <v>2</v>
      </c>
      <c r="B24" s="12" t="s">
        <v>555</v>
      </c>
      <c r="C24" s="12" t="s">
        <v>199</v>
      </c>
      <c r="D24" s="12" t="s">
        <v>200</v>
      </c>
      <c r="E24" s="12" t="str">
        <f>"0,6774"</f>
        <v>0,6774</v>
      </c>
      <c r="F24" s="12" t="s">
        <v>14</v>
      </c>
      <c r="G24" s="12" t="s">
        <v>15</v>
      </c>
      <c r="H24" s="69" t="s">
        <v>32</v>
      </c>
      <c r="I24" s="69" t="s">
        <v>33</v>
      </c>
      <c r="J24" s="70" t="s">
        <v>48</v>
      </c>
      <c r="K24" s="71"/>
      <c r="L24" s="70" t="s">
        <v>58</v>
      </c>
      <c r="M24" s="69" t="s">
        <v>58</v>
      </c>
      <c r="N24" s="69" t="s">
        <v>183</v>
      </c>
      <c r="O24" s="71"/>
      <c r="P24" s="70" t="s">
        <v>77</v>
      </c>
      <c r="Q24" s="70" t="s">
        <v>77</v>
      </c>
      <c r="R24" s="69" t="s">
        <v>77</v>
      </c>
      <c r="S24" s="71"/>
      <c r="T24" s="91">
        <v>510</v>
      </c>
      <c r="U24" s="47" t="str">
        <f>"345,4740"</f>
        <v>345,4740</v>
      </c>
      <c r="V24" s="12" t="s">
        <v>177</v>
      </c>
    </row>
    <row r="26" spans="2:21" ht="15.75">
      <c r="B26" s="103" t="s">
        <v>45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</row>
    <row r="27" spans="2:22" ht="12.75">
      <c r="B27" s="9" t="s">
        <v>317</v>
      </c>
      <c r="C27" s="9" t="s">
        <v>318</v>
      </c>
      <c r="D27" s="9" t="s">
        <v>319</v>
      </c>
      <c r="E27" s="9" t="str">
        <f>"0,6507"</f>
        <v>0,6507</v>
      </c>
      <c r="F27" s="9" t="s">
        <v>22</v>
      </c>
      <c r="G27" s="9" t="s">
        <v>61</v>
      </c>
      <c r="H27" s="59" t="s">
        <v>32</v>
      </c>
      <c r="I27" s="59" t="s">
        <v>32</v>
      </c>
      <c r="J27" s="59" t="s">
        <v>32</v>
      </c>
      <c r="K27" s="60"/>
      <c r="L27" s="59"/>
      <c r="M27" s="60"/>
      <c r="N27" s="60"/>
      <c r="O27" s="60"/>
      <c r="P27" s="59"/>
      <c r="Q27" s="60"/>
      <c r="R27" s="60"/>
      <c r="S27" s="60"/>
      <c r="T27" s="92">
        <v>0</v>
      </c>
      <c r="U27" s="44" t="s">
        <v>533</v>
      </c>
      <c r="V27" s="9" t="s">
        <v>177</v>
      </c>
    </row>
    <row r="29" spans="2:21" ht="15.75">
      <c r="B29" s="103" t="s">
        <v>63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</row>
    <row r="30" spans="1:22" ht="12.75">
      <c r="A30" s="57">
        <v>1</v>
      </c>
      <c r="B30" s="137" t="s">
        <v>556</v>
      </c>
      <c r="C30" s="11" t="s">
        <v>320</v>
      </c>
      <c r="D30" s="138" t="s">
        <v>321</v>
      </c>
      <c r="E30" s="11" t="str">
        <f>"0,6118"</f>
        <v>0,6118</v>
      </c>
      <c r="F30" s="138" t="s">
        <v>210</v>
      </c>
      <c r="G30" s="11" t="s">
        <v>211</v>
      </c>
      <c r="H30" s="139" t="s">
        <v>76</v>
      </c>
      <c r="I30" s="66" t="s">
        <v>117</v>
      </c>
      <c r="J30" s="159" t="s">
        <v>113</v>
      </c>
      <c r="K30" s="68"/>
      <c r="L30" s="139" t="s">
        <v>184</v>
      </c>
      <c r="M30" s="66" t="s">
        <v>89</v>
      </c>
      <c r="N30" s="139" t="s">
        <v>34</v>
      </c>
      <c r="O30" s="68"/>
      <c r="P30" s="139" t="s">
        <v>114</v>
      </c>
      <c r="Q30" s="66" t="s">
        <v>287</v>
      </c>
      <c r="R30" s="139" t="s">
        <v>288</v>
      </c>
      <c r="S30" s="68"/>
      <c r="T30" s="160">
        <v>635</v>
      </c>
      <c r="U30" s="46" t="str">
        <f>"388,4930"</f>
        <v>388,4930</v>
      </c>
      <c r="V30" s="142" t="s">
        <v>417</v>
      </c>
    </row>
    <row r="31" spans="1:22" ht="12.75">
      <c r="A31" s="57">
        <v>2</v>
      </c>
      <c r="B31" s="73" t="s">
        <v>557</v>
      </c>
      <c r="C31" s="12" t="s">
        <v>322</v>
      </c>
      <c r="D31" s="145" t="s">
        <v>323</v>
      </c>
      <c r="E31" s="12" t="str">
        <f>"0,6298"</f>
        <v>0,6298</v>
      </c>
      <c r="F31" s="145" t="s">
        <v>22</v>
      </c>
      <c r="G31" s="12" t="s">
        <v>324</v>
      </c>
      <c r="H31" s="146" t="s">
        <v>51</v>
      </c>
      <c r="I31" s="69" t="s">
        <v>94</v>
      </c>
      <c r="J31" s="146" t="s">
        <v>76</v>
      </c>
      <c r="K31" s="71"/>
      <c r="L31" s="146" t="s">
        <v>218</v>
      </c>
      <c r="M31" s="69" t="s">
        <v>33</v>
      </c>
      <c r="N31" s="161"/>
      <c r="O31" s="71"/>
      <c r="P31" s="146" t="s">
        <v>94</v>
      </c>
      <c r="Q31" s="69" t="s">
        <v>77</v>
      </c>
      <c r="R31" s="146" t="s">
        <v>263</v>
      </c>
      <c r="S31" s="71"/>
      <c r="T31" s="162">
        <v>567.5</v>
      </c>
      <c r="U31" s="47" t="str">
        <f>"357,4115"</f>
        <v>357,4115</v>
      </c>
      <c r="V31" s="74" t="s">
        <v>177</v>
      </c>
    </row>
    <row r="33" ht="15.75">
      <c r="F33" s="13"/>
    </row>
    <row r="34" ht="15.75">
      <c r="F34" s="13"/>
    </row>
    <row r="35" ht="15.75">
      <c r="F35" s="13"/>
    </row>
    <row r="36" ht="15.75">
      <c r="F36" s="13"/>
    </row>
    <row r="37" ht="15.75">
      <c r="F37" s="13"/>
    </row>
    <row r="38" ht="15.75">
      <c r="F38" s="13"/>
    </row>
    <row r="39" ht="15.75">
      <c r="F39" s="13"/>
    </row>
  </sheetData>
  <sheetProtection/>
  <mergeCells count="22">
    <mergeCell ref="B1:V2"/>
    <mergeCell ref="B3:B4"/>
    <mergeCell ref="C3:C4"/>
    <mergeCell ref="D3:D4"/>
    <mergeCell ref="E3:E4"/>
    <mergeCell ref="F3:F4"/>
    <mergeCell ref="B14:U14"/>
    <mergeCell ref="B18:U18"/>
    <mergeCell ref="V3:V4"/>
    <mergeCell ref="B5:U5"/>
    <mergeCell ref="B8:U8"/>
    <mergeCell ref="B11:U11"/>
    <mergeCell ref="B22:U22"/>
    <mergeCell ref="B26:U26"/>
    <mergeCell ref="A3:A4"/>
    <mergeCell ref="B29:U29"/>
    <mergeCell ref="T3:T4"/>
    <mergeCell ref="U3:U4"/>
    <mergeCell ref="G3:G4"/>
    <mergeCell ref="H3:K3"/>
    <mergeCell ref="P3:S3"/>
    <mergeCell ref="L3:O3"/>
  </mergeCells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4"/>
  <sheetViews>
    <sheetView workbookViewId="0" topLeftCell="A1">
      <selection activeCell="F38" sqref="F38"/>
    </sheetView>
  </sheetViews>
  <sheetFormatPr defaultColWidth="8.75390625" defaultRowHeight="12.75"/>
  <cols>
    <col min="1" max="1" width="8.75390625" style="0" customWidth="1"/>
    <col min="2" max="2" width="20.625" style="8" customWidth="1"/>
    <col min="3" max="3" width="27.125" style="8" bestFit="1" customWidth="1"/>
    <col min="4" max="4" width="10.625" style="8" bestFit="1" customWidth="1"/>
    <col min="5" max="5" width="8.375" style="8" bestFit="1" customWidth="1"/>
    <col min="6" max="6" width="17.375" style="8" customWidth="1"/>
    <col min="7" max="7" width="27.375" style="8" bestFit="1" customWidth="1"/>
    <col min="8" max="10" width="5.625" style="8" bestFit="1" customWidth="1"/>
    <col min="11" max="11" width="4.625" style="8" bestFit="1" customWidth="1"/>
    <col min="12" max="14" width="5.625" style="8" bestFit="1" customWidth="1"/>
    <col min="15" max="15" width="4.625" style="8" bestFit="1" customWidth="1"/>
    <col min="16" max="18" width="5.625" style="8" bestFit="1" customWidth="1"/>
    <col min="19" max="19" width="4.625" style="8" bestFit="1" customWidth="1"/>
    <col min="20" max="20" width="7.875" style="45" bestFit="1" customWidth="1"/>
    <col min="21" max="21" width="8.625" style="8" bestFit="1" customWidth="1"/>
    <col min="22" max="22" width="15.375" style="8" bestFit="1" customWidth="1"/>
  </cols>
  <sheetData>
    <row r="1" spans="2:22" s="1" customFormat="1" ht="15" customHeight="1">
      <c r="B1" s="104" t="s">
        <v>629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6"/>
    </row>
    <row r="2" spans="2:22" s="1" customFormat="1" ht="117" customHeight="1" thickBot="1">
      <c r="B2" s="107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9"/>
    </row>
    <row r="3" spans="1:22" s="2" customFormat="1" ht="12.75" customHeight="1">
      <c r="A3" s="101" t="s">
        <v>507</v>
      </c>
      <c r="B3" s="110" t="s">
        <v>0</v>
      </c>
      <c r="C3" s="112" t="s">
        <v>508</v>
      </c>
      <c r="D3" s="112" t="s">
        <v>509</v>
      </c>
      <c r="E3" s="110" t="s">
        <v>9</v>
      </c>
      <c r="F3" s="110" t="s">
        <v>7</v>
      </c>
      <c r="G3" s="114" t="s">
        <v>510</v>
      </c>
      <c r="H3" s="110" t="s">
        <v>1</v>
      </c>
      <c r="I3" s="110"/>
      <c r="J3" s="110"/>
      <c r="K3" s="110"/>
      <c r="L3" s="110" t="s">
        <v>2</v>
      </c>
      <c r="M3" s="110"/>
      <c r="N3" s="110"/>
      <c r="O3" s="110"/>
      <c r="P3" s="110" t="s">
        <v>3</v>
      </c>
      <c r="Q3" s="110"/>
      <c r="R3" s="110"/>
      <c r="S3" s="110"/>
      <c r="T3" s="110" t="s">
        <v>4</v>
      </c>
      <c r="U3" s="110" t="s">
        <v>6</v>
      </c>
      <c r="V3" s="116" t="s">
        <v>5</v>
      </c>
    </row>
    <row r="4" spans="1:22" s="2" customFormat="1" ht="21" customHeight="1" thickBot="1">
      <c r="A4" s="102"/>
      <c r="B4" s="111"/>
      <c r="C4" s="111"/>
      <c r="D4" s="113"/>
      <c r="E4" s="111"/>
      <c r="F4" s="111"/>
      <c r="G4" s="115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3">
        <v>1</v>
      </c>
      <c r="Q4" s="3">
        <v>2</v>
      </c>
      <c r="R4" s="3">
        <v>3</v>
      </c>
      <c r="S4" s="3" t="s">
        <v>8</v>
      </c>
      <c r="T4" s="111"/>
      <c r="U4" s="111"/>
      <c r="V4" s="117"/>
    </row>
    <row r="5" spans="2:21" ht="15.75">
      <c r="B5" s="118" t="s">
        <v>66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2" ht="12.75">
      <c r="A6" s="57">
        <v>1</v>
      </c>
      <c r="B6" s="9" t="s">
        <v>527</v>
      </c>
      <c r="C6" s="9" t="s">
        <v>266</v>
      </c>
      <c r="D6" s="9" t="s">
        <v>270</v>
      </c>
      <c r="E6" s="9" t="str">
        <f>"0,6002"</f>
        <v>0,6002</v>
      </c>
      <c r="F6" s="9" t="s">
        <v>14</v>
      </c>
      <c r="G6" s="9" t="s">
        <v>15</v>
      </c>
      <c r="H6" s="25" t="s">
        <v>99</v>
      </c>
      <c r="I6" s="59" t="s">
        <v>108</v>
      </c>
      <c r="J6" s="25" t="s">
        <v>108</v>
      </c>
      <c r="K6" s="60"/>
      <c r="L6" s="59" t="s">
        <v>32</v>
      </c>
      <c r="M6" s="25" t="s">
        <v>32</v>
      </c>
      <c r="N6" s="59" t="s">
        <v>184</v>
      </c>
      <c r="O6" s="60"/>
      <c r="P6" s="25" t="s">
        <v>271</v>
      </c>
      <c r="Q6" s="25" t="s">
        <v>272</v>
      </c>
      <c r="R6" s="25" t="s">
        <v>273</v>
      </c>
      <c r="S6" s="60"/>
      <c r="T6" s="44" t="s">
        <v>500</v>
      </c>
      <c r="U6" s="44" t="str">
        <f>"390,1300"</f>
        <v>390,1300</v>
      </c>
      <c r="V6" s="9" t="s">
        <v>177</v>
      </c>
    </row>
    <row r="8" ht="15.75">
      <c r="F8" s="13"/>
    </row>
    <row r="9" ht="15.75">
      <c r="F9" s="13"/>
    </row>
    <row r="10" ht="15.75">
      <c r="F10" s="13"/>
    </row>
    <row r="11" ht="15.75">
      <c r="F11" s="13"/>
    </row>
    <row r="12" ht="15.75">
      <c r="F12" s="13"/>
    </row>
    <row r="13" ht="15.75">
      <c r="F13" s="13"/>
    </row>
    <row r="14" ht="15.75">
      <c r="F14" s="13"/>
    </row>
  </sheetData>
  <sheetProtection/>
  <mergeCells count="15">
    <mergeCell ref="P3:S3"/>
    <mergeCell ref="T3:T4"/>
    <mergeCell ref="U3:U4"/>
    <mergeCell ref="V3:V4"/>
    <mergeCell ref="B5:U5"/>
    <mergeCell ref="A3:A4"/>
    <mergeCell ref="B1:V2"/>
    <mergeCell ref="B3:B4"/>
    <mergeCell ref="C3:C4"/>
    <mergeCell ref="D3:D4"/>
    <mergeCell ref="E3:E4"/>
    <mergeCell ref="F3:F4"/>
    <mergeCell ref="G3:G4"/>
    <mergeCell ref="H3:K3"/>
    <mergeCell ref="L3:O3"/>
  </mergeCells>
  <printOptions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4"/>
  <sheetViews>
    <sheetView workbookViewId="0" topLeftCell="A1">
      <selection activeCell="E41" sqref="E41"/>
    </sheetView>
  </sheetViews>
  <sheetFormatPr defaultColWidth="8.75390625" defaultRowHeight="12.75"/>
  <cols>
    <col min="1" max="1" width="8.75390625" style="0" customWidth="1"/>
    <col min="2" max="2" width="15.375" style="8" customWidth="1"/>
    <col min="3" max="3" width="29.875" style="8" customWidth="1"/>
    <col min="4" max="4" width="10.875" style="8" customWidth="1"/>
    <col min="5" max="5" width="6.625" style="8" bestFit="1" customWidth="1"/>
    <col min="6" max="6" width="22.75390625" style="8" bestFit="1" customWidth="1"/>
    <col min="7" max="7" width="27.375" style="8" bestFit="1" customWidth="1"/>
    <col min="8" max="8" width="5.625" style="8" bestFit="1" customWidth="1"/>
    <col min="9" max="10" width="2.125" style="8" bestFit="1" customWidth="1"/>
    <col min="11" max="11" width="4.625" style="8" bestFit="1" customWidth="1"/>
    <col min="12" max="12" width="3.625" style="8" bestFit="1" customWidth="1"/>
    <col min="13" max="14" width="2.125" style="8" bestFit="1" customWidth="1"/>
    <col min="15" max="15" width="4.625" style="8" bestFit="1" customWidth="1"/>
    <col min="16" max="18" width="2.125" style="8" bestFit="1" customWidth="1"/>
    <col min="19" max="19" width="4.625" style="8" bestFit="1" customWidth="1"/>
    <col min="20" max="20" width="7.875" style="8" bestFit="1" customWidth="1"/>
    <col min="21" max="21" width="6.625" style="8" bestFit="1" customWidth="1"/>
    <col min="22" max="22" width="15.375" style="8" bestFit="1" customWidth="1"/>
  </cols>
  <sheetData>
    <row r="1" spans="2:22" s="1" customFormat="1" ht="15" customHeight="1">
      <c r="B1" s="104" t="s">
        <v>630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6"/>
    </row>
    <row r="2" spans="2:22" s="1" customFormat="1" ht="114" customHeight="1" thickBot="1">
      <c r="B2" s="107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9"/>
    </row>
    <row r="3" spans="1:22" s="2" customFormat="1" ht="12.75" customHeight="1">
      <c r="A3" s="101" t="s">
        <v>507</v>
      </c>
      <c r="B3" s="110" t="s">
        <v>0</v>
      </c>
      <c r="C3" s="112" t="s">
        <v>508</v>
      </c>
      <c r="D3" s="112" t="s">
        <v>509</v>
      </c>
      <c r="E3" s="110" t="s">
        <v>9</v>
      </c>
      <c r="F3" s="110" t="s">
        <v>7</v>
      </c>
      <c r="G3" s="114" t="s">
        <v>510</v>
      </c>
      <c r="H3" s="110" t="s">
        <v>1</v>
      </c>
      <c r="I3" s="110"/>
      <c r="J3" s="110"/>
      <c r="K3" s="110"/>
      <c r="L3" s="110" t="s">
        <v>2</v>
      </c>
      <c r="M3" s="110"/>
      <c r="N3" s="110"/>
      <c r="O3" s="110"/>
      <c r="P3" s="110" t="s">
        <v>3</v>
      </c>
      <c r="Q3" s="110"/>
      <c r="R3" s="110"/>
      <c r="S3" s="110"/>
      <c r="T3" s="110" t="s">
        <v>4</v>
      </c>
      <c r="U3" s="110" t="s">
        <v>6</v>
      </c>
      <c r="V3" s="116" t="s">
        <v>5</v>
      </c>
    </row>
    <row r="4" spans="1:22" s="2" customFormat="1" ht="21" customHeight="1" thickBot="1">
      <c r="A4" s="102"/>
      <c r="B4" s="111"/>
      <c r="C4" s="111"/>
      <c r="D4" s="113"/>
      <c r="E4" s="111"/>
      <c r="F4" s="111"/>
      <c r="G4" s="115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3">
        <v>1</v>
      </c>
      <c r="Q4" s="3">
        <v>2</v>
      </c>
      <c r="R4" s="3">
        <v>3</v>
      </c>
      <c r="S4" s="3" t="s">
        <v>8</v>
      </c>
      <c r="T4" s="111"/>
      <c r="U4" s="111"/>
      <c r="V4" s="117"/>
    </row>
    <row r="5" spans="2:21" ht="15.75">
      <c r="B5" s="118" t="s">
        <v>66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2:22" ht="12.75">
      <c r="B6" s="9" t="s">
        <v>265</v>
      </c>
      <c r="C6" s="9" t="s">
        <v>266</v>
      </c>
      <c r="D6" s="9" t="s">
        <v>86</v>
      </c>
      <c r="E6" s="9" t="str">
        <f>"0,5902"</f>
        <v>0,5902</v>
      </c>
      <c r="F6" s="9" t="s">
        <v>22</v>
      </c>
      <c r="G6" s="9" t="s">
        <v>15</v>
      </c>
      <c r="H6" s="21" t="s">
        <v>108</v>
      </c>
      <c r="I6" s="10"/>
      <c r="J6" s="10"/>
      <c r="K6" s="10"/>
      <c r="L6" s="54" t="s">
        <v>190</v>
      </c>
      <c r="M6" s="10"/>
      <c r="N6" s="10"/>
      <c r="O6" s="10"/>
      <c r="P6" s="10"/>
      <c r="Q6" s="10"/>
      <c r="R6" s="10"/>
      <c r="S6" s="10"/>
      <c r="T6" s="92">
        <v>0</v>
      </c>
      <c r="U6" s="44" t="s">
        <v>533</v>
      </c>
      <c r="V6" s="9" t="s">
        <v>177</v>
      </c>
    </row>
    <row r="8" ht="15.75">
      <c r="F8" s="13"/>
    </row>
    <row r="9" ht="15.75">
      <c r="F9" s="13"/>
    </row>
    <row r="10" ht="15.75">
      <c r="F10" s="13"/>
    </row>
    <row r="11" ht="15.75">
      <c r="F11" s="13"/>
    </row>
    <row r="12" ht="15.75">
      <c r="F12" s="13"/>
    </row>
    <row r="13" ht="15.75">
      <c r="F13" s="13"/>
    </row>
    <row r="14" ht="15.75">
      <c r="F14" s="13"/>
    </row>
  </sheetData>
  <sheetProtection/>
  <mergeCells count="15">
    <mergeCell ref="P3:S3"/>
    <mergeCell ref="T3:T4"/>
    <mergeCell ref="U3:U4"/>
    <mergeCell ref="V3:V4"/>
    <mergeCell ref="B5:U5"/>
    <mergeCell ref="A3:A4"/>
    <mergeCell ref="B1:V2"/>
    <mergeCell ref="B3:B4"/>
    <mergeCell ref="C3:C4"/>
    <mergeCell ref="D3:D4"/>
    <mergeCell ref="E3:E4"/>
    <mergeCell ref="F3:F4"/>
    <mergeCell ref="G3:G4"/>
    <mergeCell ref="H3:K3"/>
    <mergeCell ref="L3:O3"/>
  </mergeCells>
  <printOptions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4"/>
  <sheetViews>
    <sheetView workbookViewId="0" topLeftCell="A1">
      <selection activeCell="E12" sqref="E12"/>
    </sheetView>
  </sheetViews>
  <sheetFormatPr defaultColWidth="8.75390625" defaultRowHeight="12.75"/>
  <cols>
    <col min="1" max="1" width="8.75390625" style="0" customWidth="1"/>
    <col min="2" max="2" width="21.75390625" style="8" customWidth="1"/>
    <col min="3" max="3" width="26.00390625" style="8" bestFit="1" customWidth="1"/>
    <col min="4" max="4" width="10.625" style="8" bestFit="1" customWidth="1"/>
    <col min="5" max="5" width="8.375" style="8" bestFit="1" customWidth="1"/>
    <col min="6" max="6" width="18.125" style="8" customWidth="1"/>
    <col min="7" max="7" width="25.375" style="8" customWidth="1"/>
    <col min="8" max="10" width="5.625" style="8" bestFit="1" customWidth="1"/>
    <col min="11" max="11" width="4.625" style="8" bestFit="1" customWidth="1"/>
    <col min="12" max="14" width="5.625" style="8" bestFit="1" customWidth="1"/>
    <col min="15" max="15" width="4.625" style="8" bestFit="1" customWidth="1"/>
    <col min="16" max="16" width="7.875" style="45" bestFit="1" customWidth="1"/>
    <col min="17" max="17" width="8.625" style="8" bestFit="1" customWidth="1"/>
    <col min="18" max="18" width="17.125" style="8" customWidth="1"/>
  </cols>
  <sheetData>
    <row r="1" spans="2:18" s="1" customFormat="1" ht="15" customHeight="1">
      <c r="B1" s="104" t="s">
        <v>618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6"/>
    </row>
    <row r="2" spans="2:18" s="1" customFormat="1" ht="121.5" customHeight="1" thickBot="1">
      <c r="B2" s="107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9"/>
    </row>
    <row r="3" spans="1:18" s="2" customFormat="1" ht="12.75" customHeight="1">
      <c r="A3" s="101" t="s">
        <v>507</v>
      </c>
      <c r="B3" s="110" t="s">
        <v>0</v>
      </c>
      <c r="C3" s="112" t="s">
        <v>508</v>
      </c>
      <c r="D3" s="112" t="s">
        <v>509</v>
      </c>
      <c r="E3" s="110" t="s">
        <v>9</v>
      </c>
      <c r="F3" s="110" t="s">
        <v>7</v>
      </c>
      <c r="G3" s="114" t="s">
        <v>510</v>
      </c>
      <c r="H3" s="110" t="s">
        <v>2</v>
      </c>
      <c r="I3" s="110"/>
      <c r="J3" s="110"/>
      <c r="K3" s="110"/>
      <c r="L3" s="110" t="s">
        <v>3</v>
      </c>
      <c r="M3" s="110"/>
      <c r="N3" s="110"/>
      <c r="O3" s="110"/>
      <c r="P3" s="110" t="s">
        <v>4</v>
      </c>
      <c r="Q3" s="110" t="s">
        <v>6</v>
      </c>
      <c r="R3" s="116" t="s">
        <v>5</v>
      </c>
    </row>
    <row r="4" spans="1:18" s="2" customFormat="1" ht="21" customHeight="1" thickBot="1">
      <c r="A4" s="102"/>
      <c r="B4" s="111"/>
      <c r="C4" s="111"/>
      <c r="D4" s="113"/>
      <c r="E4" s="111"/>
      <c r="F4" s="111"/>
      <c r="G4" s="115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111"/>
      <c r="Q4" s="111"/>
      <c r="R4" s="117"/>
    </row>
    <row r="5" spans="2:17" ht="15.75">
      <c r="B5" s="118" t="s">
        <v>63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</row>
    <row r="6" spans="1:18" ht="12.75">
      <c r="A6" s="57">
        <v>1</v>
      </c>
      <c r="B6" s="9" t="s">
        <v>524</v>
      </c>
      <c r="C6" s="9" t="s">
        <v>222</v>
      </c>
      <c r="D6" s="9" t="s">
        <v>223</v>
      </c>
      <c r="E6" s="9" t="str">
        <f>"0,6086"</f>
        <v>0,6086</v>
      </c>
      <c r="F6" s="9" t="s">
        <v>210</v>
      </c>
      <c r="G6" s="9" t="s">
        <v>211</v>
      </c>
      <c r="H6" s="21" t="s">
        <v>83</v>
      </c>
      <c r="I6" s="21" t="s">
        <v>104</v>
      </c>
      <c r="J6" s="54" t="s">
        <v>94</v>
      </c>
      <c r="K6" s="10"/>
      <c r="L6" s="21" t="s">
        <v>113</v>
      </c>
      <c r="M6" s="21" t="s">
        <v>99</v>
      </c>
      <c r="N6" s="54" t="s">
        <v>287</v>
      </c>
      <c r="O6" s="10"/>
      <c r="P6" s="44" t="s">
        <v>493</v>
      </c>
      <c r="Q6" s="27" t="str">
        <f>"261,6980"</f>
        <v>261,6980</v>
      </c>
      <c r="R6" s="9" t="s">
        <v>417</v>
      </c>
    </row>
    <row r="8" ht="15.75">
      <c r="F8" s="13"/>
    </row>
    <row r="9" ht="15.75">
      <c r="F9" s="13"/>
    </row>
    <row r="10" ht="15.75">
      <c r="F10" s="13"/>
    </row>
    <row r="11" ht="15.75">
      <c r="F11" s="13"/>
    </row>
    <row r="12" ht="15.75">
      <c r="F12" s="13" t="s">
        <v>619</v>
      </c>
    </row>
    <row r="13" ht="15.75">
      <c r="F13" s="13"/>
    </row>
    <row r="14" ht="15.75">
      <c r="F14" s="13"/>
    </row>
  </sheetData>
  <sheetProtection/>
  <mergeCells count="14">
    <mergeCell ref="R3:R4"/>
    <mergeCell ref="B5:Q5"/>
    <mergeCell ref="B1:R2"/>
    <mergeCell ref="B3:B4"/>
    <mergeCell ref="C3:C4"/>
    <mergeCell ref="D3:D4"/>
    <mergeCell ref="E3:E4"/>
    <mergeCell ref="F3:F4"/>
    <mergeCell ref="G3:G4"/>
    <mergeCell ref="H3:K3"/>
    <mergeCell ref="L3:O3"/>
    <mergeCell ref="A3:A4"/>
    <mergeCell ref="P3:P4"/>
    <mergeCell ref="Q3:Q4"/>
  </mergeCells>
  <printOptions/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0"/>
  <sheetViews>
    <sheetView workbookViewId="0" topLeftCell="A1">
      <selection activeCell="F25" sqref="F25"/>
    </sheetView>
  </sheetViews>
  <sheetFormatPr defaultColWidth="8.75390625" defaultRowHeight="12.75"/>
  <cols>
    <col min="1" max="1" width="9.125" style="57" customWidth="1"/>
    <col min="2" max="2" width="17.875" style="8" customWidth="1"/>
    <col min="3" max="3" width="24.375" style="8" customWidth="1"/>
    <col min="4" max="4" width="10.625" style="8" bestFit="1" customWidth="1"/>
    <col min="5" max="5" width="8.375" style="8" bestFit="1" customWidth="1"/>
    <col min="6" max="6" width="19.75390625" style="8" customWidth="1"/>
    <col min="7" max="7" width="24.625" style="8" customWidth="1"/>
    <col min="8" max="10" width="5.625" style="8" bestFit="1" customWidth="1"/>
    <col min="11" max="11" width="4.625" style="8" bestFit="1" customWidth="1"/>
    <col min="12" max="14" width="5.625" style="8" bestFit="1" customWidth="1"/>
    <col min="15" max="15" width="4.625" style="8" bestFit="1" customWidth="1"/>
    <col min="16" max="16" width="7.875" style="43" bestFit="1" customWidth="1"/>
    <col min="17" max="17" width="8.625" style="20" bestFit="1" customWidth="1"/>
    <col min="18" max="18" width="15.375" style="8" bestFit="1" customWidth="1"/>
  </cols>
  <sheetData>
    <row r="1" spans="1:18" s="1" customFormat="1" ht="15" customHeight="1">
      <c r="A1" s="50"/>
      <c r="B1" s="104" t="s">
        <v>620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6"/>
    </row>
    <row r="2" spans="1:18" s="1" customFormat="1" ht="98.25" customHeight="1" thickBot="1">
      <c r="A2" s="50"/>
      <c r="B2" s="107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9"/>
    </row>
    <row r="3" spans="1:18" s="2" customFormat="1" ht="12.75" customHeight="1">
      <c r="A3" s="101" t="s">
        <v>507</v>
      </c>
      <c r="B3" s="110" t="s">
        <v>0</v>
      </c>
      <c r="C3" s="112" t="s">
        <v>508</v>
      </c>
      <c r="D3" s="112" t="s">
        <v>509</v>
      </c>
      <c r="E3" s="110" t="s">
        <v>9</v>
      </c>
      <c r="F3" s="110" t="s">
        <v>7</v>
      </c>
      <c r="G3" s="114" t="s">
        <v>510</v>
      </c>
      <c r="H3" s="110" t="s">
        <v>2</v>
      </c>
      <c r="I3" s="110"/>
      <c r="J3" s="110"/>
      <c r="K3" s="110"/>
      <c r="L3" s="110" t="s">
        <v>3</v>
      </c>
      <c r="M3" s="110"/>
      <c r="N3" s="110"/>
      <c r="O3" s="110"/>
      <c r="P3" s="110" t="s">
        <v>4</v>
      </c>
      <c r="Q3" s="110" t="s">
        <v>6</v>
      </c>
      <c r="R3" s="116" t="s">
        <v>5</v>
      </c>
    </row>
    <row r="4" spans="1:18" s="2" customFormat="1" ht="21" customHeight="1" thickBot="1">
      <c r="A4" s="102"/>
      <c r="B4" s="111"/>
      <c r="C4" s="111"/>
      <c r="D4" s="113"/>
      <c r="E4" s="111"/>
      <c r="F4" s="111"/>
      <c r="G4" s="115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111"/>
      <c r="Q4" s="111"/>
      <c r="R4" s="117"/>
    </row>
    <row r="5" spans="2:17" ht="15.75">
      <c r="B5" s="118" t="s">
        <v>27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</row>
    <row r="6" spans="1:18" ht="12.75">
      <c r="A6" s="57">
        <v>1</v>
      </c>
      <c r="B6" s="9" t="s">
        <v>525</v>
      </c>
      <c r="C6" s="9" t="s">
        <v>42</v>
      </c>
      <c r="D6" s="9" t="s">
        <v>43</v>
      </c>
      <c r="E6" s="9" t="str">
        <f>"0,6963"</f>
        <v>0,6963</v>
      </c>
      <c r="F6" s="9" t="s">
        <v>14</v>
      </c>
      <c r="G6" s="9" t="s">
        <v>15</v>
      </c>
      <c r="H6" s="21" t="s">
        <v>151</v>
      </c>
      <c r="I6" s="21" t="s">
        <v>44</v>
      </c>
      <c r="J6" s="54" t="s">
        <v>284</v>
      </c>
      <c r="K6" s="10"/>
      <c r="L6" s="21" t="s">
        <v>48</v>
      </c>
      <c r="M6" s="21" t="s">
        <v>83</v>
      </c>
      <c r="N6" s="54" t="s">
        <v>104</v>
      </c>
      <c r="O6" s="10"/>
      <c r="P6" s="42" t="s">
        <v>393</v>
      </c>
      <c r="Q6" s="27" t="str">
        <f>"201,9270"</f>
        <v>201,9270</v>
      </c>
      <c r="R6" s="9" t="s">
        <v>177</v>
      </c>
    </row>
    <row r="8" spans="2:17" ht="15.75">
      <c r="B8" s="103" t="s">
        <v>45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</row>
    <row r="9" spans="1:18" ht="12.75">
      <c r="A9" s="57">
        <v>1</v>
      </c>
      <c r="B9" s="9" t="s">
        <v>514</v>
      </c>
      <c r="C9" s="9" t="s">
        <v>56</v>
      </c>
      <c r="D9" s="9" t="s">
        <v>57</v>
      </c>
      <c r="E9" s="9" t="str">
        <f>"0,6557"</f>
        <v>0,6557</v>
      </c>
      <c r="F9" s="9" t="s">
        <v>14</v>
      </c>
      <c r="G9" s="9" t="s">
        <v>15</v>
      </c>
      <c r="H9" s="21" t="s">
        <v>232</v>
      </c>
      <c r="I9" s="21" t="s">
        <v>58</v>
      </c>
      <c r="J9" s="54" t="s">
        <v>184</v>
      </c>
      <c r="K9" s="10"/>
      <c r="L9" s="21" t="s">
        <v>117</v>
      </c>
      <c r="M9" s="21" t="s">
        <v>113</v>
      </c>
      <c r="N9" s="21" t="s">
        <v>271</v>
      </c>
      <c r="O9" s="10"/>
      <c r="P9" s="42" t="s">
        <v>494</v>
      </c>
      <c r="Q9" s="27" t="str">
        <f>"239,3305"</f>
        <v>239,3305</v>
      </c>
      <c r="R9" s="9" t="s">
        <v>177</v>
      </c>
    </row>
    <row r="11" spans="2:17" ht="15.75">
      <c r="B11" s="103" t="s">
        <v>66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</row>
    <row r="12" spans="1:18" ht="12.75">
      <c r="A12" s="57">
        <v>1</v>
      </c>
      <c r="B12" s="9" t="s">
        <v>526</v>
      </c>
      <c r="C12" s="9" t="s">
        <v>85</v>
      </c>
      <c r="D12" s="9" t="s">
        <v>86</v>
      </c>
      <c r="E12" s="9" t="str">
        <f>"0,5902"</f>
        <v>0,5902</v>
      </c>
      <c r="F12" s="9" t="s">
        <v>14</v>
      </c>
      <c r="G12" s="9" t="s">
        <v>15</v>
      </c>
      <c r="H12" s="21" t="s">
        <v>32</v>
      </c>
      <c r="I12" s="21" t="s">
        <v>33</v>
      </c>
      <c r="J12" s="21" t="s">
        <v>48</v>
      </c>
      <c r="K12" s="10"/>
      <c r="L12" s="21" t="s">
        <v>76</v>
      </c>
      <c r="M12" s="21" t="s">
        <v>114</v>
      </c>
      <c r="N12" s="21" t="s">
        <v>99</v>
      </c>
      <c r="O12" s="10"/>
      <c r="P12" s="42" t="s">
        <v>495</v>
      </c>
      <c r="Q12" s="27" t="str">
        <f>"241,9820"</f>
        <v>241,9820</v>
      </c>
      <c r="R12" s="9" t="s">
        <v>177</v>
      </c>
    </row>
    <row r="14" ht="15.75">
      <c r="F14" s="13"/>
    </row>
    <row r="15" ht="15.75">
      <c r="F15" s="13"/>
    </row>
    <row r="16" ht="15.75">
      <c r="F16" s="13"/>
    </row>
    <row r="17" ht="15.75">
      <c r="F17" s="13"/>
    </row>
    <row r="18" ht="15.75">
      <c r="F18" s="13"/>
    </row>
    <row r="19" ht="15.75">
      <c r="F19" s="13"/>
    </row>
    <row r="20" ht="15.75">
      <c r="F20" s="13"/>
    </row>
  </sheetData>
  <sheetProtection/>
  <mergeCells count="16">
    <mergeCell ref="F3:F4"/>
    <mergeCell ref="G3:G4"/>
    <mergeCell ref="H3:K3"/>
    <mergeCell ref="L3:O3"/>
    <mergeCell ref="P3:P4"/>
    <mergeCell ref="Q3:Q4"/>
    <mergeCell ref="A3:A4"/>
    <mergeCell ref="R3:R4"/>
    <mergeCell ref="B5:Q5"/>
    <mergeCell ref="B8:Q8"/>
    <mergeCell ref="B11:Q11"/>
    <mergeCell ref="B1:R2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F18" sqref="F18"/>
    </sheetView>
  </sheetViews>
  <sheetFormatPr defaultColWidth="8.75390625" defaultRowHeight="12.75"/>
  <cols>
    <col min="1" max="1" width="9.125" style="57" customWidth="1"/>
    <col min="2" max="2" width="21.875" style="8" customWidth="1"/>
    <col min="3" max="3" width="26.00390625" style="8" bestFit="1" customWidth="1"/>
    <col min="4" max="4" width="10.625" style="8" bestFit="1" customWidth="1"/>
    <col min="5" max="5" width="8.375" style="8" bestFit="1" customWidth="1"/>
    <col min="6" max="6" width="22.75390625" style="8" bestFit="1" customWidth="1"/>
    <col min="7" max="7" width="26.125" style="8" customWidth="1"/>
    <col min="8" max="10" width="5.625" style="45" bestFit="1" customWidth="1"/>
    <col min="11" max="11" width="4.625" style="45" bestFit="1" customWidth="1"/>
    <col min="12" max="12" width="13.00390625" style="45" customWidth="1"/>
    <col min="13" max="13" width="8.625" style="8" bestFit="1" customWidth="1"/>
    <col min="14" max="14" width="15.375" style="8" bestFit="1" customWidth="1"/>
  </cols>
  <sheetData>
    <row r="1" spans="1:14" s="1" customFormat="1" ht="15" customHeight="1">
      <c r="A1" s="50"/>
      <c r="B1" s="104" t="s">
        <v>613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spans="1:14" s="1" customFormat="1" ht="114.75" customHeight="1" thickBot="1">
      <c r="A2" s="50"/>
      <c r="B2" s="107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</row>
    <row r="3" spans="1:14" s="2" customFormat="1" ht="12.75" customHeight="1">
      <c r="A3" s="101" t="s">
        <v>507</v>
      </c>
      <c r="B3" s="110" t="s">
        <v>0</v>
      </c>
      <c r="C3" s="112" t="s">
        <v>508</v>
      </c>
      <c r="D3" s="112" t="s">
        <v>509</v>
      </c>
      <c r="E3" s="110" t="s">
        <v>9</v>
      </c>
      <c r="F3" s="110" t="s">
        <v>7</v>
      </c>
      <c r="G3" s="114" t="s">
        <v>510</v>
      </c>
      <c r="H3" s="110" t="s">
        <v>1</v>
      </c>
      <c r="I3" s="110"/>
      <c r="J3" s="110"/>
      <c r="K3" s="110"/>
      <c r="L3" s="110" t="s">
        <v>506</v>
      </c>
      <c r="M3" s="110" t="s">
        <v>6</v>
      </c>
      <c r="N3" s="116" t="s">
        <v>5</v>
      </c>
    </row>
    <row r="4" spans="1:14" s="2" customFormat="1" ht="21" customHeight="1" thickBot="1">
      <c r="A4" s="102"/>
      <c r="B4" s="111"/>
      <c r="C4" s="111"/>
      <c r="D4" s="113"/>
      <c r="E4" s="111"/>
      <c r="F4" s="111"/>
      <c r="G4" s="115"/>
      <c r="H4" s="3">
        <v>1</v>
      </c>
      <c r="I4" s="3">
        <v>2</v>
      </c>
      <c r="J4" s="3">
        <v>3</v>
      </c>
      <c r="K4" s="3" t="s">
        <v>8</v>
      </c>
      <c r="L4" s="111"/>
      <c r="M4" s="111"/>
      <c r="N4" s="117"/>
    </row>
    <row r="5" spans="2:13" ht="15.75">
      <c r="B5" s="118" t="s">
        <v>19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</row>
    <row r="6" spans="1:14" ht="12.75">
      <c r="A6" s="57">
        <v>1</v>
      </c>
      <c r="B6" s="9" t="s">
        <v>511</v>
      </c>
      <c r="C6" s="9" t="s">
        <v>153</v>
      </c>
      <c r="D6" s="9" t="s">
        <v>154</v>
      </c>
      <c r="E6" s="9" t="str">
        <f>"1,0551"</f>
        <v>1,0551</v>
      </c>
      <c r="F6" s="9" t="s">
        <v>14</v>
      </c>
      <c r="G6" s="9" t="s">
        <v>15</v>
      </c>
      <c r="H6" s="25" t="s">
        <v>162</v>
      </c>
      <c r="I6" s="25" t="s">
        <v>142</v>
      </c>
      <c r="J6" s="25" t="s">
        <v>171</v>
      </c>
      <c r="K6" s="56"/>
      <c r="L6" s="44" t="s">
        <v>171</v>
      </c>
      <c r="M6" s="9" t="str">
        <f>"100,2345"</f>
        <v>100,2345</v>
      </c>
      <c r="N6" s="9" t="s">
        <v>177</v>
      </c>
    </row>
    <row r="8" spans="2:13" ht="15.75">
      <c r="B8" s="103" t="s">
        <v>45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</row>
    <row r="9" spans="1:14" ht="12.75">
      <c r="A9" s="57">
        <v>1</v>
      </c>
      <c r="B9" s="9" t="s">
        <v>512</v>
      </c>
      <c r="C9" s="9" t="s">
        <v>332</v>
      </c>
      <c r="D9" s="9" t="s">
        <v>209</v>
      </c>
      <c r="E9" s="9" t="str">
        <f>"0,6503"</f>
        <v>0,6503</v>
      </c>
      <c r="F9" s="9" t="s">
        <v>22</v>
      </c>
      <c r="G9" s="9" t="s">
        <v>333</v>
      </c>
      <c r="H9" s="25" t="s">
        <v>264</v>
      </c>
      <c r="I9" s="56"/>
      <c r="J9" s="56"/>
      <c r="K9" s="56"/>
      <c r="L9" s="44" t="s">
        <v>264</v>
      </c>
      <c r="M9" s="9" t="str">
        <f>"139,8145"</f>
        <v>139,8145</v>
      </c>
      <c r="N9" s="9" t="s">
        <v>177</v>
      </c>
    </row>
    <row r="11" spans="2:13" ht="15.75">
      <c r="B11" s="103" t="s">
        <v>66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</row>
    <row r="12" spans="1:14" ht="12.75">
      <c r="A12" s="57">
        <v>1</v>
      </c>
      <c r="B12" s="9" t="s">
        <v>513</v>
      </c>
      <c r="C12" s="9" t="s">
        <v>356</v>
      </c>
      <c r="D12" s="9" t="s">
        <v>357</v>
      </c>
      <c r="E12" s="9" t="str">
        <f>"0,5893"</f>
        <v>0,5893</v>
      </c>
      <c r="F12" s="9" t="s">
        <v>14</v>
      </c>
      <c r="G12" s="9" t="s">
        <v>15</v>
      </c>
      <c r="H12" s="25" t="s">
        <v>287</v>
      </c>
      <c r="I12" s="25" t="s">
        <v>338</v>
      </c>
      <c r="J12" s="25" t="s">
        <v>339</v>
      </c>
      <c r="K12" s="56"/>
      <c r="L12" s="44" t="s">
        <v>339</v>
      </c>
      <c r="M12" s="9" t="str">
        <f>"167,9505"</f>
        <v>167,9505</v>
      </c>
      <c r="N12" s="9" t="s">
        <v>177</v>
      </c>
    </row>
    <row r="14" ht="15.75">
      <c r="F14" s="13"/>
    </row>
    <row r="15" ht="15.75">
      <c r="F15" s="13"/>
    </row>
    <row r="16" ht="15.75">
      <c r="F16" s="13"/>
    </row>
    <row r="17" ht="15.75">
      <c r="F17" s="13"/>
    </row>
    <row r="18" ht="15.75">
      <c r="F18" s="13"/>
    </row>
    <row r="19" ht="15.75">
      <c r="F19" s="13"/>
    </row>
    <row r="20" ht="15.75">
      <c r="F20" s="13"/>
    </row>
    <row r="22" spans="2:3" ht="18">
      <c r="B22" s="14"/>
      <c r="C22" s="14"/>
    </row>
    <row r="23" spans="2:3" ht="15.75">
      <c r="B23" s="15"/>
      <c r="C23" s="15"/>
    </row>
    <row r="24" spans="2:3" ht="13.5">
      <c r="B24" s="17"/>
      <c r="C24" s="18"/>
    </row>
    <row r="25" spans="2:6" ht="12.75">
      <c r="B25" s="16"/>
      <c r="F25" s="20"/>
    </row>
  </sheetData>
  <sheetProtection/>
  <mergeCells count="15">
    <mergeCell ref="H3:K3"/>
    <mergeCell ref="L3:L4"/>
    <mergeCell ref="M3:M4"/>
    <mergeCell ref="N3:N4"/>
    <mergeCell ref="B5:M5"/>
    <mergeCell ref="A3:A4"/>
    <mergeCell ref="B8:M8"/>
    <mergeCell ref="B11:M11"/>
    <mergeCell ref="B1:N2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Сергей Длужневский</cp:lastModifiedBy>
  <cp:lastPrinted>2015-07-16T19:10:53Z</cp:lastPrinted>
  <dcterms:created xsi:type="dcterms:W3CDTF">2002-06-16T13:36:44Z</dcterms:created>
  <dcterms:modified xsi:type="dcterms:W3CDTF">2016-11-23T13:58:06Z</dcterms:modified>
  <cp:category/>
  <cp:version/>
  <cp:contentType/>
  <cp:contentStatus/>
</cp:coreProperties>
</file>