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25" yWindow="135" windowWidth="11340" windowHeight="9705" activeTab="0"/>
  </bookViews>
  <sheets>
    <sheet name="Пауэрлифтинг без экипировки ДК" sheetId="1" r:id="rId1"/>
    <sheet name="Пауэрлифтинг без экипировки" sheetId="2" r:id="rId2"/>
    <sheet name="Пауэрлифтинг в бинтах ДК" sheetId="3" r:id="rId3"/>
    <sheet name="Пауэрлифтинг в бинтах" sheetId="4" r:id="rId4"/>
    <sheet name="Пауэрлифтинг в однослойной экип" sheetId="5" r:id="rId5"/>
    <sheet name="Присед без экипировки" sheetId="6" r:id="rId6"/>
    <sheet name="Присед без экипировки ДК" sheetId="7" r:id="rId7"/>
    <sheet name="Присед в бинтах" sheetId="8" r:id="rId8"/>
    <sheet name="Жим лежа в односл. экипировкеДК" sheetId="9" r:id="rId9"/>
    <sheet name="Жим лежа в однослойной экипиров" sheetId="10" r:id="rId10"/>
    <sheet name="Жим лежа без экипировки ДК" sheetId="11" r:id="rId11"/>
    <sheet name="Жим лежа без экипировки" sheetId="12" r:id="rId12"/>
    <sheet name="Жим лежа в SOFT экипировке" sheetId="13" r:id="rId13"/>
    <sheet name="Пауэрспорт" sheetId="14" r:id="rId14"/>
    <sheet name="Пауэрспорт ДК" sheetId="15" r:id="rId15"/>
    <sheet name="Народный жим 1 вес" sheetId="16" r:id="rId16"/>
    <sheet name="Народный жим 1_2 вес ДК" sheetId="17" r:id="rId17"/>
    <sheet name="Народный жим 1 вес ДК" sheetId="18" r:id="rId18"/>
    <sheet name="Становая тяга без экипировки ДК" sheetId="19" r:id="rId19"/>
    <sheet name="Становая тяга без экипировки" sheetId="20" r:id="rId20"/>
    <sheet name="Становая тяга в экипировке" sheetId="21" r:id="rId21"/>
    <sheet name="Apollon's Axle" sheetId="22" r:id="rId22"/>
    <sheet name="Rolling Thunder" sheetId="23" r:id="rId23"/>
    <sheet name="Grip block" sheetId="24" r:id="rId24"/>
  </sheets>
  <definedNames/>
  <calcPr fullCalcOnLoad="1"/>
</workbook>
</file>

<file path=xl/sharedStrings.xml><?xml version="1.0" encoding="utf-8"?>
<sst xmlns="http://schemas.openxmlformats.org/spreadsheetml/2006/main" count="1852" uniqueCount="537">
  <si>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</si>
  <si>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</si>
  <si>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</si>
  <si>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</si>
  <si>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</si>
  <si>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</si>
  <si>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</si>
  <si>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</si>
  <si>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</si>
  <si>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</si>
  <si>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82.5</t>
  </si>
  <si>
    <t>Осадчая Екатерина</t>
  </si>
  <si>
    <t>Open (22.03.1983)/33</t>
  </si>
  <si>
    <t xml:space="preserve">Лично </t>
  </si>
  <si>
    <t xml:space="preserve">Самара/Самарская область </t>
  </si>
  <si>
    <t>65,0</t>
  </si>
  <si>
    <t>70,0</t>
  </si>
  <si>
    <t>ВЕСОВАЯ КАТЕГОРИЯ   75</t>
  </si>
  <si>
    <t>Гугняков Александр</t>
  </si>
  <si>
    <t>Masters 40-44 (17.09.1974)/42</t>
  </si>
  <si>
    <t xml:space="preserve">спортзавод </t>
  </si>
  <si>
    <t>150,0</t>
  </si>
  <si>
    <t>155,0</t>
  </si>
  <si>
    <t>Винокуров Олег</t>
  </si>
  <si>
    <t>Masters 50-54 (10.05.1966)/50</t>
  </si>
  <si>
    <t>110,0</t>
  </si>
  <si>
    <t>115,0</t>
  </si>
  <si>
    <t>117,5</t>
  </si>
  <si>
    <t>Masters 75-79 (25.12.1938)/77</t>
  </si>
  <si>
    <t>60,0</t>
  </si>
  <si>
    <t>Плотников Владимир</t>
  </si>
  <si>
    <t>Open (24.06.1981)/35</t>
  </si>
  <si>
    <t>160,0</t>
  </si>
  <si>
    <t>165,0</t>
  </si>
  <si>
    <t>167,5</t>
  </si>
  <si>
    <t>ВЕСОВАЯ КАТЕГОРИЯ   90</t>
  </si>
  <si>
    <t>Сулейманов Расим</t>
  </si>
  <si>
    <t>Juniors 20-23 (28.07.1993)/23</t>
  </si>
  <si>
    <t xml:space="preserve">Казань/Татарстан </t>
  </si>
  <si>
    <t>122,5</t>
  </si>
  <si>
    <t>125,0</t>
  </si>
  <si>
    <t>Гусейнов Игорь</t>
  </si>
  <si>
    <t>Open (06.05.1988)/28</t>
  </si>
  <si>
    <t>175,0</t>
  </si>
  <si>
    <t>Липатов Дмитрий</t>
  </si>
  <si>
    <t>Open (14.12.1986)/29</t>
  </si>
  <si>
    <t>135,0</t>
  </si>
  <si>
    <t>145,0</t>
  </si>
  <si>
    <t>ВЕСОВАЯ КАТЕГОРИЯ   100</t>
  </si>
  <si>
    <t>Нефёдов Михаил</t>
  </si>
  <si>
    <t>Masters 80up (07.05.1972)/44</t>
  </si>
  <si>
    <t>180,0</t>
  </si>
  <si>
    <t>190,0</t>
  </si>
  <si>
    <t>200,0</t>
  </si>
  <si>
    <t>ВЕСОВАЯ КАТЕГОРИЯ   110</t>
  </si>
  <si>
    <t>Кулагин Андрей</t>
  </si>
  <si>
    <t>Open (16.09.1978)/38</t>
  </si>
  <si>
    <t xml:space="preserve">Планета Фитнес </t>
  </si>
  <si>
    <t>217,5</t>
  </si>
  <si>
    <t>222,5</t>
  </si>
  <si>
    <t>225,0</t>
  </si>
  <si>
    <t>Шатохин Юрий</t>
  </si>
  <si>
    <t>Open (23.01.1987)/29</t>
  </si>
  <si>
    <t xml:space="preserve">Новокуйбышевск/Самарская область </t>
  </si>
  <si>
    <t>172,5</t>
  </si>
  <si>
    <t>Магер Дмитрий</t>
  </si>
  <si>
    <t>Open (19.07.1989)/27</t>
  </si>
  <si>
    <t>140,0</t>
  </si>
  <si>
    <t>Абдулов Шамиль</t>
  </si>
  <si>
    <t>Masters 45-49 (28.09.1968)/48</t>
  </si>
  <si>
    <t>162,5</t>
  </si>
  <si>
    <t>170,0</t>
  </si>
  <si>
    <t>ВЕСОВАЯ КАТЕГОРИЯ   125</t>
  </si>
  <si>
    <t>Потапов Денис</t>
  </si>
  <si>
    <t>Open (05.02.1990)/26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</si>
  <si>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</si>
  <si>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</si>
  <si>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</si>
  <si>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</si>
  <si>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</si>
  <si>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</si>
  <si>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</si>
  <si>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82.5 </t>
  </si>
  <si>
    <t xml:space="preserve">Мужчины </t>
  </si>
  <si>
    <t xml:space="preserve">90 </t>
  </si>
  <si>
    <t>132,9750</t>
  </si>
  <si>
    <t>112,5630</t>
  </si>
  <si>
    <t>112,0350</t>
  </si>
  <si>
    <t>ВЕСОВАЯ КАТЕГОРИЯ   48</t>
  </si>
  <si>
    <t>Рогова Наталья</t>
  </si>
  <si>
    <t>Open (03.08.1982)/34</t>
  </si>
  <si>
    <t xml:space="preserve">Русская Сталь </t>
  </si>
  <si>
    <t>40,0</t>
  </si>
  <si>
    <t>45,0</t>
  </si>
  <si>
    <t>50,0</t>
  </si>
  <si>
    <t>ВЕСОВАЯ КАТЕГОРИЯ   60</t>
  </si>
  <si>
    <t>Лимина Татьяна</t>
  </si>
  <si>
    <t>Open (02.12.1987)/28</t>
  </si>
  <si>
    <t>67,5</t>
  </si>
  <si>
    <t>Лукьянов Валерий</t>
  </si>
  <si>
    <t>Teenage 15-19 (17.07.1999)/17</t>
  </si>
  <si>
    <t>Пеньков Борис</t>
  </si>
  <si>
    <t>Juniors 20-23 (30.04.1994)/22</t>
  </si>
  <si>
    <t>100,0</t>
  </si>
  <si>
    <t>Парамонов Александр</t>
  </si>
  <si>
    <t>Juniors 20-23 (27.01.1994)/22</t>
  </si>
  <si>
    <t xml:space="preserve">витамин </t>
  </si>
  <si>
    <t>Денисов Денис</t>
  </si>
  <si>
    <t>Juniors 20-23 (14.01.1993)/23</t>
  </si>
  <si>
    <t>90,0</t>
  </si>
  <si>
    <t>105,0</t>
  </si>
  <si>
    <t>Севрюков Евгений</t>
  </si>
  <si>
    <t>Open (08.07.1991)/25</t>
  </si>
  <si>
    <t xml:space="preserve">Сорочинск/Оренбургская область </t>
  </si>
  <si>
    <t>Гордеев Александр</t>
  </si>
  <si>
    <t>Open (26.07.1989)/27</t>
  </si>
  <si>
    <t>120,0</t>
  </si>
  <si>
    <t>Юнусов Наиль</t>
  </si>
  <si>
    <t xml:space="preserve">Богатыри </t>
  </si>
  <si>
    <t>Усанкин Роман</t>
  </si>
  <si>
    <t>Teenage 15-19 (16.08.1999)/17</t>
  </si>
  <si>
    <t>Семеньков Дмитрий</t>
  </si>
  <si>
    <t>Teenage 15-19 (15.08.2000)/16</t>
  </si>
  <si>
    <t>127,5</t>
  </si>
  <si>
    <t>Габидуллин Александр</t>
  </si>
  <si>
    <t>Teenage 15-19 (06.09.1999)/17</t>
  </si>
  <si>
    <t>107,5</t>
  </si>
  <si>
    <t>112,5</t>
  </si>
  <si>
    <t>Михнюк Кирилл</t>
  </si>
  <si>
    <t>Juniors 20-23 (15.10.1994)/21</t>
  </si>
  <si>
    <t xml:space="preserve">Челябинск/Челябинская область </t>
  </si>
  <si>
    <t>Самигулов Дамир</t>
  </si>
  <si>
    <t>Juniors 20-23 (17.09.1993)/23</t>
  </si>
  <si>
    <t>130,0</t>
  </si>
  <si>
    <t>137,5</t>
  </si>
  <si>
    <t xml:space="preserve">Тресков Виктор </t>
  </si>
  <si>
    <t>Гордеев Борис</t>
  </si>
  <si>
    <t>Open (25.08.1981)/35</t>
  </si>
  <si>
    <t xml:space="preserve">На пульсе жизни </t>
  </si>
  <si>
    <t>Смородин Михаил</t>
  </si>
  <si>
    <t>Open (13.07.1980)/36</t>
  </si>
  <si>
    <t>147,5</t>
  </si>
  <si>
    <t>Кащеев Семён</t>
  </si>
  <si>
    <t>Open (28.03.1990)/26</t>
  </si>
  <si>
    <t>Трошинский Вячеслав</t>
  </si>
  <si>
    <t>Masters 55-59 (10.05.1960)/56</t>
  </si>
  <si>
    <t xml:space="preserve">физкультура </t>
  </si>
  <si>
    <t>Рыков Александр</t>
  </si>
  <si>
    <t>Juniors 20-23 (18.09.1994)/22</t>
  </si>
  <si>
    <t xml:space="preserve">Нефтегорск/Самарская область </t>
  </si>
  <si>
    <t>Мазитов Александр</t>
  </si>
  <si>
    <t>Open (27.01.1991)/25</t>
  </si>
  <si>
    <t>132,5</t>
  </si>
  <si>
    <t>Бондарев Константин</t>
  </si>
  <si>
    <t>Open (21.11.1981)/34</t>
  </si>
  <si>
    <t>Рашидов Таир</t>
  </si>
  <si>
    <t>Masters 45-49 (12.01.1969)/47</t>
  </si>
  <si>
    <t xml:space="preserve">Поздняков </t>
  </si>
  <si>
    <t>Тресков Виктор</t>
  </si>
  <si>
    <t>Masters 45-49 (06.01.1971)/45</t>
  </si>
  <si>
    <t>Вилинский Александр</t>
  </si>
  <si>
    <t>Open (12.10.1988)/27</t>
  </si>
  <si>
    <t>185,0</t>
  </si>
  <si>
    <t>195,0</t>
  </si>
  <si>
    <t>Хитрин Дмитрий</t>
  </si>
  <si>
    <t>Open (26.02.1977)/39</t>
  </si>
  <si>
    <t>Насретдинов Руслан</t>
  </si>
  <si>
    <t>Open (28.05.1990)/26</t>
  </si>
  <si>
    <t>Парамзин Иван</t>
  </si>
  <si>
    <t>Open (11.12.1989)/26</t>
  </si>
  <si>
    <t>142,5</t>
  </si>
  <si>
    <t>Чурбанов Сергей</t>
  </si>
  <si>
    <t>Open (10.01.1987)/29</t>
  </si>
  <si>
    <t>192,5</t>
  </si>
  <si>
    <t>202,5</t>
  </si>
  <si>
    <t>119,0085</t>
  </si>
  <si>
    <t>117,5200</t>
  </si>
  <si>
    <t>110,0715</t>
  </si>
  <si>
    <t>Ососков Вадим</t>
  </si>
  <si>
    <t>Open (20.02.1973)/43</t>
  </si>
  <si>
    <t>190,0o</t>
  </si>
  <si>
    <t>Яковлев Максим</t>
  </si>
  <si>
    <t>Open (17.06.1982)/34</t>
  </si>
  <si>
    <t>205,0</t>
  </si>
  <si>
    <t>Финк Владислав</t>
  </si>
  <si>
    <t>Open (05.05.1977)/39</t>
  </si>
  <si>
    <t xml:space="preserve">Виктория </t>
  </si>
  <si>
    <t xml:space="preserve">Тольятти/Самарская область </t>
  </si>
  <si>
    <t>Василенко Алексей</t>
  </si>
  <si>
    <t>Open (10.10.1989)/26</t>
  </si>
  <si>
    <t xml:space="preserve">Уфа/Башкортостан </t>
  </si>
  <si>
    <t>Михайлов Борис</t>
  </si>
  <si>
    <t>Open (20.08.1985)/31</t>
  </si>
  <si>
    <t>250,0</t>
  </si>
  <si>
    <t>265,0</t>
  </si>
  <si>
    <t>230,0</t>
  </si>
  <si>
    <t>257,5</t>
  </si>
  <si>
    <t>Габдрахманов Булат</t>
  </si>
  <si>
    <t>Open (08.04.1990)/26</t>
  </si>
  <si>
    <t>352,5</t>
  </si>
  <si>
    <t>370,0</t>
  </si>
  <si>
    <t>Асафьев Михал</t>
  </si>
  <si>
    <t>Open (03.11.1990)/25</t>
  </si>
  <si>
    <t>187,5</t>
  </si>
  <si>
    <t>ВЕСОВАЯ КАТЕГОРИЯ   67.5</t>
  </si>
  <si>
    <t>Фешин Глеб</t>
  </si>
  <si>
    <t>Teenage 15-19 (01.02.2001)/15</t>
  </si>
  <si>
    <t>95,0</t>
  </si>
  <si>
    <t>62,5</t>
  </si>
  <si>
    <t>Попов Сергей</t>
  </si>
  <si>
    <t>Juniors 20-23 (15.08.1995)/21</t>
  </si>
  <si>
    <t>210,0</t>
  </si>
  <si>
    <t>215,0</t>
  </si>
  <si>
    <t>Столбова Гульназ</t>
  </si>
  <si>
    <t>Open (19.08.1980)/36</t>
  </si>
  <si>
    <t>80,0</t>
  </si>
  <si>
    <t>ВЕСОВАЯ КАТЕГОРИЯ   56</t>
  </si>
  <si>
    <t>Кудашова Арина</t>
  </si>
  <si>
    <t>Teenage 15-19 (21.01.2002)/14</t>
  </si>
  <si>
    <t>30,0</t>
  </si>
  <si>
    <t>32,5</t>
  </si>
  <si>
    <t>37,5</t>
  </si>
  <si>
    <t>Лазутина Кристина</t>
  </si>
  <si>
    <t>Open (09.10.1991)/24</t>
  </si>
  <si>
    <t>87,5</t>
  </si>
  <si>
    <t>42,5</t>
  </si>
  <si>
    <t>47,5</t>
  </si>
  <si>
    <t>Тычук Юлия</t>
  </si>
  <si>
    <t>Open (24.03.1987)/29</t>
  </si>
  <si>
    <t>85,0</t>
  </si>
  <si>
    <t>Кретов Вадим</t>
  </si>
  <si>
    <t>Teenage 15-19 (07.12.1999)/16</t>
  </si>
  <si>
    <t>Дрязгов Ярослав</t>
  </si>
  <si>
    <t>Teenage 15-19 (25.07.1998)/18</t>
  </si>
  <si>
    <t>75,0</t>
  </si>
  <si>
    <t>177,5</t>
  </si>
  <si>
    <t>Доровских Вячеслав</t>
  </si>
  <si>
    <t>Juniors 20-23 (29.01.1995)/21</t>
  </si>
  <si>
    <t>Новопашин Кирилл</t>
  </si>
  <si>
    <t>Open (27.12.1991)/24</t>
  </si>
  <si>
    <t>220,0</t>
  </si>
  <si>
    <t>240,0</t>
  </si>
  <si>
    <t>Усманов Ринат</t>
  </si>
  <si>
    <t>Open (21.07.1988)/28</t>
  </si>
  <si>
    <t>212,5</t>
  </si>
  <si>
    <t>Лебедев Станислав</t>
  </si>
  <si>
    <t>Open (30.01.1986)/30</t>
  </si>
  <si>
    <t>Мяги Владислав</t>
  </si>
  <si>
    <t>Teenage 15-19 (25.05.1999)/17</t>
  </si>
  <si>
    <t>555,0</t>
  </si>
  <si>
    <t>376,8450</t>
  </si>
  <si>
    <t>545,0</t>
  </si>
  <si>
    <t>373,8700</t>
  </si>
  <si>
    <t>460,0</t>
  </si>
  <si>
    <t>296,4240</t>
  </si>
  <si>
    <t>Усимов Павел</t>
  </si>
  <si>
    <t>Open (23.07.1985)/31</t>
  </si>
  <si>
    <t>Атаев Владислав</t>
  </si>
  <si>
    <t>Open (14.08.1980)/36</t>
  </si>
  <si>
    <t xml:space="preserve">Кинель/Самарская область </t>
  </si>
  <si>
    <t>260,0</t>
  </si>
  <si>
    <t>Решетов Дмитрий</t>
  </si>
  <si>
    <t>Open (05.06.1978)/38</t>
  </si>
  <si>
    <t>280,0</t>
  </si>
  <si>
    <t>Зайцев Владимир</t>
  </si>
  <si>
    <t>Masters 65-69 (02.11.1949)/66</t>
  </si>
  <si>
    <t>Бойкин Виктор</t>
  </si>
  <si>
    <t>Teenage 15-19 (29.05.1999)/17</t>
  </si>
  <si>
    <t>Цыганков Станислав</t>
  </si>
  <si>
    <t>Open (28.10.1985)/30</t>
  </si>
  <si>
    <t>235,0</t>
  </si>
  <si>
    <t>Пушило Алексей</t>
  </si>
  <si>
    <t>Juniors 20-23 (11.03.1993)/23</t>
  </si>
  <si>
    <t>Синчугова Алла</t>
  </si>
  <si>
    <t>Open (24.05.1989)/27</t>
  </si>
  <si>
    <t>Фурсова Юлия</t>
  </si>
  <si>
    <t>Open (13.11.1987)/28</t>
  </si>
  <si>
    <t>Кнутова Татьяна</t>
  </si>
  <si>
    <t>Masters 40-44 (16.06.1972)/44</t>
  </si>
  <si>
    <t>72,5</t>
  </si>
  <si>
    <t>77,5</t>
  </si>
  <si>
    <t>Open (29.01.1995)/21</t>
  </si>
  <si>
    <t>Горбунов Павел</t>
  </si>
  <si>
    <t>Open (14.05.1984)/32</t>
  </si>
  <si>
    <t>ВЕСОВАЯ КАТЕГОРИЯ   140</t>
  </si>
  <si>
    <t>Шереметьев Даниил</t>
  </si>
  <si>
    <t>Open (28.08.1990)/26</t>
  </si>
  <si>
    <t xml:space="preserve">Самостоятельно </t>
  </si>
  <si>
    <t>Климас Марина</t>
  </si>
  <si>
    <t>Open (06.04.1973)/43</t>
  </si>
  <si>
    <t>Трошинский Михаил</t>
  </si>
  <si>
    <t>Open (28.10.1984)/31</t>
  </si>
  <si>
    <t>55,0</t>
  </si>
  <si>
    <t>Зайцев Дмитрий</t>
  </si>
  <si>
    <t>Open (21.10.1986)/29</t>
  </si>
  <si>
    <t>Место</t>
  </si>
  <si>
    <t>Возрастная группа
Дата рождения/Возраст</t>
  </si>
  <si>
    <t>Собств. вес</t>
  </si>
  <si>
    <t>Город/область</t>
  </si>
  <si>
    <t>Результат</t>
  </si>
  <si>
    <t>88,5</t>
  </si>
  <si>
    <t>45,4</t>
  </si>
  <si>
    <t>67,4</t>
  </si>
  <si>
    <t>95,7</t>
  </si>
  <si>
    <t>62,9</t>
  </si>
  <si>
    <t>73,8</t>
  </si>
  <si>
    <t>89,4</t>
  </si>
  <si>
    <t>124,1</t>
  </si>
  <si>
    <t>81,8</t>
  </si>
  <si>
    <t>80,9</t>
  </si>
  <si>
    <t>89,6</t>
  </si>
  <si>
    <t>89,0</t>
  </si>
  <si>
    <t>105,2</t>
  </si>
  <si>
    <t>47,4</t>
  </si>
  <si>
    <t>53,8</t>
  </si>
  <si>
    <t>63,0</t>
  </si>
  <si>
    <t>61,6</t>
  </si>
  <si>
    <t>70,4</t>
  </si>
  <si>
    <t>73,4</t>
  </si>
  <si>
    <t>73,9</t>
  </si>
  <si>
    <t>80,7</t>
  </si>
  <si>
    <t>79,4</t>
  </si>
  <si>
    <t>88,4</t>
  </si>
  <si>
    <t>113,4</t>
  </si>
  <si>
    <t>65,5</t>
  </si>
  <si>
    <t>85,2</t>
  </si>
  <si>
    <t>96,2</t>
  </si>
  <si>
    <t>74,5</t>
  </si>
  <si>
    <t>94,7</t>
  </si>
  <si>
    <t>81,0</t>
  </si>
  <si>
    <t>87,6</t>
  </si>
  <si>
    <t>98,9</t>
  </si>
  <si>
    <t>115,7</t>
  </si>
  <si>
    <t>47,6</t>
  </si>
  <si>
    <t>56,7</t>
  </si>
  <si>
    <t>77,2</t>
  </si>
  <si>
    <t>78,2</t>
  </si>
  <si>
    <t>79,5</t>
  </si>
  <si>
    <t>82,1</t>
  </si>
  <si>
    <t>80,1</t>
  </si>
  <si>
    <t>81,5</t>
  </si>
  <si>
    <t>88,2</t>
  </si>
  <si>
    <t>99,3</t>
  </si>
  <si>
    <t>98,6</t>
  </si>
  <si>
    <t>96,6</t>
  </si>
  <si>
    <t>106,4</t>
  </si>
  <si>
    <t>123,0</t>
  </si>
  <si>
    <t>73,3</t>
  </si>
  <si>
    <t>71,9</t>
  </si>
  <si>
    <t>74,3</t>
  </si>
  <si>
    <t>73,1</t>
  </si>
  <si>
    <t>74,8</t>
  </si>
  <si>
    <t>74,2</t>
  </si>
  <si>
    <t>84,1</t>
  </si>
  <si>
    <t>89,5</t>
  </si>
  <si>
    <t>86,6</t>
  </si>
  <si>
    <t>108,5</t>
  </si>
  <si>
    <t>101,2</t>
  </si>
  <si>
    <t>106,0</t>
  </si>
  <si>
    <t>111,2</t>
  </si>
  <si>
    <t>1</t>
  </si>
  <si>
    <t>2</t>
  </si>
  <si>
    <t>3</t>
  </si>
  <si>
    <t>Трошинский М.</t>
  </si>
  <si>
    <t xml:space="preserve">Финк В. </t>
  </si>
  <si>
    <t>Синельников О.</t>
  </si>
  <si>
    <t>Филатов Е.</t>
  </si>
  <si>
    <t>Асафьев М.</t>
  </si>
  <si>
    <t>Хитрин Д.</t>
  </si>
  <si>
    <t>Тресков В.</t>
  </si>
  <si>
    <t>Ососков В.</t>
  </si>
  <si>
    <t xml:space="preserve">Хитрин Д. </t>
  </si>
  <si>
    <t xml:space="preserve">Бурдыгин П. </t>
  </si>
  <si>
    <t xml:space="preserve">Бурдыгин П., Гадиев Р. </t>
  </si>
  <si>
    <t>Головинский Д.</t>
  </si>
  <si>
    <t>Артамонов П.</t>
  </si>
  <si>
    <t>Финк В.</t>
  </si>
  <si>
    <t xml:space="preserve">Тресков  В. </t>
  </si>
  <si>
    <t>Трухтанов П.</t>
  </si>
  <si>
    <t>Алексеевка/Белгородская область</t>
  </si>
  <si>
    <t>Екатеринбург/Свердловская область</t>
  </si>
  <si>
    <t>Кинель. п.Алексеевка/Самарская область</t>
  </si>
  <si>
    <t>Новокуйбышевск/Самарская область</t>
  </si>
  <si>
    <t>п.г.т. Рощинский/Самарская область</t>
  </si>
  <si>
    <t>Самара/Самарская область</t>
  </si>
  <si>
    <t>Есин Иван</t>
  </si>
  <si>
    <t>Самостоятельно</t>
  </si>
  <si>
    <t>Masters 40-49 (07.05.1972)/44</t>
  </si>
  <si>
    <t xml:space="preserve">Gloss </t>
  </si>
  <si>
    <t xml:space="preserve"> </t>
  </si>
  <si>
    <t>Весовая категория               Дата рождения/возраст</t>
  </si>
  <si>
    <t>Gloss</t>
  </si>
  <si>
    <t>Город/ область</t>
  </si>
  <si>
    <t>Подъем на бицес</t>
  </si>
  <si>
    <t>Армейский жим</t>
  </si>
  <si>
    <t>20,0</t>
  </si>
  <si>
    <t xml:space="preserve">Трошинский М. </t>
  </si>
  <si>
    <t>Masters 50-59 (10.05.1960)/56</t>
  </si>
  <si>
    <t>Тоннаж</t>
  </si>
  <si>
    <t>Вес</t>
  </si>
  <si>
    <t>Повторы</t>
  </si>
  <si>
    <t>Рыжов Дмитрий</t>
  </si>
  <si>
    <t>Open (09.07.1990)/26</t>
  </si>
  <si>
    <t>Якушев Сергей</t>
  </si>
  <si>
    <t>Open (13.11.1979)/36</t>
  </si>
  <si>
    <t>67,8</t>
  </si>
  <si>
    <t xml:space="preserve">с.Ивантеевка/Саратовская облас </t>
  </si>
  <si>
    <t>Чичкин Сергей</t>
  </si>
  <si>
    <t>Open (15.07.1992)/24</t>
  </si>
  <si>
    <t>71,8</t>
  </si>
  <si>
    <t>Долбин Сергей</t>
  </si>
  <si>
    <t>Masters 40-49 (30.05.1974)/42</t>
  </si>
  <si>
    <t>Поляков Владислав</t>
  </si>
  <si>
    <t>Open (16.05.1979)/37</t>
  </si>
  <si>
    <t>83,2</t>
  </si>
  <si>
    <t xml:space="preserve">графит </t>
  </si>
  <si>
    <t>Беляев Сергей</t>
  </si>
  <si>
    <t>Open (20.04.1987)/29</t>
  </si>
  <si>
    <t>83,0</t>
  </si>
  <si>
    <t>Поздняков Вячеслав</t>
  </si>
  <si>
    <t>Masters 40-49 (28.09.1971)/45</t>
  </si>
  <si>
    <t>Садкин Николай</t>
  </si>
  <si>
    <t>Open (01.10.1981)/35</t>
  </si>
  <si>
    <t>Masters 40-49 (28.09.1968)/48</t>
  </si>
  <si>
    <t>Хусаинова Анастасия</t>
  </si>
  <si>
    <t>Juniors 20-23 (05.12.1992)/23</t>
  </si>
  <si>
    <t>34</t>
  </si>
  <si>
    <t xml:space="preserve">Филатов Е. </t>
  </si>
  <si>
    <t>Куликов Константин</t>
  </si>
  <si>
    <t>Open (21.11.1984)/31</t>
  </si>
  <si>
    <t>67,0</t>
  </si>
  <si>
    <t>33</t>
  </si>
  <si>
    <t>Болдарев Денис</t>
  </si>
  <si>
    <t>Juniors 20-23 (22.11.1992)/23</t>
  </si>
  <si>
    <t>12</t>
  </si>
  <si>
    <t>10</t>
  </si>
  <si>
    <t>Вавилов Владислав</t>
  </si>
  <si>
    <t>Open (01.06.1979)/37</t>
  </si>
  <si>
    <t>69,9</t>
  </si>
  <si>
    <t>32</t>
  </si>
  <si>
    <t xml:space="preserve">Гордеев Б. </t>
  </si>
  <si>
    <t>30</t>
  </si>
  <si>
    <t>Дмитриев Владислав</t>
  </si>
  <si>
    <t>Juniors 20-23 (23.07.1994)/22</t>
  </si>
  <si>
    <t>82,3</t>
  </si>
  <si>
    <t>82,5</t>
  </si>
  <si>
    <t>37</t>
  </si>
  <si>
    <t>Мерзликин Даниил</t>
  </si>
  <si>
    <t>Juniors 20-23 (25.12.1994)/21</t>
  </si>
  <si>
    <t>79,1</t>
  </si>
  <si>
    <t>Open (23.07.1994)/22</t>
  </si>
  <si>
    <t>27</t>
  </si>
  <si>
    <t>21</t>
  </si>
  <si>
    <t>31</t>
  </si>
  <si>
    <t>3052,5</t>
  </si>
  <si>
    <t>1970,6941</t>
  </si>
  <si>
    <t>2867,5</t>
  </si>
  <si>
    <t>1928,1070</t>
  </si>
  <si>
    <t>3100,0</t>
  </si>
  <si>
    <t>1807,4550</t>
  </si>
  <si>
    <t>Рек.</t>
  </si>
  <si>
    <t>ВЕСОВАЯ КАТЕГОРИЯ   80</t>
  </si>
  <si>
    <t>Морозов Денис</t>
  </si>
  <si>
    <t>Open (27.11.1990)/25</t>
  </si>
  <si>
    <t>77,6</t>
  </si>
  <si>
    <t>73,5</t>
  </si>
  <si>
    <t>78,5</t>
  </si>
  <si>
    <t>83,5</t>
  </si>
  <si>
    <t>68,5</t>
  </si>
  <si>
    <t>Ильина Элеонора</t>
  </si>
  <si>
    <t>Open (03.02.1982)/34</t>
  </si>
  <si>
    <t>Кривых Иван</t>
  </si>
  <si>
    <t>Open (15.06.1990)/26</t>
  </si>
  <si>
    <t>Корнилов Сергей</t>
  </si>
  <si>
    <t>Master 40+ (02.03.1975)/41</t>
  </si>
  <si>
    <t>Сергейченков Дмитрий</t>
  </si>
  <si>
    <t>Open (12.08.1984)/32</t>
  </si>
  <si>
    <t xml:space="preserve">Отрадный/Самарская область </t>
  </si>
  <si>
    <t>Царевский Олег</t>
  </si>
  <si>
    <t>Open (26.06.1989)/27</t>
  </si>
  <si>
    <t>ВЕСОВАЯ КАТЕГОРИЯ   100+</t>
  </si>
  <si>
    <t>Колосков Владислав</t>
  </si>
  <si>
    <t>Junior (04.11.1993)/22</t>
  </si>
  <si>
    <t>71,5</t>
  </si>
  <si>
    <t>73,0</t>
  </si>
  <si>
    <t>Миронов Константин</t>
  </si>
  <si>
    <t>Open (28.02.1988)/28</t>
  </si>
  <si>
    <t>Минеральные Воды/Ставропольский край</t>
  </si>
  <si>
    <t>59,0</t>
  </si>
  <si>
    <t>65,3</t>
  </si>
  <si>
    <t>58,8</t>
  </si>
  <si>
    <t>59,5</t>
  </si>
  <si>
    <t>68,7</t>
  </si>
  <si>
    <t>139,1</t>
  </si>
  <si>
    <t>0</t>
  </si>
  <si>
    <t xml:space="preserve">100,0 </t>
  </si>
  <si>
    <t xml:space="preserve">75,0 </t>
  </si>
  <si>
    <t xml:space="preserve">125,0 </t>
  </si>
  <si>
    <t xml:space="preserve">110,0 </t>
  </si>
  <si>
    <t xml:space="preserve">82,5 </t>
  </si>
  <si>
    <t xml:space="preserve">90,0 </t>
  </si>
  <si>
    <t>1105,0</t>
  </si>
  <si>
    <t>2227,5</t>
  </si>
  <si>
    <t>900,0</t>
  </si>
  <si>
    <t>750,0</t>
  </si>
  <si>
    <t>2240,0</t>
  </si>
  <si>
    <t>2175,0</t>
  </si>
  <si>
    <t>800,0</t>
  </si>
  <si>
    <t>2160,0</t>
  </si>
  <si>
    <t>1732,5</t>
  </si>
  <si>
    <t>76,5</t>
  </si>
  <si>
    <t>Open (27.11.1987)/28</t>
  </si>
  <si>
    <t>Всероссийский мастерский турнир "Взрывная сила" IPL/СПР                                                       Присед в бинтах 
г. Самара, 08 октября 2016г.</t>
  </si>
  <si>
    <t>Всероссийский мастерский турнир "Взрывная сила" IPL/СПР                                                                  Присед без экипировки ДК
г. Самара, 08 октября 2016г.</t>
  </si>
  <si>
    <t>Всероссийский мастерский турнир "Взрывная сила" IPL/СПР                                                                  Присед без экипировки
г. Самара, 08 октября 2016г.</t>
  </si>
  <si>
    <t>Всероссийский мастерский турнир "Взрывная сила" IPL/СПР                                                                   Становая тяга в экипировке
г. Самара, 08 октября 2016г.</t>
  </si>
  <si>
    <t>Всероссийский мастерский турнир "Взрывная сила" IPL/СПР 
Становая тяга без экипировки ДК
г. Самара, 08 октября 2016г.</t>
  </si>
  <si>
    <t>Всероссийский мастерский турнир "Взрывная сила" IPL/СПР                                                                        Становая тяга без экипировки
г. Самара, 08 октября 2016г.</t>
  </si>
  <si>
    <t>Всероссийский мастерский турнир "Взрывная сила" IPL/СПР 
Пауэрлифтинг в бинтах ДК
г. Самара, 08 октября 2016г.</t>
  </si>
  <si>
    <t>Всероссийский мастерский турнир "Взрывная сила" IPL/СПР 
Пауэрлифтинг в бинтах
г. Самара, 08 октября 2016г.</t>
  </si>
  <si>
    <t>Всероссийский мастерский турнир "Взрывная сила" IPL/СПР
Пауэрлифтинг без экипировки ДК
г. Самара, 08 октября 2016г.</t>
  </si>
  <si>
    <t>Всероссийский мастерский турнир "Взрывная сила" IPL/СПР 
Пауэрлифтинг без экипировки
г. Самара, 08 октября 2016г.</t>
  </si>
  <si>
    <t>Всероссийский мастерский турнир "Взрывная сила" IPL/СПР 
Пауэрлифтинг в однослойной экипировке
08 октября 2016г.</t>
  </si>
  <si>
    <t>Всероссийский мастерский турнир "Взрывная сила" IPL/СПР                                                      Жим лежа в однослойной экипировке ДК
г. Самара, 08 октября 2016г.</t>
  </si>
  <si>
    <t>Всероссийский мастерский турнир "Взрывная сила" IPL/СПР                                                       Жим лежа в однослойной экипировке
г. Самара, 08 октября 2016г.</t>
  </si>
  <si>
    <t>Всероссийский мастерский турнир "Взрывная сила" IPL/СПР 
Жим лежа без экипировки ДК
г. Самара, 08 октября 2016г.</t>
  </si>
  <si>
    <t>Всероссийский мастерский турнир "Взрывная сила" IPL/СПР
Жим лежа без экипировки
г. Самара, 08 октября 2016г.</t>
  </si>
  <si>
    <t>Всероссийский мастерский турнир "Взрывная сила" IPL/СПР
Жим лежа в SOFT экипировке
г. Самара, 08 октября 2016г.</t>
  </si>
  <si>
    <t>Всероссийский мастерский турнир "Взрывная сила" IPL/СПР                                                                             Пауэрспорт
г. Самара, 08 октября 2016г.</t>
  </si>
  <si>
    <t>Всероссийский мастерский турнир "Взрывная сила"  IPL/СПР                                                                                  Пауэрспорт с допинг контролем
г. Самара, 08 октября 2016г.</t>
  </si>
  <si>
    <t>Всероссийский мастерский турнир "Взрывная сила" IPL/СПР                                                                 Народный жим (1 вес)
г. Самара, 08 октября 2016г.</t>
  </si>
  <si>
    <t>Всероссийский мастерский турнир "Взрывная сила"  IPL/СПР                                                                Народный жим (1/2 вес) ДК
г. Самара, 08 октября 2016г.</t>
  </si>
  <si>
    <t>Всероссийский мастерский турнир "Взрывная сила" IPL/СПР                                                                      Народный жим (1 вес) допинг контроль
г. Самара, 08 октября 2016г.</t>
  </si>
  <si>
    <t>Всероссийский мастерский турнир "Взрывная сила" САР
 Apollon's Axle
г. Самара, 08 октября 2016г.</t>
  </si>
  <si>
    <t>Всероссийский мастерский турнир "Взрывная сила" САР
Rolling Thunder
г. Самара, 08 октября 2016г.</t>
  </si>
  <si>
    <t>Всероссийский мастерский турнир "Взрывная сила" САР 
Two handed pinch grip block
г. Самара,08 октября 2016г.</t>
  </si>
  <si>
    <t>DQ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</si>
</sst>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0.0_ ;\-0.0\ 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/>
    </xf>
    <xf numFmtId="49" fontId="50" fillId="0" borderId="11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72" fontId="0" fillId="0" borderId="11" xfId="0" applyNumberFormat="1" applyBorder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12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14" xfId="0" applyNumberFormat="1" applyBorder="1" applyAlignment="1">
      <alignment horizontal="left"/>
    </xf>
    <xf numFmtId="172" fontId="3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49" fontId="10" fillId="34" borderId="12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6" sqref="A6"/>
    </sheetView>
  </sheetViews>
  <sheetFormatPr defaultColWidth="8.75390625" defaultRowHeight="12.75"/>
  <cols>
    <col min="1" max="1" width="6.875" style="64" customWidth="1"/>
    <col min="2" max="2" width="19.00390625" style="16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15.75390625" style="16" customWidth="1"/>
    <col min="7" max="7" width="33.25390625" style="16" customWidth="1"/>
    <col min="8" max="10" width="5.625" style="58" bestFit="1" customWidth="1"/>
    <col min="11" max="11" width="4.625" style="58" bestFit="1" customWidth="1"/>
    <col min="12" max="14" width="5.625" style="58" bestFit="1" customWidth="1"/>
    <col min="15" max="15" width="4.625" style="58" bestFit="1" customWidth="1"/>
    <col min="16" max="18" width="5.625" style="58" bestFit="1" customWidth="1"/>
    <col min="19" max="19" width="4.625" style="58" bestFit="1" customWidth="1"/>
    <col min="20" max="20" width="7.875" style="83" bestFit="1" customWidth="1"/>
    <col min="21" max="21" width="8.625" style="58" bestFit="1" customWidth="1"/>
    <col min="22" max="22" width="27.375" style="16" bestFit="1" customWidth="1"/>
  </cols>
  <sheetData>
    <row r="1" spans="1:22" s="1" customFormat="1" ht="15" customHeight="1">
      <c r="A1" s="36"/>
      <c r="B1" s="157" t="s">
        <v>520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105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2" customFormat="1" ht="12.75" customHeight="1">
      <c r="A3" s="152" t="s">
        <v>295</v>
      </c>
      <c r="B3" s="163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67" t="s">
        <v>2</v>
      </c>
      <c r="M3" s="168"/>
      <c r="N3" s="168"/>
      <c r="O3" s="169"/>
      <c r="P3" s="150" t="s">
        <v>3</v>
      </c>
      <c r="Q3" s="150"/>
      <c r="R3" s="150"/>
      <c r="S3" s="150"/>
      <c r="T3" s="148" t="s">
        <v>4</v>
      </c>
      <c r="U3" s="150" t="s">
        <v>6</v>
      </c>
      <c r="V3" s="154" t="s">
        <v>5</v>
      </c>
    </row>
    <row r="4" spans="1:22" s="2" customFormat="1" ht="21" customHeight="1" thickBot="1">
      <c r="A4" s="153"/>
      <c r="B4" s="164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29">
        <v>1</v>
      </c>
      <c r="Q4" s="29">
        <v>2</v>
      </c>
      <c r="R4" s="29">
        <v>3</v>
      </c>
      <c r="S4" s="29" t="s">
        <v>8</v>
      </c>
      <c r="T4" s="149"/>
      <c r="U4" s="151"/>
      <c r="V4" s="155"/>
    </row>
    <row r="5" spans="2:21" ht="15">
      <c r="B5" s="156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193" t="s">
        <v>536</v>
      </c>
      <c r="B6" s="19" t="s">
        <v>213</v>
      </c>
      <c r="C6" s="19" t="s">
        <v>214</v>
      </c>
      <c r="D6" s="19" t="s">
        <v>313</v>
      </c>
      <c r="E6" s="19" t="str">
        <f>"1,3367"</f>
        <v>1,3367</v>
      </c>
      <c r="F6" s="19" t="s">
        <v>91</v>
      </c>
      <c r="G6" s="19" t="s">
        <v>14</v>
      </c>
      <c r="H6" s="41" t="s">
        <v>215</v>
      </c>
      <c r="I6" s="41" t="s">
        <v>109</v>
      </c>
      <c r="J6" s="60" t="s">
        <v>207</v>
      </c>
      <c r="K6" s="51"/>
      <c r="L6" s="60" t="s">
        <v>92</v>
      </c>
      <c r="M6" s="41" t="s">
        <v>92</v>
      </c>
      <c r="N6" s="60" t="s">
        <v>93</v>
      </c>
      <c r="O6" s="51"/>
      <c r="P6" s="41" t="s">
        <v>103</v>
      </c>
      <c r="Q6" s="41" t="s">
        <v>25</v>
      </c>
      <c r="R6" s="51"/>
      <c r="S6" s="51"/>
      <c r="T6" s="79">
        <v>240</v>
      </c>
      <c r="U6" s="50" t="str">
        <f>"320,8080"</f>
        <v>320,8080</v>
      </c>
      <c r="V6" s="19" t="s">
        <v>368</v>
      </c>
    </row>
    <row r="8" spans="2:21" ht="15">
      <c r="B8" s="147" t="s">
        <v>216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2" ht="12.75">
      <c r="A9" s="64">
        <v>1</v>
      </c>
      <c r="B9" s="19" t="s">
        <v>217</v>
      </c>
      <c r="C9" s="19" t="s">
        <v>218</v>
      </c>
      <c r="D9" s="19" t="s">
        <v>314</v>
      </c>
      <c r="E9" s="19" t="str">
        <f>"1,2141"</f>
        <v>1,2141</v>
      </c>
      <c r="F9" s="19" t="s">
        <v>13</v>
      </c>
      <c r="G9" s="19" t="s">
        <v>149</v>
      </c>
      <c r="H9" s="60" t="s">
        <v>29</v>
      </c>
      <c r="I9" s="41" t="s">
        <v>15</v>
      </c>
      <c r="J9" s="60" t="s">
        <v>16</v>
      </c>
      <c r="K9" s="51"/>
      <c r="L9" s="41" t="s">
        <v>219</v>
      </c>
      <c r="M9" s="41" t="s">
        <v>220</v>
      </c>
      <c r="N9" s="41" t="s">
        <v>221</v>
      </c>
      <c r="O9" s="51"/>
      <c r="P9" s="41" t="s">
        <v>29</v>
      </c>
      <c r="Q9" s="41" t="s">
        <v>15</v>
      </c>
      <c r="R9" s="41" t="s">
        <v>16</v>
      </c>
      <c r="S9" s="51"/>
      <c r="T9" s="79">
        <v>172.5</v>
      </c>
      <c r="U9" s="50" t="str">
        <f>"209,4323"</f>
        <v>209,4323</v>
      </c>
      <c r="V9" s="19" t="s">
        <v>287</v>
      </c>
    </row>
    <row r="11" spans="2:21" ht="15">
      <c r="B11" s="147" t="s">
        <v>204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2" ht="12.75">
      <c r="A12" s="64">
        <v>1</v>
      </c>
      <c r="B12" s="20" t="s">
        <v>222</v>
      </c>
      <c r="C12" s="20" t="s">
        <v>223</v>
      </c>
      <c r="D12" s="20" t="s">
        <v>315</v>
      </c>
      <c r="E12" s="20" t="str">
        <f>"1,0740"</f>
        <v>1,0740</v>
      </c>
      <c r="F12" s="20" t="s">
        <v>186</v>
      </c>
      <c r="G12" s="20" t="s">
        <v>187</v>
      </c>
      <c r="H12" s="42" t="s">
        <v>16</v>
      </c>
      <c r="I12" s="42" t="s">
        <v>215</v>
      </c>
      <c r="J12" s="62" t="s">
        <v>224</v>
      </c>
      <c r="K12" s="53"/>
      <c r="L12" s="42" t="s">
        <v>221</v>
      </c>
      <c r="M12" s="42" t="s">
        <v>225</v>
      </c>
      <c r="N12" s="42" t="s">
        <v>226</v>
      </c>
      <c r="O12" s="53"/>
      <c r="P12" s="42" t="s">
        <v>103</v>
      </c>
      <c r="Q12" s="42" t="s">
        <v>25</v>
      </c>
      <c r="R12" s="42" t="s">
        <v>39</v>
      </c>
      <c r="S12" s="53"/>
      <c r="T12" s="80">
        <v>250</v>
      </c>
      <c r="U12" s="52" t="str">
        <f>"268,5000"</f>
        <v>268,5000</v>
      </c>
      <c r="V12" s="20" t="s">
        <v>376</v>
      </c>
    </row>
    <row r="13" spans="1:22" ht="12.75">
      <c r="A13" s="64">
        <v>2</v>
      </c>
      <c r="B13" s="22" t="s">
        <v>227</v>
      </c>
      <c r="C13" s="22" t="s">
        <v>228</v>
      </c>
      <c r="D13" s="22" t="s">
        <v>316</v>
      </c>
      <c r="E13" s="22" t="str">
        <f>"1,0925"</f>
        <v>1,0925</v>
      </c>
      <c r="F13" s="22" t="s">
        <v>106</v>
      </c>
      <c r="G13" s="22" t="s">
        <v>379</v>
      </c>
      <c r="H13" s="44" t="s">
        <v>215</v>
      </c>
      <c r="I13" s="44" t="s">
        <v>229</v>
      </c>
      <c r="J13" s="63" t="s">
        <v>109</v>
      </c>
      <c r="K13" s="57"/>
      <c r="L13" s="44" t="s">
        <v>92</v>
      </c>
      <c r="M13" s="63" t="s">
        <v>93</v>
      </c>
      <c r="N13" s="63" t="s">
        <v>93</v>
      </c>
      <c r="O13" s="57"/>
      <c r="P13" s="44" t="s">
        <v>215</v>
      </c>
      <c r="Q13" s="44" t="s">
        <v>109</v>
      </c>
      <c r="R13" s="44" t="s">
        <v>207</v>
      </c>
      <c r="S13" s="57"/>
      <c r="T13" s="81">
        <v>220</v>
      </c>
      <c r="U13" s="56" t="str">
        <f>"240,3500"</f>
        <v>240,3500</v>
      </c>
      <c r="V13" s="22" t="s">
        <v>135</v>
      </c>
    </row>
    <row r="15" spans="2:21" ht="15">
      <c r="B15" s="147" t="s">
        <v>17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2" ht="12.75">
      <c r="A16" s="64">
        <v>1</v>
      </c>
      <c r="B16" s="20" t="s">
        <v>230</v>
      </c>
      <c r="C16" s="20" t="s">
        <v>231</v>
      </c>
      <c r="D16" s="20" t="s">
        <v>317</v>
      </c>
      <c r="E16" s="20" t="str">
        <f>"0,7461"</f>
        <v>0,7461</v>
      </c>
      <c r="F16" s="20" t="s">
        <v>13</v>
      </c>
      <c r="G16" s="20" t="s">
        <v>149</v>
      </c>
      <c r="H16" s="42" t="s">
        <v>116</v>
      </c>
      <c r="I16" s="42" t="s">
        <v>133</v>
      </c>
      <c r="J16" s="42" t="s">
        <v>46</v>
      </c>
      <c r="K16" s="134"/>
      <c r="L16" s="42" t="s">
        <v>229</v>
      </c>
      <c r="M16" s="42" t="s">
        <v>109</v>
      </c>
      <c r="N16" s="42" t="s">
        <v>207</v>
      </c>
      <c r="O16" s="53"/>
      <c r="P16" s="42" t="s">
        <v>67</v>
      </c>
      <c r="Q16" s="42" t="s">
        <v>21</v>
      </c>
      <c r="R16" s="62" t="s">
        <v>22</v>
      </c>
      <c r="S16" s="53"/>
      <c r="T16" s="80">
        <v>380</v>
      </c>
      <c r="U16" s="52" t="str">
        <f>"283,5180"</f>
        <v>283,5180</v>
      </c>
      <c r="V16" s="19" t="s">
        <v>287</v>
      </c>
    </row>
    <row r="17" spans="1:22" ht="12.75">
      <c r="A17" s="64">
        <v>2</v>
      </c>
      <c r="B17" s="21" t="s">
        <v>232</v>
      </c>
      <c r="C17" s="21" t="s">
        <v>233</v>
      </c>
      <c r="D17" s="21" t="s">
        <v>318</v>
      </c>
      <c r="E17" s="21" t="str">
        <f>"0,7235"</f>
        <v>0,7235</v>
      </c>
      <c r="F17" s="21" t="s">
        <v>186</v>
      </c>
      <c r="G17" s="21" t="s">
        <v>187</v>
      </c>
      <c r="H17" s="43" t="s">
        <v>207</v>
      </c>
      <c r="I17" s="43" t="s">
        <v>26</v>
      </c>
      <c r="J17" s="43" t="s">
        <v>133</v>
      </c>
      <c r="K17" s="135"/>
      <c r="L17" s="43" t="s">
        <v>15</v>
      </c>
      <c r="M17" s="43" t="s">
        <v>234</v>
      </c>
      <c r="N17" s="61" t="s">
        <v>109</v>
      </c>
      <c r="O17" s="55"/>
      <c r="P17" s="43" t="s">
        <v>133</v>
      </c>
      <c r="Q17" s="43" t="s">
        <v>21</v>
      </c>
      <c r="R17" s="61" t="s">
        <v>235</v>
      </c>
      <c r="S17" s="55"/>
      <c r="T17" s="82">
        <v>355</v>
      </c>
      <c r="U17" s="54" t="str">
        <f>"256,8425"</f>
        <v>256,8425</v>
      </c>
      <c r="V17" s="21" t="s">
        <v>376</v>
      </c>
    </row>
    <row r="18" spans="1:22" ht="12.75">
      <c r="A18" s="64">
        <v>1</v>
      </c>
      <c r="B18" s="22" t="s">
        <v>236</v>
      </c>
      <c r="C18" s="22" t="s">
        <v>237</v>
      </c>
      <c r="D18" s="22" t="s">
        <v>319</v>
      </c>
      <c r="E18" s="22" t="str">
        <f>"0,7200"</f>
        <v>0,7200</v>
      </c>
      <c r="F18" s="22" t="s">
        <v>13</v>
      </c>
      <c r="G18" s="22" t="s">
        <v>149</v>
      </c>
      <c r="H18" s="44" t="s">
        <v>32</v>
      </c>
      <c r="I18" s="44" t="s">
        <v>43</v>
      </c>
      <c r="J18" s="44" t="s">
        <v>51</v>
      </c>
      <c r="K18" s="136"/>
      <c r="L18" s="44" t="s">
        <v>103</v>
      </c>
      <c r="M18" s="44" t="s">
        <v>25</v>
      </c>
      <c r="N18" s="44" t="s">
        <v>127</v>
      </c>
      <c r="O18" s="57"/>
      <c r="P18" s="44" t="s">
        <v>162</v>
      </c>
      <c r="Q18" s="63" t="s">
        <v>53</v>
      </c>
      <c r="R18" s="63" t="s">
        <v>53</v>
      </c>
      <c r="S18" s="57"/>
      <c r="T18" s="81">
        <v>477.5</v>
      </c>
      <c r="U18" s="56" t="str">
        <f>"343,8000"</f>
        <v>343,8000</v>
      </c>
      <c r="V18" s="19" t="s">
        <v>287</v>
      </c>
    </row>
    <row r="20" spans="2:21" ht="15">
      <c r="B20" s="147" t="s">
        <v>10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2" ht="12.75">
      <c r="A21" s="64">
        <v>1</v>
      </c>
      <c r="B21" s="20" t="s">
        <v>238</v>
      </c>
      <c r="C21" s="20" t="s">
        <v>239</v>
      </c>
      <c r="D21" s="20" t="s">
        <v>320</v>
      </c>
      <c r="E21" s="20" t="str">
        <f>"0,6790"</f>
        <v>0,6790</v>
      </c>
      <c r="F21" s="20" t="s">
        <v>13</v>
      </c>
      <c r="G21" s="20" t="s">
        <v>380</v>
      </c>
      <c r="H21" s="42" t="s">
        <v>32</v>
      </c>
      <c r="I21" s="42" t="s">
        <v>43</v>
      </c>
      <c r="J21" s="42" t="s">
        <v>162</v>
      </c>
      <c r="K21" s="53"/>
      <c r="L21" s="42" t="s">
        <v>40</v>
      </c>
      <c r="M21" s="42" t="s">
        <v>46</v>
      </c>
      <c r="N21" s="42" t="s">
        <v>67</v>
      </c>
      <c r="O21" s="53"/>
      <c r="P21" s="42" t="s">
        <v>240</v>
      </c>
      <c r="Q21" s="42" t="s">
        <v>195</v>
      </c>
      <c r="R21" s="62" t="s">
        <v>241</v>
      </c>
      <c r="S21" s="53"/>
      <c r="T21" s="80">
        <v>555</v>
      </c>
      <c r="U21" s="52" t="str">
        <f>"376,8450"</f>
        <v>376,8450</v>
      </c>
      <c r="V21" s="19" t="s">
        <v>287</v>
      </c>
    </row>
    <row r="22" spans="1:22" ht="12.75">
      <c r="A22" s="64">
        <v>2</v>
      </c>
      <c r="B22" s="22" t="s">
        <v>242</v>
      </c>
      <c r="C22" s="22" t="s">
        <v>243</v>
      </c>
      <c r="D22" s="22" t="s">
        <v>321</v>
      </c>
      <c r="E22" s="22" t="str">
        <f>"0,6860"</f>
        <v>0,6860</v>
      </c>
      <c r="F22" s="22" t="s">
        <v>57</v>
      </c>
      <c r="G22" s="22" t="s">
        <v>14</v>
      </c>
      <c r="H22" s="63" t="s">
        <v>162</v>
      </c>
      <c r="I22" s="63" t="s">
        <v>162</v>
      </c>
      <c r="J22" s="44" t="s">
        <v>162</v>
      </c>
      <c r="K22" s="57"/>
      <c r="L22" s="44" t="s">
        <v>27</v>
      </c>
      <c r="M22" s="44" t="s">
        <v>116</v>
      </c>
      <c r="N22" s="57"/>
      <c r="O22" s="57"/>
      <c r="P22" s="44" t="s">
        <v>240</v>
      </c>
      <c r="Q22" s="44" t="s">
        <v>195</v>
      </c>
      <c r="R22" s="44" t="s">
        <v>241</v>
      </c>
      <c r="S22" s="57"/>
      <c r="T22" s="81">
        <v>545</v>
      </c>
      <c r="U22" s="56" t="str">
        <f>"373,8700"</f>
        <v>373,8700</v>
      </c>
      <c r="V22" s="19" t="s">
        <v>287</v>
      </c>
    </row>
    <row r="24" spans="2:21" ht="15">
      <c r="B24" s="147" t="s">
        <v>35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2" ht="12.75">
      <c r="A25" s="64">
        <v>1</v>
      </c>
      <c r="B25" s="20" t="s">
        <v>147</v>
      </c>
      <c r="C25" s="20" t="s">
        <v>148</v>
      </c>
      <c r="D25" s="20" t="s">
        <v>109</v>
      </c>
      <c r="E25" s="20" t="str">
        <f>"0,6384"</f>
        <v>0,6384</v>
      </c>
      <c r="F25" s="20" t="s">
        <v>13</v>
      </c>
      <c r="G25" s="20" t="s">
        <v>149</v>
      </c>
      <c r="H25" s="62" t="s">
        <v>51</v>
      </c>
      <c r="I25" s="42" t="s">
        <v>51</v>
      </c>
      <c r="J25" s="42" t="s">
        <v>52</v>
      </c>
      <c r="K25" s="53"/>
      <c r="L25" s="62" t="s">
        <v>133</v>
      </c>
      <c r="M25" s="62" t="s">
        <v>133</v>
      </c>
      <c r="N25" s="42" t="s">
        <v>46</v>
      </c>
      <c r="O25" s="53"/>
      <c r="P25" s="42" t="s">
        <v>53</v>
      </c>
      <c r="Q25" s="42" t="s">
        <v>244</v>
      </c>
      <c r="R25" s="42" t="s">
        <v>212</v>
      </c>
      <c r="S25" s="53"/>
      <c r="T25" s="80">
        <v>540</v>
      </c>
      <c r="U25" s="52" t="str">
        <f>"344,7360"</f>
        <v>344,7360</v>
      </c>
      <c r="V25" s="19" t="s">
        <v>287</v>
      </c>
    </row>
    <row r="26" spans="1:22" ht="12.75">
      <c r="A26" s="64">
        <v>1</v>
      </c>
      <c r="B26" s="22" t="s">
        <v>245</v>
      </c>
      <c r="C26" s="22" t="s">
        <v>246</v>
      </c>
      <c r="D26" s="22" t="s">
        <v>322</v>
      </c>
      <c r="E26" s="22" t="str">
        <f>"0,6444"</f>
        <v>0,6444</v>
      </c>
      <c r="F26" s="22" t="s">
        <v>13</v>
      </c>
      <c r="G26" s="22" t="s">
        <v>14</v>
      </c>
      <c r="H26" s="44" t="s">
        <v>67</v>
      </c>
      <c r="I26" s="44" t="s">
        <v>21</v>
      </c>
      <c r="J26" s="44" t="s">
        <v>22</v>
      </c>
      <c r="K26" s="57"/>
      <c r="L26" s="44" t="s">
        <v>116</v>
      </c>
      <c r="M26" s="63" t="s">
        <v>133</v>
      </c>
      <c r="N26" s="63" t="s">
        <v>133</v>
      </c>
      <c r="O26" s="57"/>
      <c r="P26" s="44" t="s">
        <v>71</v>
      </c>
      <c r="Q26" s="44" t="s">
        <v>51</v>
      </c>
      <c r="R26" s="44" t="s">
        <v>162</v>
      </c>
      <c r="S26" s="57"/>
      <c r="T26" s="81">
        <v>460</v>
      </c>
      <c r="U26" s="56" t="str">
        <f>"296,4240"</f>
        <v>296,4240</v>
      </c>
      <c r="V26" s="19" t="s">
        <v>287</v>
      </c>
    </row>
    <row r="28" spans="2:3" ht="18">
      <c r="B28" s="18" t="s">
        <v>75</v>
      </c>
      <c r="C28" s="18"/>
    </row>
    <row r="29" spans="2:3" ht="15">
      <c r="B29" s="23" t="s">
        <v>83</v>
      </c>
      <c r="C29" s="23"/>
    </row>
    <row r="30" spans="2:3" ht="14.25">
      <c r="B30" s="25"/>
      <c r="C30" s="26" t="s">
        <v>389</v>
      </c>
    </row>
    <row r="31" spans="2:6" ht="15">
      <c r="B31" s="27" t="s">
        <v>77</v>
      </c>
      <c r="C31" s="27" t="s">
        <v>78</v>
      </c>
      <c r="D31" s="27" t="s">
        <v>79</v>
      </c>
      <c r="E31" s="27" t="s">
        <v>80</v>
      </c>
      <c r="F31" s="27" t="s">
        <v>81</v>
      </c>
    </row>
    <row r="32" spans="2:6" ht="12.75">
      <c r="B32" s="24" t="s">
        <v>238</v>
      </c>
      <c r="C32" s="16" t="s">
        <v>76</v>
      </c>
      <c r="D32" s="16" t="s">
        <v>82</v>
      </c>
      <c r="E32" s="16" t="s">
        <v>249</v>
      </c>
      <c r="F32" s="28" t="s">
        <v>250</v>
      </c>
    </row>
    <row r="33" spans="2:6" ht="12.75">
      <c r="B33" s="24" t="s">
        <v>242</v>
      </c>
      <c r="C33" s="16" t="s">
        <v>76</v>
      </c>
      <c r="D33" s="16" t="s">
        <v>82</v>
      </c>
      <c r="E33" s="16" t="s">
        <v>251</v>
      </c>
      <c r="F33" s="28" t="s">
        <v>252</v>
      </c>
    </row>
    <row r="34" spans="2:6" ht="12.75">
      <c r="B34" s="24" t="s">
        <v>245</v>
      </c>
      <c r="C34" s="16" t="s">
        <v>76</v>
      </c>
      <c r="D34" s="16" t="s">
        <v>84</v>
      </c>
      <c r="E34" s="16" t="s">
        <v>253</v>
      </c>
      <c r="F34" s="28" t="s">
        <v>254</v>
      </c>
    </row>
  </sheetData>
  <sheetProtection/>
  <mergeCells count="20">
    <mergeCell ref="B1:V2"/>
    <mergeCell ref="B3:B4"/>
    <mergeCell ref="C3:C4"/>
    <mergeCell ref="D3:D4"/>
    <mergeCell ref="E3:E4"/>
    <mergeCell ref="L3:O3"/>
    <mergeCell ref="A3:A4"/>
    <mergeCell ref="V3:V4"/>
    <mergeCell ref="B5:U5"/>
    <mergeCell ref="B8:U8"/>
    <mergeCell ref="B11:U11"/>
    <mergeCell ref="P3:S3"/>
    <mergeCell ref="F3:F4"/>
    <mergeCell ref="B15:U15"/>
    <mergeCell ref="B20:U20"/>
    <mergeCell ref="B24:U24"/>
    <mergeCell ref="T3:T4"/>
    <mergeCell ref="U3:U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27" sqref="G27"/>
    </sheetView>
  </sheetViews>
  <sheetFormatPr defaultColWidth="8.75390625" defaultRowHeight="12.75"/>
  <cols>
    <col min="1" max="1" width="7.00390625" style="64" customWidth="1"/>
    <col min="2" max="2" width="19.375" style="16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15.875" style="16" customWidth="1"/>
    <col min="7" max="7" width="26.875" style="16" bestFit="1" customWidth="1"/>
    <col min="8" max="8" width="5.625" style="58" bestFit="1" customWidth="1"/>
    <col min="9" max="9" width="6.625" style="58" bestFit="1" customWidth="1"/>
    <col min="10" max="10" width="5.625" style="58" bestFit="1" customWidth="1"/>
    <col min="11" max="11" width="4.625" style="58" bestFit="1" customWidth="1"/>
    <col min="12" max="12" width="11.125" style="83" customWidth="1"/>
    <col min="13" max="13" width="8.625" style="58" bestFit="1" customWidth="1"/>
    <col min="14" max="14" width="16.00390625" style="16" bestFit="1" customWidth="1"/>
  </cols>
  <sheetData>
    <row r="1" spans="1:14" s="1" customFormat="1" ht="15" customHeight="1">
      <c r="A1" s="36"/>
      <c r="B1" s="157" t="s">
        <v>524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138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2</v>
      </c>
      <c r="I3" s="150"/>
      <c r="J3" s="150"/>
      <c r="K3" s="150"/>
      <c r="L3" s="148" t="s">
        <v>299</v>
      </c>
      <c r="M3" s="150" t="s">
        <v>6</v>
      </c>
      <c r="N3" s="154" t="s">
        <v>5</v>
      </c>
    </row>
    <row r="4" spans="1:14" s="2" customFormat="1" ht="21" customHeight="1" thickBot="1">
      <c r="A4" s="151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49"/>
      <c r="M4" s="151"/>
      <c r="N4" s="155"/>
    </row>
    <row r="5" spans="2:13" ht="15">
      <c r="B5" s="156" t="s">
        <v>10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178</v>
      </c>
      <c r="C6" s="19" t="s">
        <v>179</v>
      </c>
      <c r="D6" s="19" t="s">
        <v>329</v>
      </c>
      <c r="E6" s="19" t="str">
        <f>"0,6774"</f>
        <v>0,6774</v>
      </c>
      <c r="F6" s="19" t="s">
        <v>13</v>
      </c>
      <c r="G6" s="19" t="s">
        <v>14</v>
      </c>
      <c r="H6" s="41" t="s">
        <v>51</v>
      </c>
      <c r="I6" s="41" t="s">
        <v>180</v>
      </c>
      <c r="J6" s="60" t="s">
        <v>53</v>
      </c>
      <c r="K6" s="51"/>
      <c r="L6" s="79">
        <v>190</v>
      </c>
      <c r="M6" s="50" t="str">
        <f>"128,7060"</f>
        <v>128,7060</v>
      </c>
      <c r="N6" s="19" t="s">
        <v>287</v>
      </c>
    </row>
    <row r="8" spans="2:13" ht="15">
      <c r="B8" s="147" t="s">
        <v>35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4" ht="12.75">
      <c r="A9" s="64">
        <v>1</v>
      </c>
      <c r="B9" s="19" t="s">
        <v>181</v>
      </c>
      <c r="C9" s="19" t="s">
        <v>182</v>
      </c>
      <c r="D9" s="19" t="s">
        <v>330</v>
      </c>
      <c r="E9" s="19" t="str">
        <f>"0,6475"</f>
        <v>0,6475</v>
      </c>
      <c r="F9" s="19" t="s">
        <v>118</v>
      </c>
      <c r="G9" s="19" t="s">
        <v>14</v>
      </c>
      <c r="H9" s="41" t="s">
        <v>183</v>
      </c>
      <c r="I9" s="51"/>
      <c r="J9" s="51"/>
      <c r="K9" s="51"/>
      <c r="L9" s="79">
        <v>205</v>
      </c>
      <c r="M9" s="50" t="str">
        <f>"132,7375"</f>
        <v>132,7375</v>
      </c>
      <c r="N9" s="19" t="s">
        <v>287</v>
      </c>
    </row>
    <row r="11" spans="2:13" ht="15">
      <c r="B11" s="147" t="s">
        <v>48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4" ht="12.75">
      <c r="A12" s="64">
        <v>1</v>
      </c>
      <c r="B12" s="19" t="s">
        <v>184</v>
      </c>
      <c r="C12" s="19" t="s">
        <v>185</v>
      </c>
      <c r="D12" s="19" t="s">
        <v>331</v>
      </c>
      <c r="E12" s="19" t="str">
        <f>"0,6113"</f>
        <v>0,6113</v>
      </c>
      <c r="F12" s="19" t="s">
        <v>186</v>
      </c>
      <c r="G12" s="19" t="s">
        <v>187</v>
      </c>
      <c r="H12" s="60" t="s">
        <v>58</v>
      </c>
      <c r="I12" s="41" t="s">
        <v>58</v>
      </c>
      <c r="J12" s="41" t="s">
        <v>59</v>
      </c>
      <c r="K12" s="51"/>
      <c r="L12" s="79">
        <v>222.5</v>
      </c>
      <c r="M12" s="50" t="str">
        <f>"136,0142"</f>
        <v>136,0142</v>
      </c>
      <c r="N12" s="19" t="s">
        <v>287</v>
      </c>
    </row>
    <row r="14" spans="2:13" ht="15">
      <c r="B14" s="147" t="s">
        <v>72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2:14" ht="12.75">
      <c r="B15" s="19" t="s">
        <v>188</v>
      </c>
      <c r="C15" s="19" t="s">
        <v>189</v>
      </c>
      <c r="D15" s="19" t="s">
        <v>332</v>
      </c>
      <c r="E15" s="19" t="str">
        <f>"0,5801"</f>
        <v>0,5801</v>
      </c>
      <c r="F15" s="19" t="s">
        <v>13</v>
      </c>
      <c r="G15" s="19" t="s">
        <v>190</v>
      </c>
      <c r="H15" s="60" t="s">
        <v>52</v>
      </c>
      <c r="I15" s="60" t="s">
        <v>52</v>
      </c>
      <c r="J15" s="51"/>
      <c r="K15" s="51"/>
      <c r="L15" s="137">
        <v>0</v>
      </c>
      <c r="M15" s="50" t="s">
        <v>494</v>
      </c>
      <c r="N15" s="19" t="s">
        <v>372</v>
      </c>
    </row>
    <row r="17" ht="15">
      <c r="F17" s="17"/>
    </row>
    <row r="18" ht="15">
      <c r="F18" s="17"/>
    </row>
    <row r="19" ht="15">
      <c r="F19" s="17"/>
    </row>
    <row r="20" ht="15">
      <c r="F20" s="17"/>
    </row>
    <row r="21" ht="15">
      <c r="F21" s="17"/>
    </row>
    <row r="22" spans="2:7" ht="15">
      <c r="B22" s="116"/>
      <c r="C22" s="116"/>
      <c r="D22" s="116"/>
      <c r="E22" s="116"/>
      <c r="F22" s="126"/>
      <c r="G22" s="116"/>
    </row>
    <row r="23" spans="2:7" ht="15">
      <c r="B23" s="116"/>
      <c r="C23" s="116"/>
      <c r="D23" s="116"/>
      <c r="E23" s="116"/>
      <c r="F23" s="126"/>
      <c r="G23" s="116"/>
    </row>
    <row r="24" spans="2:7" ht="12.75">
      <c r="B24" s="116"/>
      <c r="C24" s="116"/>
      <c r="D24" s="116"/>
      <c r="E24" s="116"/>
      <c r="F24" s="116"/>
      <c r="G24" s="116"/>
    </row>
    <row r="25" spans="2:7" ht="18">
      <c r="B25" s="118"/>
      <c r="C25" s="118"/>
      <c r="D25" s="116"/>
      <c r="E25" s="116"/>
      <c r="F25" s="116"/>
      <c r="G25" s="116"/>
    </row>
    <row r="26" spans="2:7" ht="15">
      <c r="B26" s="119"/>
      <c r="C26" s="119"/>
      <c r="D26" s="116"/>
      <c r="E26" s="116"/>
      <c r="F26" s="116"/>
      <c r="G26" s="116"/>
    </row>
    <row r="27" spans="2:7" ht="14.25">
      <c r="B27" s="120"/>
      <c r="C27" s="121"/>
      <c r="D27" s="116"/>
      <c r="E27" s="116"/>
      <c r="F27" s="116"/>
      <c r="G27" s="116" t="s">
        <v>389</v>
      </c>
    </row>
    <row r="28" spans="2:7" ht="15">
      <c r="B28" s="122"/>
      <c r="C28" s="122"/>
      <c r="D28" s="122"/>
      <c r="E28" s="122"/>
      <c r="F28" s="122"/>
      <c r="G28" s="116"/>
    </row>
    <row r="29" spans="2:7" ht="12.75">
      <c r="B29" s="124"/>
      <c r="C29" s="116"/>
      <c r="D29" s="116"/>
      <c r="E29" s="116"/>
      <c r="F29" s="125"/>
      <c r="G29" s="116"/>
    </row>
    <row r="30" spans="2:7" ht="12.75">
      <c r="B30" s="124"/>
      <c r="C30" s="116"/>
      <c r="D30" s="116"/>
      <c r="E30" s="116"/>
      <c r="F30" s="125"/>
      <c r="G30" s="116"/>
    </row>
    <row r="31" spans="2:7" ht="12.75">
      <c r="B31" s="124"/>
      <c r="C31" s="116"/>
      <c r="D31" s="116"/>
      <c r="E31" s="116"/>
      <c r="F31" s="125"/>
      <c r="G31" s="116"/>
    </row>
    <row r="32" spans="2:7" ht="12.75">
      <c r="B32" s="116"/>
      <c r="C32" s="116"/>
      <c r="D32" s="116"/>
      <c r="E32" s="116"/>
      <c r="F32" s="116"/>
      <c r="G32" s="116"/>
    </row>
    <row r="33" spans="2:7" ht="12.75">
      <c r="B33" s="116"/>
      <c r="C33" s="116"/>
      <c r="D33" s="116"/>
      <c r="E33" s="116"/>
      <c r="F33" s="116"/>
      <c r="G33" s="116"/>
    </row>
  </sheetData>
  <sheetProtection/>
  <mergeCells count="16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4:M14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F3" sqref="F3:F4"/>
    </sheetView>
  </sheetViews>
  <sheetFormatPr defaultColWidth="8.75390625" defaultRowHeight="12.75"/>
  <cols>
    <col min="1" max="1" width="9.125" style="64" customWidth="1"/>
    <col min="2" max="2" width="22.375" style="16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17.875" style="16" customWidth="1"/>
    <col min="7" max="7" width="37.375" style="16" customWidth="1"/>
    <col min="8" max="10" width="5.625" style="58" bestFit="1" customWidth="1"/>
    <col min="11" max="11" width="4.625" style="58" bestFit="1" customWidth="1"/>
    <col min="12" max="12" width="11.75390625" style="83" customWidth="1"/>
    <col min="13" max="13" width="8.625" style="58" bestFit="1" customWidth="1"/>
    <col min="14" max="14" width="27.375" style="16" bestFit="1" customWidth="1"/>
  </cols>
  <sheetData>
    <row r="1" spans="1:14" s="1" customFormat="1" ht="15" customHeight="1">
      <c r="A1" s="36"/>
      <c r="B1" s="157" t="s">
        <v>525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108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2</v>
      </c>
      <c r="I3" s="150"/>
      <c r="J3" s="150"/>
      <c r="K3" s="150"/>
      <c r="L3" s="148" t="s">
        <v>299</v>
      </c>
      <c r="M3" s="150" t="s">
        <v>6</v>
      </c>
      <c r="N3" s="154" t="s">
        <v>5</v>
      </c>
    </row>
    <row r="4" spans="1:14" s="2" customFormat="1" ht="21" customHeight="1" thickBot="1">
      <c r="A4" s="151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49"/>
      <c r="M4" s="151"/>
      <c r="N4" s="155"/>
    </row>
    <row r="5" spans="2:13" ht="15">
      <c r="B5" s="156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89</v>
      </c>
      <c r="C6" s="19" t="s">
        <v>90</v>
      </c>
      <c r="D6" s="19" t="s">
        <v>333</v>
      </c>
      <c r="E6" s="19" t="str">
        <f>"1,3326"</f>
        <v>1,3326</v>
      </c>
      <c r="F6" s="19" t="s">
        <v>91</v>
      </c>
      <c r="G6" s="19" t="s">
        <v>14</v>
      </c>
      <c r="H6" s="41" t="s">
        <v>92</v>
      </c>
      <c r="I6" s="41" t="s">
        <v>93</v>
      </c>
      <c r="J6" s="60" t="s">
        <v>94</v>
      </c>
      <c r="K6" s="51"/>
      <c r="L6" s="79">
        <v>45</v>
      </c>
      <c r="M6" s="50" t="str">
        <f>"59,9670"</f>
        <v>59,9670</v>
      </c>
      <c r="N6" s="19" t="s">
        <v>371</v>
      </c>
    </row>
    <row r="8" spans="2:13" ht="15">
      <c r="B8" s="147" t="s">
        <v>95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4" ht="12.75">
      <c r="A9" s="64">
        <v>1</v>
      </c>
      <c r="B9" s="19" t="s">
        <v>96</v>
      </c>
      <c r="C9" s="19" t="s">
        <v>97</v>
      </c>
      <c r="D9" s="19" t="s">
        <v>29</v>
      </c>
      <c r="E9" s="19" t="str">
        <f>"1,1149"</f>
        <v>1,1149</v>
      </c>
      <c r="F9" s="19" t="s">
        <v>57</v>
      </c>
      <c r="G9" s="19" t="s">
        <v>14</v>
      </c>
      <c r="H9" s="41" t="s">
        <v>98</v>
      </c>
      <c r="I9" s="51"/>
      <c r="J9" s="51"/>
      <c r="K9" s="51"/>
      <c r="L9" s="79">
        <v>67.5</v>
      </c>
      <c r="M9" s="50" t="str">
        <f>"75,2557"</f>
        <v>75,2557</v>
      </c>
      <c r="N9" s="19" t="s">
        <v>287</v>
      </c>
    </row>
    <row r="11" spans="2:13" ht="15">
      <c r="B11" s="147" t="s">
        <v>95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2:14" ht="12.75">
      <c r="B12" s="19" t="s">
        <v>99</v>
      </c>
      <c r="C12" s="19" t="s">
        <v>100</v>
      </c>
      <c r="D12" s="19" t="s">
        <v>334</v>
      </c>
      <c r="E12" s="19" t="str">
        <f>"0,8994"</f>
        <v>0,8994</v>
      </c>
      <c r="F12" s="19" t="s">
        <v>13</v>
      </c>
      <c r="G12" s="19" t="s">
        <v>14</v>
      </c>
      <c r="H12" s="60" t="s">
        <v>98</v>
      </c>
      <c r="I12" s="51"/>
      <c r="J12" s="51"/>
      <c r="K12" s="51"/>
      <c r="L12" s="137">
        <v>0</v>
      </c>
      <c r="M12" s="50" t="s">
        <v>494</v>
      </c>
      <c r="N12" s="19" t="s">
        <v>287</v>
      </c>
    </row>
    <row r="14" spans="2:13" ht="15">
      <c r="B14" s="147" t="s">
        <v>17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4" ht="12.75">
      <c r="A15" s="64">
        <v>1</v>
      </c>
      <c r="B15" s="20" t="s">
        <v>101</v>
      </c>
      <c r="C15" s="20" t="s">
        <v>102</v>
      </c>
      <c r="D15" s="20" t="s">
        <v>305</v>
      </c>
      <c r="E15" s="20" t="str">
        <f>"0,7207"</f>
        <v>0,7207</v>
      </c>
      <c r="F15" s="20" t="s">
        <v>13</v>
      </c>
      <c r="G15" s="20" t="s">
        <v>14</v>
      </c>
      <c r="H15" s="42" t="s">
        <v>103</v>
      </c>
      <c r="I15" s="42" t="s">
        <v>25</v>
      </c>
      <c r="J15" s="42" t="s">
        <v>27</v>
      </c>
      <c r="K15" s="53"/>
      <c r="L15" s="80">
        <v>117.5</v>
      </c>
      <c r="M15" s="140" t="str">
        <f>"84,6823"</f>
        <v>84,6823</v>
      </c>
      <c r="N15" s="20" t="s">
        <v>287</v>
      </c>
    </row>
    <row r="16" spans="1:14" ht="12.75">
      <c r="A16" s="64">
        <v>2</v>
      </c>
      <c r="B16" s="21" t="s">
        <v>104</v>
      </c>
      <c r="C16" s="21" t="s">
        <v>105</v>
      </c>
      <c r="D16" s="21" t="s">
        <v>305</v>
      </c>
      <c r="E16" s="21" t="str">
        <f>"0,7207"</f>
        <v>0,7207</v>
      </c>
      <c r="F16" s="21" t="s">
        <v>106</v>
      </c>
      <c r="G16" s="21" t="s">
        <v>379</v>
      </c>
      <c r="H16" s="43" t="s">
        <v>27</v>
      </c>
      <c r="I16" s="55"/>
      <c r="J16" s="55"/>
      <c r="K16" s="55"/>
      <c r="L16" s="82">
        <v>117.5</v>
      </c>
      <c r="M16" s="141" t="str">
        <f>"84,6823"</f>
        <v>84,6823</v>
      </c>
      <c r="N16" s="21" t="s">
        <v>287</v>
      </c>
    </row>
    <row r="17" spans="1:14" ht="12.75">
      <c r="A17" s="64">
        <v>3</v>
      </c>
      <c r="B17" s="21" t="s">
        <v>107</v>
      </c>
      <c r="C17" s="21" t="s">
        <v>108</v>
      </c>
      <c r="D17" s="21" t="s">
        <v>347</v>
      </c>
      <c r="E17" s="21" t="str">
        <f>"0,7242"</f>
        <v>0,7242</v>
      </c>
      <c r="F17" s="21" t="s">
        <v>13</v>
      </c>
      <c r="G17" s="21" t="s">
        <v>14</v>
      </c>
      <c r="H17" s="43" t="s">
        <v>109</v>
      </c>
      <c r="I17" s="43" t="s">
        <v>103</v>
      </c>
      <c r="J17" s="43" t="s">
        <v>110</v>
      </c>
      <c r="K17" s="55"/>
      <c r="L17" s="82">
        <v>105</v>
      </c>
      <c r="M17" s="141" t="str">
        <f>"76,0410"</f>
        <v>76,0410</v>
      </c>
      <c r="N17" s="21" t="s">
        <v>366</v>
      </c>
    </row>
    <row r="18" spans="1:14" ht="12.75">
      <c r="A18" s="64">
        <v>1</v>
      </c>
      <c r="B18" s="21" t="s">
        <v>111</v>
      </c>
      <c r="C18" s="21" t="s">
        <v>112</v>
      </c>
      <c r="D18" s="21" t="s">
        <v>348</v>
      </c>
      <c r="E18" s="21" t="str">
        <f>"0,7345"</f>
        <v>0,7345</v>
      </c>
      <c r="F18" s="21" t="s">
        <v>13</v>
      </c>
      <c r="G18" s="21" t="s">
        <v>113</v>
      </c>
      <c r="H18" s="43" t="s">
        <v>21</v>
      </c>
      <c r="I18" s="61" t="s">
        <v>32</v>
      </c>
      <c r="J18" s="43" t="s">
        <v>32</v>
      </c>
      <c r="K18" s="55"/>
      <c r="L18" s="82">
        <v>160</v>
      </c>
      <c r="M18" s="141" t="str">
        <f>"117,5200"</f>
        <v>117,5200</v>
      </c>
      <c r="N18" s="21" t="s">
        <v>287</v>
      </c>
    </row>
    <row r="19" spans="2:14" ht="12.75">
      <c r="B19" s="21" t="s">
        <v>114</v>
      </c>
      <c r="C19" s="21" t="s">
        <v>115</v>
      </c>
      <c r="D19" s="21" t="s">
        <v>349</v>
      </c>
      <c r="E19" s="21" t="str">
        <f>"0,7173"</f>
        <v>0,7173</v>
      </c>
      <c r="F19" s="21" t="s">
        <v>13</v>
      </c>
      <c r="G19" s="21" t="s">
        <v>14</v>
      </c>
      <c r="H19" s="61" t="s">
        <v>116</v>
      </c>
      <c r="I19" s="61" t="s">
        <v>116</v>
      </c>
      <c r="J19" s="61" t="s">
        <v>116</v>
      </c>
      <c r="K19" s="55"/>
      <c r="L19" s="138">
        <v>0</v>
      </c>
      <c r="M19" s="141" t="s">
        <v>494</v>
      </c>
      <c r="N19" s="21" t="s">
        <v>287</v>
      </c>
    </row>
    <row r="20" spans="1:14" ht="12.75">
      <c r="A20" s="64">
        <v>1</v>
      </c>
      <c r="B20" s="22" t="s">
        <v>117</v>
      </c>
      <c r="C20" s="22" t="s">
        <v>19</v>
      </c>
      <c r="D20" s="22" t="s">
        <v>350</v>
      </c>
      <c r="E20" s="22" t="str">
        <f>"0,7256"</f>
        <v>0,7256</v>
      </c>
      <c r="F20" s="22" t="s">
        <v>118</v>
      </c>
      <c r="G20" s="22" t="s">
        <v>14</v>
      </c>
      <c r="H20" s="44" t="s">
        <v>110</v>
      </c>
      <c r="I20" s="44" t="s">
        <v>26</v>
      </c>
      <c r="J20" s="44" t="s">
        <v>27</v>
      </c>
      <c r="K20" s="57"/>
      <c r="L20" s="81">
        <v>117.5</v>
      </c>
      <c r="M20" s="142" t="str">
        <f>"86,4516"</f>
        <v>86,4516</v>
      </c>
      <c r="N20" s="22" t="s">
        <v>287</v>
      </c>
    </row>
    <row r="22" spans="2:13" ht="15">
      <c r="B22" s="147" t="s">
        <v>10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4" ht="12.75">
      <c r="A23" s="64">
        <v>1</v>
      </c>
      <c r="B23" s="20" t="s">
        <v>119</v>
      </c>
      <c r="C23" s="20" t="s">
        <v>120</v>
      </c>
      <c r="D23" s="20" t="s">
        <v>335</v>
      </c>
      <c r="E23" s="20" t="str">
        <f>"0,6987"</f>
        <v>0,6987</v>
      </c>
      <c r="F23" s="20" t="s">
        <v>13</v>
      </c>
      <c r="G23" s="20" t="s">
        <v>383</v>
      </c>
      <c r="H23" s="42" t="s">
        <v>46</v>
      </c>
      <c r="I23" s="62" t="s">
        <v>67</v>
      </c>
      <c r="J23" s="62" t="s">
        <v>47</v>
      </c>
      <c r="K23" s="53"/>
      <c r="L23" s="80">
        <v>135</v>
      </c>
      <c r="M23" s="140" t="str">
        <f>"94,3245"</f>
        <v>94,3245</v>
      </c>
      <c r="N23" s="20" t="s">
        <v>287</v>
      </c>
    </row>
    <row r="24" spans="1:14" ht="12.75">
      <c r="A24" s="64">
        <v>2</v>
      </c>
      <c r="B24" s="21" t="s">
        <v>121</v>
      </c>
      <c r="C24" s="21" t="s">
        <v>122</v>
      </c>
      <c r="D24" s="21" t="s">
        <v>336</v>
      </c>
      <c r="E24" s="21" t="str">
        <f>"0,6927"</f>
        <v>0,6927</v>
      </c>
      <c r="F24" s="21" t="s">
        <v>13</v>
      </c>
      <c r="G24" s="21" t="s">
        <v>14</v>
      </c>
      <c r="H24" s="61" t="s">
        <v>27</v>
      </c>
      <c r="I24" s="43" t="s">
        <v>39</v>
      </c>
      <c r="J24" s="61" t="s">
        <v>123</v>
      </c>
      <c r="K24" s="55"/>
      <c r="L24" s="82">
        <v>122.5</v>
      </c>
      <c r="M24" s="141" t="str">
        <f>"84,8558"</f>
        <v>84,8558</v>
      </c>
      <c r="N24" s="21" t="s">
        <v>370</v>
      </c>
    </row>
    <row r="25" spans="1:14" ht="12.75">
      <c r="A25" s="64">
        <v>3</v>
      </c>
      <c r="B25" s="21" t="s">
        <v>124</v>
      </c>
      <c r="C25" s="21" t="s">
        <v>125</v>
      </c>
      <c r="D25" s="21" t="s">
        <v>337</v>
      </c>
      <c r="E25" s="21" t="str">
        <f>"0,6854"</f>
        <v>0,6854</v>
      </c>
      <c r="F25" s="21" t="s">
        <v>106</v>
      </c>
      <c r="G25" s="21" t="s">
        <v>14</v>
      </c>
      <c r="H25" s="43" t="s">
        <v>126</v>
      </c>
      <c r="I25" s="43" t="s">
        <v>127</v>
      </c>
      <c r="J25" s="61" t="s">
        <v>27</v>
      </c>
      <c r="K25" s="55"/>
      <c r="L25" s="82">
        <v>112.5</v>
      </c>
      <c r="M25" s="141" t="str">
        <f>"77,1075"</f>
        <v>77,1075</v>
      </c>
      <c r="N25" s="21" t="s">
        <v>287</v>
      </c>
    </row>
    <row r="26" spans="1:14" ht="12.75">
      <c r="A26" s="64">
        <v>1</v>
      </c>
      <c r="B26" s="21" t="s">
        <v>128</v>
      </c>
      <c r="C26" s="21" t="s">
        <v>129</v>
      </c>
      <c r="D26" s="21" t="s">
        <v>338</v>
      </c>
      <c r="E26" s="21" t="str">
        <f>"0,6719"</f>
        <v>0,6719</v>
      </c>
      <c r="F26" s="21" t="s">
        <v>13</v>
      </c>
      <c r="G26" s="21" t="s">
        <v>130</v>
      </c>
      <c r="H26" s="43" t="s">
        <v>32</v>
      </c>
      <c r="I26" s="43" t="s">
        <v>33</v>
      </c>
      <c r="J26" s="61" t="s">
        <v>71</v>
      </c>
      <c r="K26" s="55"/>
      <c r="L26" s="82">
        <v>165</v>
      </c>
      <c r="M26" s="141" t="str">
        <f>"110,8635"</f>
        <v>110,8635</v>
      </c>
      <c r="N26" s="21" t="s">
        <v>287</v>
      </c>
    </row>
    <row r="27" spans="1:14" ht="12.75">
      <c r="A27" s="64">
        <v>2</v>
      </c>
      <c r="B27" s="21" t="s">
        <v>131</v>
      </c>
      <c r="C27" s="21" t="s">
        <v>132</v>
      </c>
      <c r="D27" s="21" t="s">
        <v>335</v>
      </c>
      <c r="E27" s="21" t="str">
        <f>"0,6987"</f>
        <v>0,6987</v>
      </c>
      <c r="F27" s="21" t="s">
        <v>106</v>
      </c>
      <c r="G27" s="21" t="s">
        <v>379</v>
      </c>
      <c r="H27" s="43" t="s">
        <v>40</v>
      </c>
      <c r="I27" s="43" t="s">
        <v>133</v>
      </c>
      <c r="J27" s="43" t="s">
        <v>134</v>
      </c>
      <c r="K27" s="55"/>
      <c r="L27" s="82">
        <v>137.5</v>
      </c>
      <c r="M27" s="141" t="str">
        <f>"96,0713"</f>
        <v>96,0713</v>
      </c>
      <c r="N27" s="21" t="s">
        <v>369</v>
      </c>
    </row>
    <row r="28" spans="1:14" ht="12.75">
      <c r="A28" s="64">
        <v>1</v>
      </c>
      <c r="B28" s="21" t="s">
        <v>136</v>
      </c>
      <c r="C28" s="21" t="s">
        <v>137</v>
      </c>
      <c r="D28" s="21" t="s">
        <v>280</v>
      </c>
      <c r="E28" s="21" t="str">
        <f>"0,6969"</f>
        <v>0,6969</v>
      </c>
      <c r="F28" s="21" t="s">
        <v>138</v>
      </c>
      <c r="G28" s="21" t="s">
        <v>14</v>
      </c>
      <c r="H28" s="43" t="s">
        <v>47</v>
      </c>
      <c r="I28" s="43" t="s">
        <v>21</v>
      </c>
      <c r="J28" s="43" t="s">
        <v>22</v>
      </c>
      <c r="K28" s="55"/>
      <c r="L28" s="82">
        <v>155</v>
      </c>
      <c r="M28" s="141" t="str">
        <f>"108,0195"</f>
        <v>108,0195</v>
      </c>
      <c r="N28" s="21" t="s">
        <v>287</v>
      </c>
    </row>
    <row r="29" spans="1:14" ht="12.75">
      <c r="A29" s="64">
        <v>2</v>
      </c>
      <c r="B29" s="21" t="s">
        <v>139</v>
      </c>
      <c r="C29" s="21" t="s">
        <v>140</v>
      </c>
      <c r="D29" s="21" t="s">
        <v>337</v>
      </c>
      <c r="E29" s="21" t="str">
        <f>"0,6854"</f>
        <v>0,6854</v>
      </c>
      <c r="F29" s="21" t="s">
        <v>91</v>
      </c>
      <c r="G29" s="21" t="s">
        <v>14</v>
      </c>
      <c r="H29" s="43" t="s">
        <v>47</v>
      </c>
      <c r="I29" s="61" t="s">
        <v>141</v>
      </c>
      <c r="J29" s="61" t="s">
        <v>21</v>
      </c>
      <c r="K29" s="55"/>
      <c r="L29" s="82">
        <v>145</v>
      </c>
      <c r="M29" s="141" t="str">
        <f>"99,3830"</f>
        <v>99,3830</v>
      </c>
      <c r="N29" s="21" t="s">
        <v>368</v>
      </c>
    </row>
    <row r="30" spans="2:14" ht="12.75">
      <c r="B30" s="21" t="s">
        <v>142</v>
      </c>
      <c r="C30" s="21" t="s">
        <v>143</v>
      </c>
      <c r="D30" s="21" t="s">
        <v>339</v>
      </c>
      <c r="E30" s="21" t="str">
        <f>"0,6822"</f>
        <v>0,6822</v>
      </c>
      <c r="F30" s="21" t="s">
        <v>13</v>
      </c>
      <c r="G30" s="21" t="s">
        <v>14</v>
      </c>
      <c r="H30" s="61" t="s">
        <v>27</v>
      </c>
      <c r="I30" s="55"/>
      <c r="J30" s="55"/>
      <c r="K30" s="55"/>
      <c r="L30" s="138">
        <v>0</v>
      </c>
      <c r="M30" s="141" t="s">
        <v>494</v>
      </c>
      <c r="N30" s="21" t="s">
        <v>287</v>
      </c>
    </row>
    <row r="31" spans="1:14" ht="12.75">
      <c r="A31" s="64">
        <v>1</v>
      </c>
      <c r="B31" s="22" t="s">
        <v>144</v>
      </c>
      <c r="C31" s="22" t="s">
        <v>145</v>
      </c>
      <c r="D31" s="22" t="s">
        <v>340</v>
      </c>
      <c r="E31" s="22" t="str">
        <f>"0,6749"</f>
        <v>0,6749</v>
      </c>
      <c r="F31" s="22" t="s">
        <v>146</v>
      </c>
      <c r="G31" s="22" t="s">
        <v>14</v>
      </c>
      <c r="H31" s="44" t="s">
        <v>26</v>
      </c>
      <c r="I31" s="44" t="s">
        <v>40</v>
      </c>
      <c r="J31" s="59" t="s">
        <v>123</v>
      </c>
      <c r="K31" s="57"/>
      <c r="L31" s="81">
        <v>125</v>
      </c>
      <c r="M31" s="142" t="str">
        <f>"107,3935"</f>
        <v>107,3935</v>
      </c>
      <c r="N31" s="22" t="s">
        <v>287</v>
      </c>
    </row>
    <row r="33" spans="2:13" ht="15">
      <c r="B33" s="147" t="s">
        <v>35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1:14" ht="12.75">
      <c r="A34" s="64">
        <v>1</v>
      </c>
      <c r="B34" s="20" t="s">
        <v>147</v>
      </c>
      <c r="C34" s="20" t="s">
        <v>148</v>
      </c>
      <c r="D34" s="20" t="s">
        <v>109</v>
      </c>
      <c r="E34" s="20" t="str">
        <f>"0,6384"</f>
        <v>0,6384</v>
      </c>
      <c r="F34" s="20" t="s">
        <v>13</v>
      </c>
      <c r="G34" s="20" t="s">
        <v>149</v>
      </c>
      <c r="H34" s="42" t="s">
        <v>46</v>
      </c>
      <c r="I34" s="53"/>
      <c r="J34" s="53"/>
      <c r="K34" s="53"/>
      <c r="L34" s="80">
        <v>135</v>
      </c>
      <c r="M34" s="140" t="str">
        <f>"86,1840"</f>
        <v>86,1840</v>
      </c>
      <c r="N34" s="20" t="s">
        <v>287</v>
      </c>
    </row>
    <row r="35" spans="1:14" ht="12.75">
      <c r="A35" s="64">
        <v>1</v>
      </c>
      <c r="B35" s="21" t="s">
        <v>150</v>
      </c>
      <c r="C35" s="21" t="s">
        <v>151</v>
      </c>
      <c r="D35" s="21" t="s">
        <v>341</v>
      </c>
      <c r="E35" s="21" t="str">
        <f>"0,6451"</f>
        <v>0,6451</v>
      </c>
      <c r="F35" s="21" t="s">
        <v>57</v>
      </c>
      <c r="G35" s="21" t="s">
        <v>14</v>
      </c>
      <c r="H35" s="43" t="s">
        <v>152</v>
      </c>
      <c r="I35" s="61" t="s">
        <v>46</v>
      </c>
      <c r="J35" s="61" t="s">
        <v>46</v>
      </c>
      <c r="K35" s="55"/>
      <c r="L35" s="82">
        <v>132.5</v>
      </c>
      <c r="M35" s="141" t="str">
        <f>"85,4757"</f>
        <v>85,4757</v>
      </c>
      <c r="N35" s="21" t="s">
        <v>287</v>
      </c>
    </row>
    <row r="36" spans="2:14" ht="12.75">
      <c r="B36" s="21" t="s">
        <v>153</v>
      </c>
      <c r="C36" s="21" t="s">
        <v>154</v>
      </c>
      <c r="D36" s="21" t="s">
        <v>109</v>
      </c>
      <c r="E36" s="21" t="str">
        <f>"0,6384"</f>
        <v>0,6384</v>
      </c>
      <c r="F36" s="21" t="s">
        <v>57</v>
      </c>
      <c r="G36" s="21" t="s">
        <v>14</v>
      </c>
      <c r="H36" s="61" t="s">
        <v>71</v>
      </c>
      <c r="I36" s="61" t="s">
        <v>71</v>
      </c>
      <c r="J36" s="61" t="s">
        <v>71</v>
      </c>
      <c r="K36" s="55"/>
      <c r="L36" s="138">
        <v>0</v>
      </c>
      <c r="M36" s="141" t="s">
        <v>494</v>
      </c>
      <c r="N36" s="21" t="s">
        <v>287</v>
      </c>
    </row>
    <row r="37" spans="1:14" ht="12.75">
      <c r="A37" s="64">
        <v>1</v>
      </c>
      <c r="B37" s="21" t="s">
        <v>155</v>
      </c>
      <c r="C37" s="21" t="s">
        <v>156</v>
      </c>
      <c r="D37" s="21" t="s">
        <v>229</v>
      </c>
      <c r="E37" s="21" t="str">
        <f>"0,6583"</f>
        <v>0,6583</v>
      </c>
      <c r="F37" s="21" t="s">
        <v>20</v>
      </c>
      <c r="G37" s="21" t="s">
        <v>14</v>
      </c>
      <c r="H37" s="43" t="s">
        <v>25</v>
      </c>
      <c r="I37" s="43" t="s">
        <v>116</v>
      </c>
      <c r="J37" s="43" t="s">
        <v>40</v>
      </c>
      <c r="K37" s="55"/>
      <c r="L37" s="82">
        <v>125</v>
      </c>
      <c r="M37" s="141" t="str">
        <f>"90,1871"</f>
        <v>90,1871</v>
      </c>
      <c r="N37" s="21" t="s">
        <v>157</v>
      </c>
    </row>
    <row r="38" spans="1:14" ht="12.75">
      <c r="A38" s="64">
        <v>2</v>
      </c>
      <c r="B38" s="22" t="s">
        <v>158</v>
      </c>
      <c r="C38" s="22" t="s">
        <v>159</v>
      </c>
      <c r="D38" s="22" t="s">
        <v>306</v>
      </c>
      <c r="E38" s="22" t="str">
        <f>"0,6406"</f>
        <v>0,6406</v>
      </c>
      <c r="F38" s="22" t="s">
        <v>106</v>
      </c>
      <c r="G38" s="22" t="s">
        <v>381</v>
      </c>
      <c r="H38" s="44" t="s">
        <v>40</v>
      </c>
      <c r="I38" s="57"/>
      <c r="J38" s="57"/>
      <c r="K38" s="57"/>
      <c r="L38" s="81">
        <v>125</v>
      </c>
      <c r="M38" s="142" t="str">
        <f>"84,8795"</f>
        <v>84,8795</v>
      </c>
      <c r="N38" s="22" t="s">
        <v>287</v>
      </c>
    </row>
    <row r="40" spans="2:13" ht="15">
      <c r="B40" s="147" t="s">
        <v>48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4" ht="12.75">
      <c r="A41" s="64">
        <v>1</v>
      </c>
      <c r="B41" s="20" t="s">
        <v>160</v>
      </c>
      <c r="C41" s="20" t="s">
        <v>161</v>
      </c>
      <c r="D41" s="20" t="s">
        <v>342</v>
      </c>
      <c r="E41" s="20" t="str">
        <f>"0,6103"</f>
        <v>0,6103</v>
      </c>
      <c r="F41" s="20" t="s">
        <v>118</v>
      </c>
      <c r="G41" s="20" t="s">
        <v>14</v>
      </c>
      <c r="H41" s="42" t="s">
        <v>162</v>
      </c>
      <c r="I41" s="42" t="s">
        <v>163</v>
      </c>
      <c r="J41" s="62" t="s">
        <v>53</v>
      </c>
      <c r="K41" s="53"/>
      <c r="L41" s="80">
        <v>195</v>
      </c>
      <c r="M41" s="140" t="str">
        <f>"119,0085"</f>
        <v>119,0085</v>
      </c>
      <c r="N41" s="20" t="s">
        <v>287</v>
      </c>
    </row>
    <row r="42" spans="1:14" ht="12.75">
      <c r="A42" s="64">
        <v>2</v>
      </c>
      <c r="B42" s="21" t="s">
        <v>164</v>
      </c>
      <c r="C42" s="21" t="s">
        <v>165</v>
      </c>
      <c r="D42" s="21" t="s">
        <v>343</v>
      </c>
      <c r="E42" s="21" t="str">
        <f>"0,6121"</f>
        <v>0,6121</v>
      </c>
      <c r="F42" s="21" t="s">
        <v>91</v>
      </c>
      <c r="G42" s="21" t="s">
        <v>14</v>
      </c>
      <c r="H42" s="43" t="s">
        <v>67</v>
      </c>
      <c r="I42" s="55"/>
      <c r="J42" s="55"/>
      <c r="K42" s="55"/>
      <c r="L42" s="82">
        <v>140</v>
      </c>
      <c r="M42" s="141" t="str">
        <f>"85,6940"</f>
        <v>85,6940</v>
      </c>
      <c r="N42" s="21" t="s">
        <v>287</v>
      </c>
    </row>
    <row r="43" spans="2:14" ht="12.75">
      <c r="B43" s="22" t="s">
        <v>166</v>
      </c>
      <c r="C43" s="22" t="s">
        <v>167</v>
      </c>
      <c r="D43" s="22" t="s">
        <v>344</v>
      </c>
      <c r="E43" s="22" t="str">
        <f>"0,6174"</f>
        <v>0,6174</v>
      </c>
      <c r="F43" s="22" t="s">
        <v>13</v>
      </c>
      <c r="G43" s="22" t="s">
        <v>14</v>
      </c>
      <c r="H43" s="63" t="s">
        <v>22</v>
      </c>
      <c r="I43" s="63" t="s">
        <v>22</v>
      </c>
      <c r="J43" s="63" t="s">
        <v>22</v>
      </c>
      <c r="K43" s="57"/>
      <c r="L43" s="139">
        <v>0</v>
      </c>
      <c r="M43" s="142" t="s">
        <v>494</v>
      </c>
      <c r="N43" s="22" t="s">
        <v>367</v>
      </c>
    </row>
    <row r="45" spans="2:13" ht="15">
      <c r="B45" s="147" t="s">
        <v>54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1:14" ht="12.75">
      <c r="A46" s="64">
        <v>1</v>
      </c>
      <c r="B46" s="19" t="s">
        <v>168</v>
      </c>
      <c r="C46" s="19" t="s">
        <v>169</v>
      </c>
      <c r="D46" s="19" t="s">
        <v>345</v>
      </c>
      <c r="E46" s="19" t="str">
        <f>"0,5948"</f>
        <v>0,5948</v>
      </c>
      <c r="F46" s="19" t="s">
        <v>13</v>
      </c>
      <c r="G46" s="19" t="s">
        <v>14</v>
      </c>
      <c r="H46" s="60" t="s">
        <v>170</v>
      </c>
      <c r="I46" s="41" t="s">
        <v>170</v>
      </c>
      <c r="J46" s="41" t="s">
        <v>141</v>
      </c>
      <c r="K46" s="51"/>
      <c r="L46" s="79">
        <v>147.5</v>
      </c>
      <c r="M46" s="50" t="str">
        <f>"87,7330"</f>
        <v>87,7330</v>
      </c>
      <c r="N46" s="19" t="s">
        <v>287</v>
      </c>
    </row>
    <row r="48" spans="2:13" ht="15">
      <c r="B48" s="147" t="s">
        <v>72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1:14" ht="12.75">
      <c r="A49" s="64">
        <v>1</v>
      </c>
      <c r="B49" s="19" t="s">
        <v>171</v>
      </c>
      <c r="C49" s="19" t="s">
        <v>172</v>
      </c>
      <c r="D49" s="19" t="s">
        <v>346</v>
      </c>
      <c r="E49" s="19" t="str">
        <f>"0,5718"</f>
        <v>0,5718</v>
      </c>
      <c r="F49" s="19" t="s">
        <v>13</v>
      </c>
      <c r="G49" s="19" t="s">
        <v>14</v>
      </c>
      <c r="H49" s="41" t="s">
        <v>51</v>
      </c>
      <c r="I49" s="41" t="s">
        <v>173</v>
      </c>
      <c r="J49" s="60" t="s">
        <v>174</v>
      </c>
      <c r="K49" s="51"/>
      <c r="L49" s="79">
        <v>192.5</v>
      </c>
      <c r="M49" s="50" t="str">
        <f>"110,0715"</f>
        <v>110,0715</v>
      </c>
      <c r="N49" s="19" t="s">
        <v>367</v>
      </c>
    </row>
    <row r="52" spans="2:3" ht="18">
      <c r="B52" s="18" t="s">
        <v>75</v>
      </c>
      <c r="C52" s="18"/>
    </row>
    <row r="53" spans="2:3" ht="15">
      <c r="B53" s="23" t="s">
        <v>83</v>
      </c>
      <c r="C53" s="23"/>
    </row>
    <row r="54" spans="2:3" ht="14.25">
      <c r="B54" s="25"/>
      <c r="C54" s="26" t="s">
        <v>389</v>
      </c>
    </row>
    <row r="55" spans="2:6" ht="15">
      <c r="B55" s="27" t="s">
        <v>77</v>
      </c>
      <c r="C55" s="27" t="s">
        <v>78</v>
      </c>
      <c r="D55" s="27" t="s">
        <v>79</v>
      </c>
      <c r="E55" s="27" t="s">
        <v>80</v>
      </c>
      <c r="F55" s="27" t="s">
        <v>81</v>
      </c>
    </row>
    <row r="56" spans="1:6" ht="12.75">
      <c r="A56" s="64">
        <v>1</v>
      </c>
      <c r="B56" s="24" t="s">
        <v>160</v>
      </c>
      <c r="C56" s="143" t="s">
        <v>76</v>
      </c>
      <c r="D56" s="58" t="s">
        <v>495</v>
      </c>
      <c r="E56" s="58" t="s">
        <v>163</v>
      </c>
      <c r="F56" s="58" t="s">
        <v>175</v>
      </c>
    </row>
    <row r="57" spans="1:6" ht="12.75">
      <c r="A57" s="64">
        <v>2</v>
      </c>
      <c r="B57" s="24" t="s">
        <v>111</v>
      </c>
      <c r="C57" s="143" t="s">
        <v>76</v>
      </c>
      <c r="D57" s="58" t="s">
        <v>496</v>
      </c>
      <c r="E57" s="58" t="s">
        <v>32</v>
      </c>
      <c r="F57" s="58" t="s">
        <v>176</v>
      </c>
    </row>
    <row r="58" spans="1:6" ht="12.75">
      <c r="A58" s="64">
        <v>3</v>
      </c>
      <c r="B58" s="24" t="s">
        <v>171</v>
      </c>
      <c r="C58" s="143" t="s">
        <v>76</v>
      </c>
      <c r="D58" s="58" t="s">
        <v>497</v>
      </c>
      <c r="E58" s="58" t="s">
        <v>173</v>
      </c>
      <c r="F58" s="58" t="s">
        <v>177</v>
      </c>
    </row>
    <row r="59" spans="1:14" s="132" customFormat="1" ht="12.75">
      <c r="A59" s="129"/>
      <c r="B59" s="124"/>
      <c r="C59" s="116"/>
      <c r="D59" s="116"/>
      <c r="E59" s="116"/>
      <c r="F59" s="125"/>
      <c r="G59" s="116"/>
      <c r="H59" s="130"/>
      <c r="I59" s="130"/>
      <c r="J59" s="130"/>
      <c r="K59" s="130"/>
      <c r="L59" s="131"/>
      <c r="M59" s="130"/>
      <c r="N59" s="116"/>
    </row>
    <row r="60" spans="1:14" s="132" customFormat="1" ht="12.75">
      <c r="A60" s="129"/>
      <c r="B60" s="124"/>
      <c r="C60" s="116"/>
      <c r="D60" s="116"/>
      <c r="E60" s="116"/>
      <c r="F60" s="125"/>
      <c r="G60" s="116"/>
      <c r="H60" s="130"/>
      <c r="I60" s="130"/>
      <c r="J60" s="130"/>
      <c r="K60" s="130"/>
      <c r="L60" s="131"/>
      <c r="M60" s="130"/>
      <c r="N60" s="116"/>
    </row>
    <row r="61" spans="1:14" s="132" customFormat="1" ht="12.75">
      <c r="A61" s="129"/>
      <c r="B61" s="124"/>
      <c r="C61" s="116"/>
      <c r="D61" s="116"/>
      <c r="E61" s="116"/>
      <c r="F61" s="125"/>
      <c r="G61" s="116"/>
      <c r="H61" s="130"/>
      <c r="I61" s="130"/>
      <c r="J61" s="130"/>
      <c r="K61" s="130"/>
      <c r="L61" s="131"/>
      <c r="M61" s="130"/>
      <c r="N61" s="116"/>
    </row>
    <row r="62" spans="1:14" s="132" customFormat="1" ht="12.75">
      <c r="A62" s="129"/>
      <c r="B62" s="124"/>
      <c r="C62" s="116"/>
      <c r="D62" s="116"/>
      <c r="E62" s="116"/>
      <c r="F62" s="125"/>
      <c r="G62" s="116"/>
      <c r="H62" s="130"/>
      <c r="I62" s="130"/>
      <c r="J62" s="130"/>
      <c r="K62" s="130"/>
      <c r="L62" s="131"/>
      <c r="M62" s="130"/>
      <c r="N62" s="116"/>
    </row>
    <row r="63" spans="1:14" s="132" customFormat="1" ht="12.75">
      <c r="A63" s="129"/>
      <c r="B63" s="124"/>
      <c r="C63" s="116"/>
      <c r="D63" s="116"/>
      <c r="E63" s="116"/>
      <c r="F63" s="125"/>
      <c r="G63" s="116"/>
      <c r="H63" s="130"/>
      <c r="I63" s="130"/>
      <c r="J63" s="130"/>
      <c r="K63" s="130"/>
      <c r="L63" s="131"/>
      <c r="M63" s="130"/>
      <c r="N63" s="116"/>
    </row>
    <row r="64" spans="1:14" s="132" customFormat="1" ht="12.75">
      <c r="A64" s="129"/>
      <c r="B64" s="116"/>
      <c r="C64" s="116"/>
      <c r="D64" s="116"/>
      <c r="E64" s="116"/>
      <c r="F64" s="116"/>
      <c r="G64" s="116"/>
      <c r="H64" s="130"/>
      <c r="I64" s="130"/>
      <c r="J64" s="130"/>
      <c r="K64" s="130"/>
      <c r="L64" s="131"/>
      <c r="M64" s="130"/>
      <c r="N64" s="116"/>
    </row>
    <row r="65" spans="1:14" s="132" customFormat="1" ht="14.25">
      <c r="A65" s="129"/>
      <c r="B65" s="120"/>
      <c r="C65" s="121"/>
      <c r="D65" s="116"/>
      <c r="E65" s="116"/>
      <c r="F65" s="116"/>
      <c r="G65" s="116"/>
      <c r="H65" s="130"/>
      <c r="I65" s="130"/>
      <c r="J65" s="130"/>
      <c r="K65" s="130"/>
      <c r="L65" s="131"/>
      <c r="M65" s="130"/>
      <c r="N65" s="116"/>
    </row>
    <row r="66" spans="1:14" s="132" customFormat="1" ht="15">
      <c r="A66" s="129"/>
      <c r="B66" s="122"/>
      <c r="C66" s="122"/>
      <c r="D66" s="122"/>
      <c r="E66" s="122"/>
      <c r="F66" s="122"/>
      <c r="G66" s="116"/>
      <c r="H66" s="130"/>
      <c r="I66" s="130"/>
      <c r="J66" s="130"/>
      <c r="K66" s="130"/>
      <c r="L66" s="131"/>
      <c r="M66" s="130"/>
      <c r="N66" s="116"/>
    </row>
    <row r="67" spans="1:14" s="132" customFormat="1" ht="12.75">
      <c r="A67" s="129"/>
      <c r="B67" s="124"/>
      <c r="C67" s="116"/>
      <c r="D67" s="116"/>
      <c r="E67" s="116"/>
      <c r="F67" s="125"/>
      <c r="G67" s="116"/>
      <c r="H67" s="130"/>
      <c r="I67" s="130"/>
      <c r="J67" s="130"/>
      <c r="K67" s="130"/>
      <c r="L67" s="131"/>
      <c r="M67" s="130"/>
      <c r="N67" s="116"/>
    </row>
    <row r="68" spans="1:14" s="132" customFormat="1" ht="12.75">
      <c r="A68" s="129"/>
      <c r="B68" s="124"/>
      <c r="C68" s="116"/>
      <c r="D68" s="116"/>
      <c r="E68" s="116"/>
      <c r="F68" s="125"/>
      <c r="G68" s="116"/>
      <c r="H68" s="130"/>
      <c r="I68" s="130"/>
      <c r="J68" s="130"/>
      <c r="K68" s="130"/>
      <c r="L68" s="131"/>
      <c r="M68" s="130"/>
      <c r="N68" s="116"/>
    </row>
    <row r="69" spans="1:14" s="132" customFormat="1" ht="12.75">
      <c r="A69" s="129"/>
      <c r="B69" s="124"/>
      <c r="C69" s="116"/>
      <c r="D69" s="116"/>
      <c r="E69" s="116"/>
      <c r="F69" s="125"/>
      <c r="G69" s="116"/>
      <c r="H69" s="130"/>
      <c r="I69" s="130"/>
      <c r="J69" s="130"/>
      <c r="K69" s="130"/>
      <c r="L69" s="131"/>
      <c r="M69" s="130"/>
      <c r="N69" s="116"/>
    </row>
    <row r="70" spans="1:14" s="132" customFormat="1" ht="12.75">
      <c r="A70" s="129"/>
      <c r="B70" s="124"/>
      <c r="C70" s="116"/>
      <c r="D70" s="116"/>
      <c r="E70" s="116"/>
      <c r="F70" s="125"/>
      <c r="G70" s="116"/>
      <c r="H70" s="130"/>
      <c r="I70" s="130"/>
      <c r="J70" s="130"/>
      <c r="K70" s="130"/>
      <c r="L70" s="131"/>
      <c r="M70" s="130"/>
      <c r="N70" s="116"/>
    </row>
    <row r="71" spans="1:14" s="132" customFormat="1" ht="12.75">
      <c r="A71" s="129"/>
      <c r="B71" s="116"/>
      <c r="C71" s="116"/>
      <c r="D71" s="116"/>
      <c r="E71" s="116"/>
      <c r="F71" s="116"/>
      <c r="G71" s="116"/>
      <c r="H71" s="130"/>
      <c r="I71" s="130"/>
      <c r="J71" s="130"/>
      <c r="K71" s="130"/>
      <c r="L71" s="131"/>
      <c r="M71" s="130"/>
      <c r="N71" s="116"/>
    </row>
    <row r="72" spans="1:14" s="132" customFormat="1" ht="12.75">
      <c r="A72" s="129"/>
      <c r="B72" s="116"/>
      <c r="C72" s="116"/>
      <c r="D72" s="116"/>
      <c r="E72" s="116"/>
      <c r="F72" s="116"/>
      <c r="G72" s="116"/>
      <c r="H72" s="130"/>
      <c r="I72" s="130"/>
      <c r="J72" s="130"/>
      <c r="K72" s="130"/>
      <c r="L72" s="131"/>
      <c r="M72" s="130"/>
      <c r="N72" s="116"/>
    </row>
  </sheetData>
  <sheetProtection/>
  <mergeCells count="21">
    <mergeCell ref="B1:N2"/>
    <mergeCell ref="B3:B4"/>
    <mergeCell ref="C3:C4"/>
    <mergeCell ref="D3:D4"/>
    <mergeCell ref="E3:E4"/>
    <mergeCell ref="B45:M45"/>
    <mergeCell ref="G3:G4"/>
    <mergeCell ref="B14:M14"/>
    <mergeCell ref="N3:N4"/>
    <mergeCell ref="A3:A4"/>
    <mergeCell ref="B22:M22"/>
    <mergeCell ref="B48:M48"/>
    <mergeCell ref="M3:M4"/>
    <mergeCell ref="B5:M5"/>
    <mergeCell ref="B8:M8"/>
    <mergeCell ref="B11:M11"/>
    <mergeCell ref="F3:F4"/>
    <mergeCell ref="L3:L4"/>
    <mergeCell ref="H3:K3"/>
    <mergeCell ref="B33:M33"/>
    <mergeCell ref="B40:M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G11" sqref="G11"/>
    </sheetView>
  </sheetViews>
  <sheetFormatPr defaultColWidth="9.125" defaultRowHeight="12.75"/>
  <cols>
    <col min="1" max="1" width="9.125" style="1" customWidth="1"/>
    <col min="2" max="2" width="20.75390625" style="68" customWidth="1"/>
    <col min="3" max="3" width="26.875" style="5" bestFit="1" customWidth="1"/>
    <col min="4" max="4" width="10.625" style="5" bestFit="1" customWidth="1"/>
    <col min="5" max="5" width="8.375" style="5" bestFit="1" customWidth="1"/>
    <col min="6" max="6" width="17.00390625" style="5" customWidth="1"/>
    <col min="7" max="7" width="33.125" style="5" customWidth="1"/>
    <col min="8" max="10" width="5.625" style="1" bestFit="1" customWidth="1"/>
    <col min="11" max="11" width="4.625" style="1" bestFit="1" customWidth="1"/>
    <col min="12" max="12" width="10.875" style="85" customWidth="1"/>
    <col min="13" max="13" width="8.625" style="36" bestFit="1" customWidth="1"/>
    <col min="14" max="14" width="17.75390625" style="5" bestFit="1" customWidth="1"/>
    <col min="15" max="16384" width="9.125" style="1" customWidth="1"/>
  </cols>
  <sheetData>
    <row r="1" spans="2:14" ht="15" customHeight="1">
      <c r="B1" s="157" t="s">
        <v>526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ht="102.7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0" t="s">
        <v>295</v>
      </c>
      <c r="B3" s="178" t="s">
        <v>0</v>
      </c>
      <c r="C3" s="180" t="s">
        <v>296</v>
      </c>
      <c r="D3" s="180" t="s">
        <v>297</v>
      </c>
      <c r="E3" s="174" t="s">
        <v>9</v>
      </c>
      <c r="F3" s="150" t="s">
        <v>7</v>
      </c>
      <c r="G3" s="150" t="s">
        <v>298</v>
      </c>
      <c r="H3" s="150" t="s">
        <v>2</v>
      </c>
      <c r="I3" s="150"/>
      <c r="J3" s="150"/>
      <c r="K3" s="150"/>
      <c r="L3" s="176" t="s">
        <v>299</v>
      </c>
      <c r="M3" s="150" t="s">
        <v>6</v>
      </c>
      <c r="N3" s="154" t="s">
        <v>5</v>
      </c>
    </row>
    <row r="4" spans="1:14" s="2" customFormat="1" ht="21" customHeight="1" thickBot="1">
      <c r="A4" s="151"/>
      <c r="B4" s="179"/>
      <c r="C4" s="175"/>
      <c r="D4" s="181"/>
      <c r="E4" s="175"/>
      <c r="F4" s="151"/>
      <c r="G4" s="151"/>
      <c r="H4" s="3">
        <v>1</v>
      </c>
      <c r="I4" s="3">
        <v>2</v>
      </c>
      <c r="J4" s="3">
        <v>3</v>
      </c>
      <c r="K4" s="3" t="s">
        <v>8</v>
      </c>
      <c r="L4" s="177"/>
      <c r="M4" s="151"/>
      <c r="N4" s="155"/>
    </row>
    <row r="5" spans="2:13" ht="15">
      <c r="B5" s="173" t="s">
        <v>10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2.75">
      <c r="A6" s="36" t="s">
        <v>360</v>
      </c>
      <c r="B6" s="67" t="s">
        <v>11</v>
      </c>
      <c r="C6" s="6" t="s">
        <v>12</v>
      </c>
      <c r="D6" s="6" t="s">
        <v>340</v>
      </c>
      <c r="E6" s="6" t="str">
        <f>"0,9058"</f>
        <v>0,9058</v>
      </c>
      <c r="F6" s="6" t="s">
        <v>13</v>
      </c>
      <c r="G6" s="6" t="s">
        <v>14</v>
      </c>
      <c r="H6" s="37" t="s">
        <v>29</v>
      </c>
      <c r="I6" s="37" t="s">
        <v>15</v>
      </c>
      <c r="J6" s="45" t="s">
        <v>16</v>
      </c>
      <c r="K6" s="7"/>
      <c r="L6" s="84">
        <v>65</v>
      </c>
      <c r="M6" s="30" t="str">
        <f>"58,8770"</f>
        <v>58,8770</v>
      </c>
      <c r="N6" s="19" t="s">
        <v>287</v>
      </c>
    </row>
    <row r="7" ht="12.75">
      <c r="A7" s="36"/>
    </row>
    <row r="8" spans="1:13" ht="15">
      <c r="A8" s="36"/>
      <c r="B8" s="172" t="s">
        <v>17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4" ht="12.75">
      <c r="A9" s="36" t="s">
        <v>360</v>
      </c>
      <c r="B9" s="69" t="s">
        <v>18</v>
      </c>
      <c r="C9" s="8" t="s">
        <v>19</v>
      </c>
      <c r="D9" s="8" t="s">
        <v>234</v>
      </c>
      <c r="E9" s="8" t="str">
        <f>"0,7126"</f>
        <v>0,7126</v>
      </c>
      <c r="F9" s="8" t="s">
        <v>20</v>
      </c>
      <c r="G9" s="8" t="s">
        <v>14</v>
      </c>
      <c r="H9" s="38" t="s">
        <v>21</v>
      </c>
      <c r="I9" s="38" t="s">
        <v>22</v>
      </c>
      <c r="J9" s="34"/>
      <c r="K9" s="9"/>
      <c r="L9" s="86">
        <v>155</v>
      </c>
      <c r="M9" s="31" t="str">
        <f>"111,9993"</f>
        <v>111,9993</v>
      </c>
      <c r="N9" s="19" t="s">
        <v>287</v>
      </c>
    </row>
    <row r="10" spans="1:14" ht="12.75">
      <c r="A10" s="36" t="s">
        <v>360</v>
      </c>
      <c r="B10" s="70" t="s">
        <v>23</v>
      </c>
      <c r="C10" s="10" t="s">
        <v>24</v>
      </c>
      <c r="D10" s="10" t="s">
        <v>351</v>
      </c>
      <c r="E10" s="10" t="str">
        <f>"0,7139"</f>
        <v>0,7139</v>
      </c>
      <c r="F10" s="10" t="s">
        <v>13</v>
      </c>
      <c r="G10" s="10" t="s">
        <v>14</v>
      </c>
      <c r="H10" s="39" t="s">
        <v>25</v>
      </c>
      <c r="I10" s="39" t="s">
        <v>26</v>
      </c>
      <c r="J10" s="39" t="s">
        <v>27</v>
      </c>
      <c r="K10" s="11"/>
      <c r="L10" s="87">
        <v>117.5</v>
      </c>
      <c r="M10" s="32" t="str">
        <f>"96,4657"</f>
        <v>96,4657</v>
      </c>
      <c r="N10" s="19" t="s">
        <v>287</v>
      </c>
    </row>
    <row r="11" spans="1:14" ht="12.75">
      <c r="A11" s="36" t="s">
        <v>360</v>
      </c>
      <c r="B11" s="12" t="s">
        <v>385</v>
      </c>
      <c r="C11" s="12" t="s">
        <v>28</v>
      </c>
      <c r="D11" s="12" t="s">
        <v>352</v>
      </c>
      <c r="E11" s="12" t="str">
        <f>"0,7179"</f>
        <v>0,7179</v>
      </c>
      <c r="F11" s="12" t="s">
        <v>13</v>
      </c>
      <c r="G11" s="12" t="s">
        <v>14</v>
      </c>
      <c r="H11" s="40" t="s">
        <v>29</v>
      </c>
      <c r="I11" s="40" t="s">
        <v>15</v>
      </c>
      <c r="J11" s="40" t="s">
        <v>16</v>
      </c>
      <c r="K11" s="13"/>
      <c r="L11" s="88">
        <v>70</v>
      </c>
      <c r="M11" s="33" t="str">
        <f>"99,5009"</f>
        <v>99,5009</v>
      </c>
      <c r="N11" s="19" t="s">
        <v>287</v>
      </c>
    </row>
    <row r="12" ht="12.75">
      <c r="A12" s="36"/>
    </row>
    <row r="13" spans="1:13" ht="15">
      <c r="A13" s="36"/>
      <c r="B13" s="172" t="s">
        <v>10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4" ht="12.75">
      <c r="A14" s="36" t="s">
        <v>360</v>
      </c>
      <c r="B14" s="67" t="s">
        <v>30</v>
      </c>
      <c r="C14" s="6" t="s">
        <v>31</v>
      </c>
      <c r="D14" s="6" t="s">
        <v>339</v>
      </c>
      <c r="E14" s="6" t="str">
        <f>"0,6822"</f>
        <v>0,6822</v>
      </c>
      <c r="F14" s="6" t="s">
        <v>13</v>
      </c>
      <c r="G14" s="6" t="s">
        <v>14</v>
      </c>
      <c r="H14" s="41" t="s">
        <v>32</v>
      </c>
      <c r="I14" s="41" t="s">
        <v>33</v>
      </c>
      <c r="J14" s="46" t="s">
        <v>34</v>
      </c>
      <c r="K14" s="7"/>
      <c r="L14" s="84">
        <v>165</v>
      </c>
      <c r="M14" s="30" t="str">
        <f>"112,5630"</f>
        <v>112,5630</v>
      </c>
      <c r="N14" s="19" t="s">
        <v>287</v>
      </c>
    </row>
    <row r="15" ht="12.75">
      <c r="A15" s="36"/>
    </row>
    <row r="16" spans="1:13" ht="15">
      <c r="A16" s="36"/>
      <c r="B16" s="172" t="s">
        <v>35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4" ht="12.75">
      <c r="A17" s="36" t="s">
        <v>360</v>
      </c>
      <c r="B17" s="69" t="s">
        <v>36</v>
      </c>
      <c r="C17" s="8" t="s">
        <v>37</v>
      </c>
      <c r="D17" s="8" t="s">
        <v>353</v>
      </c>
      <c r="E17" s="8" t="str">
        <f>"0,6624"</f>
        <v>0,6624</v>
      </c>
      <c r="F17" s="8" t="s">
        <v>13</v>
      </c>
      <c r="G17" s="8" t="s">
        <v>38</v>
      </c>
      <c r="H17" s="47" t="s">
        <v>39</v>
      </c>
      <c r="I17" s="42" t="s">
        <v>39</v>
      </c>
      <c r="J17" s="47" t="s">
        <v>40</v>
      </c>
      <c r="K17" s="9"/>
      <c r="L17" s="86">
        <v>122.5</v>
      </c>
      <c r="M17" s="31" t="str">
        <f>"81,1440"</f>
        <v>81,1440</v>
      </c>
      <c r="N17" s="19" t="s">
        <v>287</v>
      </c>
    </row>
    <row r="18" spans="1:14" ht="12.75">
      <c r="A18" s="36" t="s">
        <v>360</v>
      </c>
      <c r="B18" s="70" t="s">
        <v>41</v>
      </c>
      <c r="C18" s="10" t="s">
        <v>42</v>
      </c>
      <c r="D18" s="10" t="s">
        <v>354</v>
      </c>
      <c r="E18" s="10" t="str">
        <f>"0,6402"</f>
        <v>0,6402</v>
      </c>
      <c r="F18" s="10" t="s">
        <v>13</v>
      </c>
      <c r="G18" s="10" t="s">
        <v>14</v>
      </c>
      <c r="H18" s="43" t="s">
        <v>43</v>
      </c>
      <c r="I18" s="35"/>
      <c r="J18" s="35"/>
      <c r="K18" s="11"/>
      <c r="L18" s="87">
        <v>175</v>
      </c>
      <c r="M18" s="32" t="str">
        <f>"112,0350"</f>
        <v>112,0350</v>
      </c>
      <c r="N18" s="19" t="s">
        <v>287</v>
      </c>
    </row>
    <row r="19" spans="1:14" ht="12.75">
      <c r="A19" s="36" t="s">
        <v>361</v>
      </c>
      <c r="B19" s="71" t="s">
        <v>44</v>
      </c>
      <c r="C19" s="12" t="s">
        <v>45</v>
      </c>
      <c r="D19" s="12" t="s">
        <v>355</v>
      </c>
      <c r="E19" s="12" t="str">
        <f>"0,6515"</f>
        <v>0,6515</v>
      </c>
      <c r="F19" s="12" t="s">
        <v>13</v>
      </c>
      <c r="G19" s="12" t="s">
        <v>14</v>
      </c>
      <c r="H19" s="44" t="s">
        <v>46</v>
      </c>
      <c r="I19" s="48" t="s">
        <v>47</v>
      </c>
      <c r="J19" s="48" t="s">
        <v>47</v>
      </c>
      <c r="K19" s="13"/>
      <c r="L19" s="88">
        <v>135</v>
      </c>
      <c r="M19" s="33" t="str">
        <f>"87,9525"</f>
        <v>87,9525</v>
      </c>
      <c r="N19" s="12" t="s">
        <v>365</v>
      </c>
    </row>
    <row r="20" ht="12.75">
      <c r="A20" s="36"/>
    </row>
    <row r="21" spans="1:13" ht="15">
      <c r="A21" s="36"/>
      <c r="B21" s="172" t="s">
        <v>48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4" ht="12.75">
      <c r="A22" s="36" t="s">
        <v>360</v>
      </c>
      <c r="B22" s="67" t="s">
        <v>49</v>
      </c>
      <c r="C22" s="6" t="s">
        <v>50</v>
      </c>
      <c r="D22" s="6" t="s">
        <v>103</v>
      </c>
      <c r="E22" s="6" t="str">
        <f>"0,6086"</f>
        <v>0,6086</v>
      </c>
      <c r="F22" s="6" t="s">
        <v>20</v>
      </c>
      <c r="G22" s="6" t="s">
        <v>14</v>
      </c>
      <c r="H22" s="41" t="s">
        <v>51</v>
      </c>
      <c r="I22" s="41" t="s">
        <v>52</v>
      </c>
      <c r="J22" s="41" t="s">
        <v>53</v>
      </c>
      <c r="K22" s="7"/>
      <c r="L22" s="84">
        <v>200</v>
      </c>
      <c r="M22" s="30" t="str">
        <f>"127,0757"</f>
        <v>127,0757</v>
      </c>
      <c r="N22" s="19" t="s">
        <v>287</v>
      </c>
    </row>
    <row r="23" ht="12.75">
      <c r="A23" s="36"/>
    </row>
    <row r="24" spans="1:13" ht="15">
      <c r="A24" s="36"/>
      <c r="B24" s="172" t="s">
        <v>54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4" ht="12.75">
      <c r="A25" s="36" t="s">
        <v>360</v>
      </c>
      <c r="B25" s="69" t="s">
        <v>55</v>
      </c>
      <c r="C25" s="8" t="s">
        <v>56</v>
      </c>
      <c r="D25" s="8" t="s">
        <v>356</v>
      </c>
      <c r="E25" s="8" t="str">
        <f>"0,5910"</f>
        <v>0,5910</v>
      </c>
      <c r="F25" s="8" t="s">
        <v>57</v>
      </c>
      <c r="G25" s="8" t="s">
        <v>14</v>
      </c>
      <c r="H25" s="42" t="s">
        <v>58</v>
      </c>
      <c r="I25" s="42" t="s">
        <v>59</v>
      </c>
      <c r="J25" s="42" t="s">
        <v>60</v>
      </c>
      <c r="K25" s="9"/>
      <c r="L25" s="86">
        <v>225</v>
      </c>
      <c r="M25" s="31" t="str">
        <f>"132,9750"</f>
        <v>132,9750</v>
      </c>
      <c r="N25" s="19" t="s">
        <v>287</v>
      </c>
    </row>
    <row r="26" spans="1:14" ht="12.75">
      <c r="A26" s="36" t="s">
        <v>361</v>
      </c>
      <c r="B26" s="70" t="s">
        <v>61</v>
      </c>
      <c r="C26" s="10" t="s">
        <v>62</v>
      </c>
      <c r="D26" s="10" t="s">
        <v>356</v>
      </c>
      <c r="E26" s="10" t="str">
        <f>"0,5910"</f>
        <v>0,5910</v>
      </c>
      <c r="F26" s="10" t="s">
        <v>13</v>
      </c>
      <c r="G26" s="10" t="s">
        <v>63</v>
      </c>
      <c r="H26" s="43" t="s">
        <v>64</v>
      </c>
      <c r="I26" s="49" t="s">
        <v>51</v>
      </c>
      <c r="J26" s="49" t="s">
        <v>51</v>
      </c>
      <c r="K26" s="11"/>
      <c r="L26" s="87">
        <v>172</v>
      </c>
      <c r="M26" s="32" t="str">
        <f>"101,9475"</f>
        <v>101,9475</v>
      </c>
      <c r="N26" s="19" t="s">
        <v>287</v>
      </c>
    </row>
    <row r="27" spans="1:14" ht="12.75">
      <c r="A27" s="36" t="s">
        <v>362</v>
      </c>
      <c r="B27" s="70" t="s">
        <v>65</v>
      </c>
      <c r="C27" s="10" t="s">
        <v>66</v>
      </c>
      <c r="D27" s="10" t="s">
        <v>357</v>
      </c>
      <c r="E27" s="10" t="str">
        <f>"0,6057"</f>
        <v>0,6057</v>
      </c>
      <c r="F27" s="10" t="s">
        <v>13</v>
      </c>
      <c r="G27" s="10" t="s">
        <v>14</v>
      </c>
      <c r="H27" s="43" t="s">
        <v>46</v>
      </c>
      <c r="I27" s="49" t="s">
        <v>67</v>
      </c>
      <c r="J27" s="49" t="s">
        <v>67</v>
      </c>
      <c r="K27" s="11"/>
      <c r="L27" s="87">
        <v>135</v>
      </c>
      <c r="M27" s="32" t="str">
        <f>"81,7695"</f>
        <v>81,7695</v>
      </c>
      <c r="N27" s="10" t="s">
        <v>366</v>
      </c>
    </row>
    <row r="28" spans="1:14" ht="12.75">
      <c r="A28" s="36" t="s">
        <v>360</v>
      </c>
      <c r="B28" s="71" t="s">
        <v>68</v>
      </c>
      <c r="C28" s="12" t="s">
        <v>69</v>
      </c>
      <c r="D28" s="12" t="s">
        <v>358</v>
      </c>
      <c r="E28" s="12" t="str">
        <f>"0,5956"</f>
        <v>0,5956</v>
      </c>
      <c r="F28" s="12" t="s">
        <v>20</v>
      </c>
      <c r="G28" s="12" t="s">
        <v>14</v>
      </c>
      <c r="H28" s="44" t="s">
        <v>70</v>
      </c>
      <c r="I28" s="44" t="s">
        <v>34</v>
      </c>
      <c r="J28" s="44" t="s">
        <v>71</v>
      </c>
      <c r="K28" s="13"/>
      <c r="L28" s="88">
        <v>170</v>
      </c>
      <c r="M28" s="33" t="str">
        <f>"112,7947"</f>
        <v>112,7947</v>
      </c>
      <c r="N28" s="19" t="s">
        <v>287</v>
      </c>
    </row>
    <row r="29" ht="12.75">
      <c r="A29" s="36"/>
    </row>
    <row r="30" spans="1:13" ht="15">
      <c r="A30" s="36"/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4" ht="12.75">
      <c r="A31" s="36" t="s">
        <v>360</v>
      </c>
      <c r="B31" s="67" t="s">
        <v>73</v>
      </c>
      <c r="C31" s="6" t="s">
        <v>74</v>
      </c>
      <c r="D31" s="6" t="s">
        <v>359</v>
      </c>
      <c r="E31" s="6" t="str">
        <f>"0,5866"</f>
        <v>0,5866</v>
      </c>
      <c r="F31" s="6" t="s">
        <v>13</v>
      </c>
      <c r="G31" s="6" t="s">
        <v>384</v>
      </c>
      <c r="H31" s="46" t="s">
        <v>51</v>
      </c>
      <c r="I31" s="41" t="s">
        <v>51</v>
      </c>
      <c r="J31" s="46" t="s">
        <v>53</v>
      </c>
      <c r="K31" s="7"/>
      <c r="L31" s="84">
        <v>180</v>
      </c>
      <c r="M31" s="30" t="str">
        <f>"105,5880"</f>
        <v>105,5880</v>
      </c>
      <c r="N31" s="19" t="s">
        <v>287</v>
      </c>
    </row>
    <row r="34" spans="2:3" ht="18">
      <c r="B34" s="72" t="s">
        <v>75</v>
      </c>
      <c r="C34" s="72"/>
    </row>
    <row r="35" spans="2:3" ht="15">
      <c r="B35" s="73" t="s">
        <v>83</v>
      </c>
      <c r="C35" s="73"/>
    </row>
    <row r="36" spans="2:3" ht="14.25">
      <c r="B36" s="74"/>
      <c r="C36" s="77" t="s">
        <v>389</v>
      </c>
    </row>
    <row r="37" spans="2:6" ht="15">
      <c r="B37" s="75" t="s">
        <v>77</v>
      </c>
      <c r="C37" s="78" t="s">
        <v>78</v>
      </c>
      <c r="D37" s="78" t="s">
        <v>79</v>
      </c>
      <c r="E37" s="78" t="s">
        <v>80</v>
      </c>
      <c r="F37" s="15" t="s">
        <v>81</v>
      </c>
    </row>
    <row r="38" spans="1:6" ht="12.75">
      <c r="A38" s="36" t="s">
        <v>360</v>
      </c>
      <c r="B38" s="76" t="s">
        <v>55</v>
      </c>
      <c r="C38" s="1" t="s">
        <v>76</v>
      </c>
      <c r="D38" s="36" t="s">
        <v>498</v>
      </c>
      <c r="E38" s="36" t="s">
        <v>60</v>
      </c>
      <c r="F38" s="36" t="s">
        <v>85</v>
      </c>
    </row>
    <row r="39" spans="1:6" ht="12.75">
      <c r="A39" s="36" t="s">
        <v>361</v>
      </c>
      <c r="B39" s="76" t="s">
        <v>30</v>
      </c>
      <c r="C39" s="1" t="s">
        <v>76</v>
      </c>
      <c r="D39" s="36" t="s">
        <v>499</v>
      </c>
      <c r="E39" s="36" t="s">
        <v>33</v>
      </c>
      <c r="F39" s="36" t="s">
        <v>86</v>
      </c>
    </row>
    <row r="40" spans="1:6" ht="12.75">
      <c r="A40" s="36" t="s">
        <v>362</v>
      </c>
      <c r="B40" s="76" t="s">
        <v>41</v>
      </c>
      <c r="C40" s="1" t="s">
        <v>76</v>
      </c>
      <c r="D40" s="36" t="s">
        <v>500</v>
      </c>
      <c r="E40" s="36" t="s">
        <v>43</v>
      </c>
      <c r="F40" s="36" t="s">
        <v>87</v>
      </c>
    </row>
    <row r="41" spans="2:6" ht="12.75">
      <c r="B41" s="76"/>
      <c r="F41" s="4"/>
    </row>
    <row r="42" spans="2:6" ht="12.75">
      <c r="B42" s="76"/>
      <c r="F42" s="4"/>
    </row>
    <row r="43" spans="2:6" ht="12.75">
      <c r="B43" s="76"/>
      <c r="F43" s="4"/>
    </row>
    <row r="44" spans="2:6" ht="12.75">
      <c r="B44" s="76"/>
      <c r="F44" s="4"/>
    </row>
    <row r="46" spans="2:3" ht="14.25">
      <c r="B46" s="74"/>
      <c r="C46" s="77"/>
    </row>
    <row r="47" spans="2:6" ht="15">
      <c r="B47" s="128"/>
      <c r="C47" s="127"/>
      <c r="D47" s="127"/>
      <c r="E47" s="127"/>
      <c r="F47" s="2"/>
    </row>
    <row r="48" spans="2:6" ht="12.75">
      <c r="B48" s="76"/>
      <c r="F48" s="4"/>
    </row>
    <row r="49" spans="2:6" ht="12.75">
      <c r="B49" s="76"/>
      <c r="F49" s="4"/>
    </row>
    <row r="50" spans="2:6" ht="12.75">
      <c r="B50" s="76"/>
      <c r="F50" s="4"/>
    </row>
    <row r="51" spans="2:6" ht="12.75">
      <c r="B51" s="76"/>
      <c r="F51" s="4"/>
    </row>
    <row r="52" spans="2:6" ht="12.75">
      <c r="B52" s="76"/>
      <c r="F52" s="4"/>
    </row>
  </sheetData>
  <sheetProtection/>
  <mergeCells count="19">
    <mergeCell ref="A3:A4"/>
    <mergeCell ref="E3:E4"/>
    <mergeCell ref="L3:L4"/>
    <mergeCell ref="M3:M4"/>
    <mergeCell ref="B1:N2"/>
    <mergeCell ref="H3:K3"/>
    <mergeCell ref="B3:B4"/>
    <mergeCell ref="C3:C4"/>
    <mergeCell ref="D3:D4"/>
    <mergeCell ref="B16:M16"/>
    <mergeCell ref="B21:M21"/>
    <mergeCell ref="B24:M24"/>
    <mergeCell ref="B30:M30"/>
    <mergeCell ref="N3:N4"/>
    <mergeCell ref="G3:G4"/>
    <mergeCell ref="F3:F4"/>
    <mergeCell ref="B5:M5"/>
    <mergeCell ref="B8:M8"/>
    <mergeCell ref="B13:M1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9.125" style="36" customWidth="1"/>
    <col min="2" max="2" width="28.25390625" style="4" bestFit="1" customWidth="1"/>
    <col min="3" max="3" width="26.875" style="5" bestFit="1" customWidth="1"/>
    <col min="4" max="4" width="10.625" style="5" bestFit="1" customWidth="1"/>
    <col min="5" max="5" width="8.375" style="1" bestFit="1" customWidth="1"/>
    <col min="6" max="6" width="22.75390625" style="5" bestFit="1" customWidth="1"/>
    <col min="7" max="7" width="26.875" style="5" bestFit="1" customWidth="1"/>
    <col min="8" max="10" width="5.625" style="36" bestFit="1" customWidth="1"/>
    <col min="11" max="11" width="4.625" style="36" bestFit="1" customWidth="1"/>
    <col min="12" max="12" width="10.875" style="93" customWidth="1"/>
    <col min="13" max="13" width="8.625" style="36" bestFit="1" customWidth="1"/>
    <col min="14" max="14" width="15.75390625" style="5" bestFit="1" customWidth="1"/>
    <col min="15" max="16384" width="9.125" style="1" customWidth="1"/>
  </cols>
  <sheetData>
    <row r="1" spans="2:14" ht="61.5" customHeight="1">
      <c r="B1" s="157" t="s">
        <v>527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ht="80.2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4.25" customHeight="1">
      <c r="A3" s="150" t="s">
        <v>295</v>
      </c>
      <c r="B3" s="170" t="s">
        <v>0</v>
      </c>
      <c r="C3" s="180" t="s">
        <v>296</v>
      </c>
      <c r="D3" s="180" t="s">
        <v>297</v>
      </c>
      <c r="E3" s="150" t="s">
        <v>9</v>
      </c>
      <c r="F3" s="150" t="s">
        <v>7</v>
      </c>
      <c r="G3" s="150" t="s">
        <v>298</v>
      </c>
      <c r="H3" s="150" t="s">
        <v>2</v>
      </c>
      <c r="I3" s="150"/>
      <c r="J3" s="150"/>
      <c r="K3" s="150"/>
      <c r="L3" s="148" t="s">
        <v>299</v>
      </c>
      <c r="M3" s="150" t="s">
        <v>6</v>
      </c>
      <c r="N3" s="154" t="s">
        <v>5</v>
      </c>
    </row>
    <row r="4" spans="1:14" s="2" customFormat="1" ht="21" customHeight="1" thickBot="1">
      <c r="A4" s="151"/>
      <c r="B4" s="171"/>
      <c r="C4" s="175"/>
      <c r="D4" s="181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49"/>
      <c r="M4" s="151"/>
      <c r="N4" s="155"/>
    </row>
    <row r="5" spans="2:13" ht="15">
      <c r="B5" s="173" t="s">
        <v>10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2.75">
      <c r="A6" s="36" t="s">
        <v>360</v>
      </c>
      <c r="B6" s="67" t="s">
        <v>30</v>
      </c>
      <c r="C6" s="67" t="s">
        <v>31</v>
      </c>
      <c r="D6" s="6" t="s">
        <v>339</v>
      </c>
      <c r="E6" s="89" t="str">
        <f>"0,6573"</f>
        <v>0,6573</v>
      </c>
      <c r="F6" s="67" t="s">
        <v>13</v>
      </c>
      <c r="G6" s="67" t="s">
        <v>14</v>
      </c>
      <c r="H6" s="41" t="s">
        <v>71</v>
      </c>
      <c r="I6" s="90"/>
      <c r="J6" s="90"/>
      <c r="K6" s="90"/>
      <c r="L6" s="91">
        <v>170</v>
      </c>
      <c r="M6" s="30" t="str">
        <f>"111,7410"</f>
        <v>111,7410</v>
      </c>
      <c r="N6" s="6" t="s">
        <v>386</v>
      </c>
    </row>
    <row r="7" spans="2:7" ht="12.75">
      <c r="B7" s="68"/>
      <c r="C7" s="68"/>
      <c r="D7" s="68"/>
      <c r="E7" s="92"/>
      <c r="F7" s="68"/>
      <c r="G7" s="68"/>
    </row>
    <row r="8" spans="2:13" ht="15">
      <c r="B8" s="172" t="s">
        <v>35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4" ht="12.75">
      <c r="A9" s="36" t="s">
        <v>360</v>
      </c>
      <c r="B9" s="67" t="s">
        <v>181</v>
      </c>
      <c r="C9" s="6" t="s">
        <v>182</v>
      </c>
      <c r="D9" s="6" t="s">
        <v>330</v>
      </c>
      <c r="E9" s="89" t="str">
        <f>"0,6213"</f>
        <v>0,6213</v>
      </c>
      <c r="F9" s="67" t="s">
        <v>118</v>
      </c>
      <c r="G9" s="6" t="s">
        <v>14</v>
      </c>
      <c r="H9" s="41" t="s">
        <v>162</v>
      </c>
      <c r="I9" s="41" t="s">
        <v>163</v>
      </c>
      <c r="J9" s="41" t="s">
        <v>53</v>
      </c>
      <c r="K9" s="90"/>
      <c r="L9" s="91">
        <v>200</v>
      </c>
      <c r="M9" s="30" t="str">
        <f>"124,2700"</f>
        <v>124,2700</v>
      </c>
      <c r="N9" s="6" t="s">
        <v>378</v>
      </c>
    </row>
    <row r="10" spans="2:7" ht="12.75">
      <c r="B10" s="68"/>
      <c r="C10" s="68"/>
      <c r="D10" s="68"/>
      <c r="E10" s="92"/>
      <c r="F10" s="68"/>
      <c r="G10" s="68"/>
    </row>
    <row r="11" spans="2:13" ht="15">
      <c r="B11" s="172" t="s">
        <v>48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4" ht="12.75">
      <c r="A12" s="36" t="s">
        <v>360</v>
      </c>
      <c r="B12" s="67" t="s">
        <v>49</v>
      </c>
      <c r="C12" s="67" t="s">
        <v>387</v>
      </c>
      <c r="D12" s="6" t="s">
        <v>103</v>
      </c>
      <c r="E12" s="89" t="str">
        <f>"0,5813"</f>
        <v>0,5813</v>
      </c>
      <c r="F12" s="67" t="s">
        <v>20</v>
      </c>
      <c r="G12" s="67" t="s">
        <v>14</v>
      </c>
      <c r="H12" s="41" t="s">
        <v>53</v>
      </c>
      <c r="I12" s="41" t="s">
        <v>212</v>
      </c>
      <c r="J12" s="41" t="s">
        <v>60</v>
      </c>
      <c r="K12" s="90"/>
      <c r="L12" s="91">
        <v>225</v>
      </c>
      <c r="M12" s="30" t="str">
        <f>"136,4166"</f>
        <v>136,4166</v>
      </c>
      <c r="N12" s="6" t="s">
        <v>386</v>
      </c>
    </row>
    <row r="14" spans="6:7" ht="15">
      <c r="F14" s="14"/>
      <c r="G14" s="5" t="s">
        <v>389</v>
      </c>
    </row>
    <row r="15" ht="15">
      <c r="F15" s="14"/>
    </row>
    <row r="16" ht="15">
      <c r="F16" s="14"/>
    </row>
    <row r="17" ht="15">
      <c r="F17" s="14"/>
    </row>
    <row r="18" ht="15">
      <c r="F18" s="14"/>
    </row>
    <row r="19" ht="15">
      <c r="F19" s="14"/>
    </row>
    <row r="20" ht="15">
      <c r="F20" s="14"/>
    </row>
    <row r="22" spans="2:3" ht="18">
      <c r="B22" s="94"/>
      <c r="C22" s="72"/>
    </row>
    <row r="23" spans="2:3" ht="15">
      <c r="B23" s="95"/>
      <c r="C23" s="73"/>
    </row>
    <row r="24" spans="2:3" ht="14.25">
      <c r="B24" s="96"/>
      <c r="C24" s="77"/>
    </row>
    <row r="25" spans="2:6" ht="15">
      <c r="B25" s="2"/>
      <c r="C25" s="127"/>
      <c r="D25" s="127"/>
      <c r="E25" s="2"/>
      <c r="F25" s="2"/>
    </row>
    <row r="26" spans="2:6" ht="12.75">
      <c r="B26" s="97"/>
      <c r="F26" s="4"/>
    </row>
    <row r="27" spans="2:6" ht="12.75">
      <c r="B27" s="97"/>
      <c r="F27" s="4"/>
    </row>
    <row r="29" spans="2:3" ht="14.25">
      <c r="B29" s="96"/>
      <c r="C29" s="77"/>
    </row>
    <row r="30" spans="2:6" ht="15">
      <c r="B30" s="2"/>
      <c r="C30" s="127"/>
      <c r="D30" s="127"/>
      <c r="E30" s="2"/>
      <c r="F30" s="2"/>
    </row>
    <row r="31" spans="2:6" ht="12.75">
      <c r="B31" s="97"/>
      <c r="F31" s="4"/>
    </row>
  </sheetData>
  <sheetProtection/>
  <mergeCells count="15">
    <mergeCell ref="M3:M4"/>
    <mergeCell ref="N3:N4"/>
    <mergeCell ref="B5:M5"/>
    <mergeCell ref="B8:M8"/>
    <mergeCell ref="B11:M11"/>
    <mergeCell ref="B1:N2"/>
    <mergeCell ref="G3:G4"/>
    <mergeCell ref="H3:K3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F23" sqref="F23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1.3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6.00390625" style="5" bestFit="1" customWidth="1"/>
    <col min="8" max="15" width="4.625" style="36" bestFit="1" customWidth="1"/>
    <col min="16" max="16" width="7.875" style="4" bestFit="1" customWidth="1"/>
    <col min="17" max="17" width="7.625" style="36" bestFit="1" customWidth="1"/>
    <col min="18" max="18" width="15.375" style="5" bestFit="1" customWidth="1"/>
    <col min="19" max="16384" width="9.125" style="1" customWidth="1"/>
  </cols>
  <sheetData>
    <row r="1" spans="2:18" ht="72" customHeight="1">
      <c r="B1" s="157" t="s">
        <v>528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2:18" ht="72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s="2" customFormat="1" ht="22.5" customHeight="1">
      <c r="A3" s="170" t="s">
        <v>295</v>
      </c>
      <c r="B3" s="169" t="s">
        <v>0</v>
      </c>
      <c r="C3" s="183" t="s">
        <v>390</v>
      </c>
      <c r="D3" s="165" t="s">
        <v>297</v>
      </c>
      <c r="E3" s="150" t="s">
        <v>391</v>
      </c>
      <c r="F3" s="150" t="s">
        <v>7</v>
      </c>
      <c r="G3" s="167" t="s">
        <v>392</v>
      </c>
      <c r="H3" s="150" t="s">
        <v>393</v>
      </c>
      <c r="I3" s="150"/>
      <c r="J3" s="150"/>
      <c r="K3" s="150"/>
      <c r="L3" s="150" t="s">
        <v>394</v>
      </c>
      <c r="M3" s="150"/>
      <c r="N3" s="150"/>
      <c r="O3" s="150"/>
      <c r="P3" s="150" t="s">
        <v>4</v>
      </c>
      <c r="Q3" s="150" t="s">
        <v>6</v>
      </c>
      <c r="R3" s="154" t="s">
        <v>5</v>
      </c>
    </row>
    <row r="4" spans="1:18" s="2" customFormat="1" ht="24.75" customHeight="1" thickBot="1">
      <c r="A4" s="171"/>
      <c r="B4" s="182"/>
      <c r="C4" s="184"/>
      <c r="D4" s="151"/>
      <c r="E4" s="151"/>
      <c r="F4" s="151"/>
      <c r="G4" s="185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151"/>
      <c r="Q4" s="151"/>
      <c r="R4" s="155"/>
    </row>
    <row r="5" spans="2:17" ht="15">
      <c r="B5" s="173" t="s">
        <v>35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8" ht="12.75">
      <c r="A6" s="36" t="s">
        <v>360</v>
      </c>
      <c r="B6" s="67" t="s">
        <v>290</v>
      </c>
      <c r="C6" s="6" t="s">
        <v>291</v>
      </c>
      <c r="D6" s="6" t="s">
        <v>229</v>
      </c>
      <c r="E6" s="6" t="str">
        <f>"0,6326"</f>
        <v>0,6326</v>
      </c>
      <c r="F6" s="6" t="s">
        <v>146</v>
      </c>
      <c r="G6" s="6" t="s">
        <v>14</v>
      </c>
      <c r="H6" s="30" t="s">
        <v>29</v>
      </c>
      <c r="I6" s="30" t="s">
        <v>16</v>
      </c>
      <c r="J6" s="30" t="s">
        <v>215</v>
      </c>
      <c r="K6" s="90"/>
      <c r="L6" s="30" t="s">
        <v>94</v>
      </c>
      <c r="M6" s="90" t="s">
        <v>29</v>
      </c>
      <c r="N6" s="30" t="s">
        <v>29</v>
      </c>
      <c r="O6" s="90"/>
      <c r="P6" s="98" t="s">
        <v>67</v>
      </c>
      <c r="Q6" s="30" t="str">
        <f>"88,5640"</f>
        <v>88,5640</v>
      </c>
      <c r="R6" s="6" t="s">
        <v>287</v>
      </c>
    </row>
    <row r="8" ht="15">
      <c r="F8" s="14"/>
    </row>
    <row r="9" ht="15">
      <c r="F9" s="14"/>
    </row>
    <row r="10" ht="15">
      <c r="F10" s="14"/>
    </row>
    <row r="11" ht="15">
      <c r="F11" s="14"/>
    </row>
    <row r="12" ht="15">
      <c r="F12" s="14"/>
    </row>
    <row r="13" ht="15">
      <c r="F13" s="14"/>
    </row>
    <row r="14" ht="15">
      <c r="F14" s="14"/>
    </row>
    <row r="16" spans="2:3" ht="18">
      <c r="B16" s="94"/>
      <c r="C16" s="72"/>
    </row>
    <row r="17" spans="2:3" ht="15">
      <c r="B17" s="95"/>
      <c r="C17" s="73"/>
    </row>
    <row r="18" spans="2:3" ht="14.25">
      <c r="B18" s="96"/>
      <c r="C18" s="77"/>
    </row>
    <row r="19" spans="2:6" ht="15">
      <c r="B19" s="2"/>
      <c r="C19" s="127"/>
      <c r="D19" s="127"/>
      <c r="E19" s="127"/>
      <c r="F19" s="2"/>
    </row>
    <row r="20" spans="2:6" ht="12.75">
      <c r="B20" s="97"/>
      <c r="F20" s="4"/>
    </row>
  </sheetData>
  <sheetProtection/>
  <mergeCells count="14">
    <mergeCell ref="P3:P4"/>
    <mergeCell ref="Q3:Q4"/>
    <mergeCell ref="R3:R4"/>
    <mergeCell ref="B5:Q5"/>
    <mergeCell ref="B1:R2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B1">
      <selection activeCell="G20" sqref="G20"/>
    </sheetView>
  </sheetViews>
  <sheetFormatPr defaultColWidth="8.75390625" defaultRowHeight="12.75"/>
  <cols>
    <col min="1" max="1" width="9.125" style="64" customWidth="1"/>
    <col min="2" max="2" width="22.12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6.75390625" style="16" customWidth="1"/>
    <col min="7" max="7" width="29.25390625" style="16" bestFit="1" customWidth="1"/>
    <col min="8" max="15" width="4.625" style="58" bestFit="1" customWidth="1"/>
    <col min="16" max="16" width="7.875" style="83" bestFit="1" customWidth="1"/>
    <col min="17" max="17" width="8.625" style="58" bestFit="1" customWidth="1"/>
    <col min="18" max="18" width="23.875" style="16" customWidth="1"/>
  </cols>
  <sheetData>
    <row r="1" spans="1:18" s="1" customFormat="1" ht="15" customHeight="1">
      <c r="A1" s="36"/>
      <c r="B1" s="157" t="s">
        <v>529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s="1" customFormat="1" ht="141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s="2" customFormat="1" ht="12.75" customHeight="1">
      <c r="A3" s="170" t="s">
        <v>295</v>
      </c>
      <c r="B3" s="169" t="s">
        <v>0</v>
      </c>
      <c r="C3" s="183" t="s">
        <v>390</v>
      </c>
      <c r="D3" s="165" t="s">
        <v>297</v>
      </c>
      <c r="E3" s="150" t="s">
        <v>391</v>
      </c>
      <c r="F3" s="150" t="s">
        <v>7</v>
      </c>
      <c r="G3" s="167" t="s">
        <v>392</v>
      </c>
      <c r="H3" s="150" t="s">
        <v>393</v>
      </c>
      <c r="I3" s="150"/>
      <c r="J3" s="150"/>
      <c r="K3" s="150"/>
      <c r="L3" s="150" t="s">
        <v>394</v>
      </c>
      <c r="M3" s="150"/>
      <c r="N3" s="150"/>
      <c r="O3" s="150"/>
      <c r="P3" s="148" t="s">
        <v>4</v>
      </c>
      <c r="Q3" s="150" t="s">
        <v>6</v>
      </c>
      <c r="R3" s="154" t="s">
        <v>5</v>
      </c>
    </row>
    <row r="4" spans="1:18" s="2" customFormat="1" ht="21" customHeight="1" thickBot="1">
      <c r="A4" s="171"/>
      <c r="B4" s="182"/>
      <c r="C4" s="184"/>
      <c r="D4" s="151"/>
      <c r="E4" s="151"/>
      <c r="F4" s="151"/>
      <c r="G4" s="185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149"/>
      <c r="Q4" s="151"/>
      <c r="R4" s="155"/>
    </row>
    <row r="5" spans="2:17" ht="15">
      <c r="B5" s="156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8" ht="12.75">
      <c r="A6" s="64">
        <v>1</v>
      </c>
      <c r="B6" s="19" t="s">
        <v>273</v>
      </c>
      <c r="C6" s="19" t="s">
        <v>274</v>
      </c>
      <c r="D6" s="19" t="s">
        <v>301</v>
      </c>
      <c r="E6" s="19" t="str">
        <f>"1,2295"</f>
        <v>1,2295</v>
      </c>
      <c r="F6" s="19" t="s">
        <v>146</v>
      </c>
      <c r="G6" s="19" t="s">
        <v>14</v>
      </c>
      <c r="H6" s="41" t="s">
        <v>395</v>
      </c>
      <c r="I6" s="51"/>
      <c r="J6" s="51"/>
      <c r="K6" s="51"/>
      <c r="L6" s="41" t="s">
        <v>395</v>
      </c>
      <c r="M6" s="51"/>
      <c r="N6" s="51"/>
      <c r="O6" s="51"/>
      <c r="P6" s="79">
        <v>40</v>
      </c>
      <c r="Q6" s="50" t="str">
        <f>"49,1800"</f>
        <v>49,1800</v>
      </c>
      <c r="R6" s="19" t="s">
        <v>396</v>
      </c>
    </row>
    <row r="8" spans="2:17" ht="15">
      <c r="B8" s="147" t="s">
        <v>10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8" ht="12.75">
      <c r="A9" s="64">
        <v>1</v>
      </c>
      <c r="B9" s="19" t="s">
        <v>144</v>
      </c>
      <c r="C9" s="19" t="s">
        <v>397</v>
      </c>
      <c r="D9" s="19" t="s">
        <v>340</v>
      </c>
      <c r="E9" s="19" t="str">
        <f>"0,6497"</f>
        <v>0,6497</v>
      </c>
      <c r="F9" s="19" t="s">
        <v>146</v>
      </c>
      <c r="G9" s="19" t="s">
        <v>14</v>
      </c>
      <c r="H9" s="41" t="s">
        <v>29</v>
      </c>
      <c r="I9" s="41" t="s">
        <v>16</v>
      </c>
      <c r="J9" s="60" t="s">
        <v>234</v>
      </c>
      <c r="K9" s="51"/>
      <c r="L9" s="41" t="s">
        <v>93</v>
      </c>
      <c r="M9" s="41" t="s">
        <v>94</v>
      </c>
      <c r="N9" s="41" t="s">
        <v>292</v>
      </c>
      <c r="O9" s="51"/>
      <c r="P9" s="79">
        <v>125</v>
      </c>
      <c r="Q9" s="50" t="str">
        <f>"101,1986"</f>
        <v>101,1986</v>
      </c>
      <c r="R9" s="19" t="s">
        <v>287</v>
      </c>
    </row>
    <row r="11" spans="2:17" ht="15">
      <c r="B11" s="147" t="s">
        <v>35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8" ht="12.75">
      <c r="A12" s="64">
        <v>1</v>
      </c>
      <c r="B12" s="19" t="s">
        <v>147</v>
      </c>
      <c r="C12" s="19" t="s">
        <v>148</v>
      </c>
      <c r="D12" s="19" t="s">
        <v>109</v>
      </c>
      <c r="E12" s="19" t="str">
        <f>"0,6119"</f>
        <v>0,6119</v>
      </c>
      <c r="F12" s="19" t="s">
        <v>13</v>
      </c>
      <c r="G12" s="19" t="s">
        <v>149</v>
      </c>
      <c r="H12" s="41" t="s">
        <v>16</v>
      </c>
      <c r="I12" s="41" t="s">
        <v>215</v>
      </c>
      <c r="J12" s="41" t="s">
        <v>229</v>
      </c>
      <c r="K12" s="51"/>
      <c r="L12" s="41" t="s">
        <v>94</v>
      </c>
      <c r="M12" s="41" t="s">
        <v>29</v>
      </c>
      <c r="N12" s="41" t="s">
        <v>15</v>
      </c>
      <c r="O12" s="51"/>
      <c r="P12" s="79">
        <v>150</v>
      </c>
      <c r="Q12" s="50" t="str">
        <f>"91,7775"</f>
        <v>91,7775</v>
      </c>
      <c r="R12" s="19" t="s">
        <v>287</v>
      </c>
    </row>
    <row r="14" ht="15">
      <c r="F14" s="17"/>
    </row>
    <row r="15" ht="15">
      <c r="F15" s="17"/>
    </row>
    <row r="16" ht="15">
      <c r="F16" s="17"/>
    </row>
    <row r="17" ht="15">
      <c r="F17" s="17"/>
    </row>
    <row r="18" ht="15">
      <c r="F18" s="17"/>
    </row>
    <row r="19" ht="15">
      <c r="F19" s="17"/>
    </row>
    <row r="20" spans="2:7" ht="15">
      <c r="B20" s="116"/>
      <c r="C20" s="116"/>
      <c r="D20" s="116"/>
      <c r="E20" s="116"/>
      <c r="F20" s="126"/>
      <c r="G20" s="116"/>
    </row>
    <row r="21" spans="2:7" ht="12.75">
      <c r="B21" s="116"/>
      <c r="C21" s="116"/>
      <c r="D21" s="116"/>
      <c r="E21" s="116"/>
      <c r="F21" s="116"/>
      <c r="G21" s="116"/>
    </row>
    <row r="22" spans="2:7" ht="18">
      <c r="B22" s="118"/>
      <c r="C22" s="118"/>
      <c r="D22" s="116"/>
      <c r="E22" s="116"/>
      <c r="F22" s="116"/>
      <c r="G22" s="116"/>
    </row>
    <row r="23" spans="2:7" ht="15">
      <c r="B23" s="119"/>
      <c r="C23" s="119"/>
      <c r="D23" s="116"/>
      <c r="E23" s="116"/>
      <c r="F23" s="116"/>
      <c r="G23" s="116"/>
    </row>
    <row r="24" spans="2:7" ht="14.25">
      <c r="B24" s="120"/>
      <c r="C24" s="121"/>
      <c r="D24" s="116"/>
      <c r="E24" s="116"/>
      <c r="F24" s="116"/>
      <c r="G24" s="116"/>
    </row>
    <row r="25" spans="2:7" ht="15">
      <c r="B25" s="122"/>
      <c r="C25" s="122"/>
      <c r="D25" s="122"/>
      <c r="E25" s="122"/>
      <c r="F25" s="122"/>
      <c r="G25" s="116"/>
    </row>
    <row r="26" spans="2:7" ht="12.75">
      <c r="B26" s="124"/>
      <c r="C26" s="116"/>
      <c r="D26" s="116"/>
      <c r="E26" s="116"/>
      <c r="F26" s="125"/>
      <c r="G26" s="116"/>
    </row>
    <row r="27" spans="2:7" ht="12.75">
      <c r="B27" s="116"/>
      <c r="C27" s="116"/>
      <c r="D27" s="116"/>
      <c r="E27" s="116"/>
      <c r="F27" s="116"/>
      <c r="G27" s="116"/>
    </row>
    <row r="28" spans="2:7" ht="12.75">
      <c r="B28" s="116"/>
      <c r="C28" s="116"/>
      <c r="D28" s="116"/>
      <c r="E28" s="116"/>
      <c r="F28" s="116"/>
      <c r="G28" s="116"/>
    </row>
    <row r="29" spans="2:7" ht="15">
      <c r="B29" s="119"/>
      <c r="C29" s="119"/>
      <c r="D29" s="116"/>
      <c r="E29" s="116"/>
      <c r="F29" s="116"/>
      <c r="G29" s="116"/>
    </row>
    <row r="30" spans="2:7" ht="14.25">
      <c r="B30" s="120"/>
      <c r="C30" s="121"/>
      <c r="D30" s="116"/>
      <c r="E30" s="116"/>
      <c r="F30" s="116"/>
      <c r="G30" s="116"/>
    </row>
    <row r="31" spans="2:7" ht="15">
      <c r="B31" s="122"/>
      <c r="C31" s="122"/>
      <c r="D31" s="122"/>
      <c r="E31" s="122"/>
      <c r="F31" s="122"/>
      <c r="G31" s="116"/>
    </row>
    <row r="32" spans="2:7" ht="12.75">
      <c r="B32" s="124"/>
      <c r="C32" s="116"/>
      <c r="D32" s="116"/>
      <c r="E32" s="116"/>
      <c r="F32" s="125"/>
      <c r="G32" s="116"/>
    </row>
    <row r="33" spans="2:7" ht="12.75">
      <c r="B33" s="116"/>
      <c r="C33" s="116"/>
      <c r="D33" s="116"/>
      <c r="E33" s="116"/>
      <c r="F33" s="116"/>
      <c r="G33" s="116"/>
    </row>
    <row r="34" spans="2:7" ht="14.25">
      <c r="B34" s="120"/>
      <c r="C34" s="121"/>
      <c r="D34" s="116"/>
      <c r="E34" s="116"/>
      <c r="F34" s="116"/>
      <c r="G34" s="116"/>
    </row>
    <row r="35" spans="2:7" ht="15">
      <c r="B35" s="122"/>
      <c r="C35" s="122"/>
      <c r="D35" s="122"/>
      <c r="E35" s="122"/>
      <c r="F35" s="122"/>
      <c r="G35" s="116"/>
    </row>
    <row r="36" spans="2:7" ht="12.75">
      <c r="B36" s="124"/>
      <c r="C36" s="116"/>
      <c r="D36" s="116"/>
      <c r="E36" s="116"/>
      <c r="F36" s="125"/>
      <c r="G36" s="116"/>
    </row>
    <row r="37" spans="2:7" ht="12.75">
      <c r="B37" s="116"/>
      <c r="C37" s="116"/>
      <c r="D37" s="116"/>
      <c r="E37" s="116"/>
      <c r="F37" s="116"/>
      <c r="G37" s="116"/>
    </row>
    <row r="38" spans="2:7" ht="12.75">
      <c r="B38" s="116"/>
      <c r="C38" s="116"/>
      <c r="D38" s="116"/>
      <c r="E38" s="116"/>
      <c r="F38" s="116"/>
      <c r="G38" s="116"/>
    </row>
    <row r="39" spans="2:7" ht="12.75">
      <c r="B39" s="116"/>
      <c r="C39" s="116"/>
      <c r="D39" s="116"/>
      <c r="E39" s="116"/>
      <c r="F39" s="116"/>
      <c r="G39" s="116"/>
    </row>
  </sheetData>
  <sheetProtection/>
  <mergeCells count="16">
    <mergeCell ref="B1:R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8:Q8"/>
    <mergeCell ref="B11:Q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G36" sqref="G36"/>
    </sheetView>
  </sheetViews>
  <sheetFormatPr defaultColWidth="8.75390625" defaultRowHeight="12.75"/>
  <cols>
    <col min="1" max="1" width="9.125" style="64" customWidth="1"/>
    <col min="2" max="2" width="26.00390625" style="16" bestFit="1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20.375" style="16" customWidth="1"/>
    <col min="7" max="7" width="30.75390625" style="16" bestFit="1" customWidth="1"/>
    <col min="8" max="8" width="5.625" style="58" bestFit="1" customWidth="1"/>
    <col min="9" max="9" width="9.625" style="103" bestFit="1" customWidth="1"/>
    <col min="10" max="10" width="7.875" style="83" bestFit="1" customWidth="1"/>
    <col min="11" max="11" width="9.625" style="58" bestFit="1" customWidth="1"/>
    <col min="12" max="12" width="15.75390625" style="16" bestFit="1" customWidth="1"/>
  </cols>
  <sheetData>
    <row r="1" spans="1:12" s="1" customFormat="1" ht="15" customHeight="1">
      <c r="A1" s="36"/>
      <c r="B1" s="157" t="s">
        <v>530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1" customFormat="1" ht="109.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2" customFormat="1" ht="12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391</v>
      </c>
      <c r="F3" s="150" t="s">
        <v>7</v>
      </c>
      <c r="G3" s="150" t="s">
        <v>298</v>
      </c>
      <c r="H3" s="150" t="s">
        <v>2</v>
      </c>
      <c r="I3" s="150"/>
      <c r="J3" s="148" t="s">
        <v>398</v>
      </c>
      <c r="K3" s="150" t="s">
        <v>6</v>
      </c>
      <c r="L3" s="154" t="s">
        <v>5</v>
      </c>
    </row>
    <row r="4" spans="1:12" s="2" customFormat="1" ht="21" customHeight="1" thickBot="1">
      <c r="A4" s="151"/>
      <c r="B4" s="171"/>
      <c r="C4" s="151"/>
      <c r="D4" s="166"/>
      <c r="E4" s="151"/>
      <c r="F4" s="151"/>
      <c r="G4" s="151"/>
      <c r="H4" s="3" t="s">
        <v>399</v>
      </c>
      <c r="I4" s="99" t="s">
        <v>400</v>
      </c>
      <c r="J4" s="149"/>
      <c r="K4" s="151"/>
      <c r="L4" s="155"/>
    </row>
    <row r="5" spans="2:11" ht="15">
      <c r="B5" s="156" t="s">
        <v>17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2" ht="12.75">
      <c r="A6" s="64">
        <v>1</v>
      </c>
      <c r="B6" s="20" t="s">
        <v>401</v>
      </c>
      <c r="C6" s="20" t="s">
        <v>402</v>
      </c>
      <c r="D6" s="20" t="s">
        <v>352</v>
      </c>
      <c r="E6" s="20" t="str">
        <f>"0,6940"</f>
        <v>0,6940</v>
      </c>
      <c r="F6" s="20" t="s">
        <v>138</v>
      </c>
      <c r="G6" s="20" t="s">
        <v>14</v>
      </c>
      <c r="H6" s="52" t="s">
        <v>234</v>
      </c>
      <c r="I6" s="100">
        <v>54</v>
      </c>
      <c r="J6" s="80">
        <v>4050</v>
      </c>
      <c r="K6" s="52" t="str">
        <f>"2810,7000"</f>
        <v>2810,7000</v>
      </c>
      <c r="L6" s="19" t="s">
        <v>287</v>
      </c>
    </row>
    <row r="7" spans="1:12" ht="12.75">
      <c r="A7" s="64">
        <v>2</v>
      </c>
      <c r="B7" s="21" t="s">
        <v>403</v>
      </c>
      <c r="C7" s="21" t="s">
        <v>404</v>
      </c>
      <c r="D7" s="21" t="s">
        <v>405</v>
      </c>
      <c r="E7" s="21" t="str">
        <f>"0,7456"</f>
        <v>0,7456</v>
      </c>
      <c r="F7" s="21" t="s">
        <v>13</v>
      </c>
      <c r="G7" s="21" t="s">
        <v>406</v>
      </c>
      <c r="H7" s="54" t="s">
        <v>16</v>
      </c>
      <c r="I7" s="101">
        <v>35</v>
      </c>
      <c r="J7" s="82">
        <v>2450</v>
      </c>
      <c r="K7" s="54" t="str">
        <f>"1826,8425"</f>
        <v>1826,8425</v>
      </c>
      <c r="L7" s="19" t="s">
        <v>287</v>
      </c>
    </row>
    <row r="8" spans="1:12" ht="12.75">
      <c r="A8" s="64">
        <v>3</v>
      </c>
      <c r="B8" s="21" t="s">
        <v>407</v>
      </c>
      <c r="C8" s="21" t="s">
        <v>408</v>
      </c>
      <c r="D8" s="21" t="s">
        <v>409</v>
      </c>
      <c r="E8" s="21" t="str">
        <f>"0,7117"</f>
        <v>0,7117</v>
      </c>
      <c r="F8" s="21" t="s">
        <v>118</v>
      </c>
      <c r="G8" s="21" t="s">
        <v>14</v>
      </c>
      <c r="H8" s="54" t="s">
        <v>279</v>
      </c>
      <c r="I8" s="101">
        <v>28</v>
      </c>
      <c r="J8" s="82">
        <v>2030</v>
      </c>
      <c r="K8" s="54" t="str">
        <f>"1444,7510"</f>
        <v>1444,7510</v>
      </c>
      <c r="L8" s="19" t="s">
        <v>287</v>
      </c>
    </row>
    <row r="9" spans="1:12" ht="12.75">
      <c r="A9" s="64">
        <v>1</v>
      </c>
      <c r="B9" s="22" t="s">
        <v>410</v>
      </c>
      <c r="C9" s="22" t="s">
        <v>411</v>
      </c>
      <c r="D9" s="22" t="s">
        <v>319</v>
      </c>
      <c r="E9" s="22" t="str">
        <f>"0,6962"</f>
        <v>0,6962</v>
      </c>
      <c r="F9" s="22" t="s">
        <v>13</v>
      </c>
      <c r="G9" s="22" t="s">
        <v>14</v>
      </c>
      <c r="H9" s="56" t="s">
        <v>234</v>
      </c>
      <c r="I9" s="102">
        <v>22</v>
      </c>
      <c r="J9" s="81">
        <v>1650</v>
      </c>
      <c r="K9" s="56" t="str">
        <f>"1171,6205"</f>
        <v>1171,6205</v>
      </c>
      <c r="L9" s="19" t="s">
        <v>287</v>
      </c>
    </row>
    <row r="11" spans="2:11" ht="15">
      <c r="B11" s="147" t="s">
        <v>35</v>
      </c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2" ht="12.75">
      <c r="A12" s="64">
        <v>1</v>
      </c>
      <c r="B12" s="20" t="s">
        <v>412</v>
      </c>
      <c r="C12" s="20" t="s">
        <v>413</v>
      </c>
      <c r="D12" s="20" t="s">
        <v>414</v>
      </c>
      <c r="E12" s="20" t="str">
        <f>"0,6411"</f>
        <v>0,6411</v>
      </c>
      <c r="F12" s="20" t="s">
        <v>415</v>
      </c>
      <c r="G12" s="20" t="s">
        <v>14</v>
      </c>
      <c r="H12" s="52" t="s">
        <v>229</v>
      </c>
      <c r="I12" s="100">
        <v>32</v>
      </c>
      <c r="J12" s="80">
        <v>2720</v>
      </c>
      <c r="K12" s="52" t="str">
        <f>"1743,7920"</f>
        <v>1743,7920</v>
      </c>
      <c r="L12" s="19" t="s">
        <v>287</v>
      </c>
    </row>
    <row r="13" spans="1:12" ht="12.75">
      <c r="A13" s="64">
        <v>2</v>
      </c>
      <c r="B13" s="21" t="s">
        <v>290</v>
      </c>
      <c r="C13" s="21" t="s">
        <v>291</v>
      </c>
      <c r="D13" s="21" t="s">
        <v>229</v>
      </c>
      <c r="E13" s="21" t="str">
        <f>"0,6326"</f>
        <v>0,6326</v>
      </c>
      <c r="F13" s="21" t="s">
        <v>146</v>
      </c>
      <c r="G13" s="21" t="s">
        <v>14</v>
      </c>
      <c r="H13" s="54" t="s">
        <v>229</v>
      </c>
      <c r="I13" s="101">
        <v>29</v>
      </c>
      <c r="J13" s="82">
        <v>2465</v>
      </c>
      <c r="K13" s="54" t="str">
        <f>"1559,3590"</f>
        <v>1559,3590</v>
      </c>
      <c r="L13" s="19" t="s">
        <v>287</v>
      </c>
    </row>
    <row r="14" spans="1:12" ht="12.75">
      <c r="A14" s="64">
        <v>3</v>
      </c>
      <c r="B14" s="21" t="s">
        <v>416</v>
      </c>
      <c r="C14" s="21" t="s">
        <v>417</v>
      </c>
      <c r="D14" s="21" t="s">
        <v>418</v>
      </c>
      <c r="E14" s="21" t="str">
        <f>"0,6421"</f>
        <v>0,6421</v>
      </c>
      <c r="F14" s="21" t="s">
        <v>138</v>
      </c>
      <c r="G14" s="21" t="s">
        <v>14</v>
      </c>
      <c r="H14" s="54" t="s">
        <v>229</v>
      </c>
      <c r="I14" s="101">
        <v>23</v>
      </c>
      <c r="J14" s="82">
        <v>1955</v>
      </c>
      <c r="K14" s="54" t="str">
        <f>"1255,3055"</f>
        <v>1255,3055</v>
      </c>
      <c r="L14" s="19" t="s">
        <v>287</v>
      </c>
    </row>
    <row r="15" spans="1:12" ht="12.75">
      <c r="A15" s="64">
        <v>4</v>
      </c>
      <c r="B15" s="21" t="s">
        <v>41</v>
      </c>
      <c r="C15" s="21" t="s">
        <v>42</v>
      </c>
      <c r="D15" s="21" t="s">
        <v>310</v>
      </c>
      <c r="E15" s="21" t="str">
        <f>"0,6133"</f>
        <v>0,6133</v>
      </c>
      <c r="F15" s="21" t="s">
        <v>13</v>
      </c>
      <c r="G15" s="21" t="s">
        <v>14</v>
      </c>
      <c r="H15" s="54" t="s">
        <v>109</v>
      </c>
      <c r="I15" s="101">
        <v>14</v>
      </c>
      <c r="J15" s="82">
        <v>1260</v>
      </c>
      <c r="K15" s="54" t="str">
        <f>"772,8210"</f>
        <v>772,8210</v>
      </c>
      <c r="L15" s="19" t="s">
        <v>287</v>
      </c>
    </row>
    <row r="16" spans="1:12" ht="12.75">
      <c r="A16" s="64">
        <v>1</v>
      </c>
      <c r="B16" s="22" t="s">
        <v>419</v>
      </c>
      <c r="C16" s="22" t="s">
        <v>420</v>
      </c>
      <c r="D16" s="22" t="s">
        <v>418</v>
      </c>
      <c r="E16" s="22" t="str">
        <f>"0,6421"</f>
        <v>0,6421</v>
      </c>
      <c r="F16" s="22" t="s">
        <v>20</v>
      </c>
      <c r="G16" s="22" t="s">
        <v>14</v>
      </c>
      <c r="H16" s="56" t="s">
        <v>229</v>
      </c>
      <c r="I16" s="102">
        <v>26</v>
      </c>
      <c r="J16" s="81">
        <v>2210</v>
      </c>
      <c r="K16" s="56" t="str">
        <f>"1497,0882"</f>
        <v>1497,0882</v>
      </c>
      <c r="L16" s="19" t="s">
        <v>287</v>
      </c>
    </row>
    <row r="18" spans="2:11" ht="15">
      <c r="B18" s="147" t="s">
        <v>48</v>
      </c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2" ht="12.75">
      <c r="A19" s="64">
        <v>1</v>
      </c>
      <c r="B19" s="19" t="s">
        <v>421</v>
      </c>
      <c r="C19" s="19" t="s">
        <v>422</v>
      </c>
      <c r="D19" s="19" t="s">
        <v>103</v>
      </c>
      <c r="E19" s="19" t="str">
        <f>"0,5813"</f>
        <v>0,5813</v>
      </c>
      <c r="F19" s="19" t="s">
        <v>13</v>
      </c>
      <c r="G19" s="19" t="s">
        <v>14</v>
      </c>
      <c r="H19" s="50" t="s">
        <v>103</v>
      </c>
      <c r="I19" s="104">
        <v>15</v>
      </c>
      <c r="J19" s="79">
        <v>1500</v>
      </c>
      <c r="K19" s="50" t="str">
        <f>"871,9500"</f>
        <v>871,9500</v>
      </c>
      <c r="L19" s="19" t="s">
        <v>287</v>
      </c>
    </row>
    <row r="21" spans="2:11" ht="15">
      <c r="B21" s="147" t="s">
        <v>54</v>
      </c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2" ht="12.75">
      <c r="A22" s="64">
        <v>1</v>
      </c>
      <c r="B22" s="19" t="s">
        <v>68</v>
      </c>
      <c r="C22" s="19" t="s">
        <v>423</v>
      </c>
      <c r="D22" s="19" t="s">
        <v>358</v>
      </c>
      <c r="E22" s="19" t="str">
        <f>"0,5688"</f>
        <v>0,5688</v>
      </c>
      <c r="F22" s="19" t="s">
        <v>20</v>
      </c>
      <c r="G22" s="19" t="s">
        <v>14</v>
      </c>
      <c r="H22" s="50" t="s">
        <v>126</v>
      </c>
      <c r="I22" s="104">
        <v>28</v>
      </c>
      <c r="J22" s="79">
        <v>3010</v>
      </c>
      <c r="K22" s="50" t="str">
        <f>"1878,3256"</f>
        <v>1878,3256</v>
      </c>
      <c r="L22" s="19" t="s">
        <v>287</v>
      </c>
    </row>
    <row r="24" ht="15">
      <c r="F24" s="17"/>
    </row>
    <row r="25" ht="15">
      <c r="F25" s="17"/>
    </row>
    <row r="26" ht="15">
      <c r="F26" s="17"/>
    </row>
    <row r="27" ht="15">
      <c r="F27" s="17"/>
    </row>
    <row r="28" ht="15">
      <c r="F28" s="17"/>
    </row>
    <row r="29" ht="15">
      <c r="F29" s="17"/>
    </row>
    <row r="30" ht="15">
      <c r="F30" s="17"/>
    </row>
    <row r="31" spans="2:7" ht="12.75">
      <c r="B31" s="116"/>
      <c r="C31" s="116"/>
      <c r="D31" s="116"/>
      <c r="E31" s="116"/>
      <c r="F31" s="116"/>
      <c r="G31" s="116"/>
    </row>
    <row r="32" spans="2:7" ht="18">
      <c r="B32" s="118"/>
      <c r="C32" s="118"/>
      <c r="D32" s="116"/>
      <c r="E32" s="116"/>
      <c r="F32" s="116"/>
      <c r="G32" s="116"/>
    </row>
    <row r="33" spans="2:7" ht="15">
      <c r="B33" s="119"/>
      <c r="C33" s="119"/>
      <c r="D33" s="116"/>
      <c r="E33" s="116"/>
      <c r="F33" s="116"/>
      <c r="G33" s="116"/>
    </row>
    <row r="34" spans="2:7" ht="14.25">
      <c r="B34" s="120"/>
      <c r="C34" s="121"/>
      <c r="D34" s="116"/>
      <c r="E34" s="116"/>
      <c r="F34" s="116"/>
      <c r="G34" s="116"/>
    </row>
    <row r="35" spans="2:7" ht="15">
      <c r="B35" s="122"/>
      <c r="C35" s="122"/>
      <c r="D35" s="122"/>
      <c r="E35" s="122"/>
      <c r="F35" s="122"/>
      <c r="G35" s="116"/>
    </row>
    <row r="36" spans="2:7" ht="12.75">
      <c r="B36" s="124"/>
      <c r="C36" s="116"/>
      <c r="D36" s="116"/>
      <c r="E36" s="116"/>
      <c r="F36" s="125"/>
      <c r="G36" s="116"/>
    </row>
    <row r="37" spans="2:7" ht="12.75">
      <c r="B37" s="124"/>
      <c r="C37" s="116"/>
      <c r="D37" s="116"/>
      <c r="E37" s="116"/>
      <c r="F37" s="125"/>
      <c r="G37" s="116"/>
    </row>
    <row r="38" spans="2:7" ht="12.75">
      <c r="B38" s="124"/>
      <c r="C38" s="116"/>
      <c r="D38" s="116"/>
      <c r="E38" s="116"/>
      <c r="F38" s="125"/>
      <c r="G38" s="116"/>
    </row>
    <row r="39" spans="2:7" ht="12.75">
      <c r="B39" s="124"/>
      <c r="C39" s="116"/>
      <c r="D39" s="116"/>
      <c r="E39" s="116"/>
      <c r="F39" s="125"/>
      <c r="G39" s="116"/>
    </row>
    <row r="40" spans="2:7" ht="12.75">
      <c r="B40" s="124"/>
      <c r="C40" s="116"/>
      <c r="D40" s="116"/>
      <c r="E40" s="116"/>
      <c r="F40" s="125"/>
      <c r="G40" s="116"/>
    </row>
    <row r="41" spans="2:7" ht="12.75">
      <c r="B41" s="124"/>
      <c r="C41" s="116"/>
      <c r="D41" s="116"/>
      <c r="E41" s="116"/>
      <c r="F41" s="125"/>
      <c r="G41" s="116"/>
    </row>
    <row r="42" spans="2:7" ht="12.75">
      <c r="B42" s="124"/>
      <c r="C42" s="116"/>
      <c r="D42" s="116"/>
      <c r="E42" s="116"/>
      <c r="F42" s="125"/>
      <c r="G42" s="116"/>
    </row>
    <row r="43" spans="2:7" ht="12.75">
      <c r="B43" s="124"/>
      <c r="C43" s="116"/>
      <c r="D43" s="116"/>
      <c r="E43" s="116"/>
      <c r="F43" s="125"/>
      <c r="G43" s="116"/>
    </row>
    <row r="44" spans="2:7" ht="12.75">
      <c r="B44" s="116"/>
      <c r="C44" s="116"/>
      <c r="D44" s="116"/>
      <c r="E44" s="116"/>
      <c r="F44" s="116"/>
      <c r="G44" s="116"/>
    </row>
    <row r="45" spans="2:7" ht="14.25">
      <c r="B45" s="120"/>
      <c r="C45" s="121"/>
      <c r="D45" s="116"/>
      <c r="E45" s="116"/>
      <c r="F45" s="116"/>
      <c r="G45" s="116"/>
    </row>
    <row r="46" spans="2:7" ht="15">
      <c r="B46" s="122"/>
      <c r="C46" s="122"/>
      <c r="D46" s="122"/>
      <c r="E46" s="122"/>
      <c r="F46" s="122"/>
      <c r="G46" s="116"/>
    </row>
    <row r="47" spans="2:7" ht="12.75">
      <c r="B47" s="124"/>
      <c r="C47" s="116"/>
      <c r="D47" s="116"/>
      <c r="E47" s="116"/>
      <c r="F47" s="125"/>
      <c r="G47" s="116"/>
    </row>
    <row r="48" spans="2:7" ht="12.75">
      <c r="B48" s="124"/>
      <c r="C48" s="116"/>
      <c r="D48" s="116"/>
      <c r="E48" s="116"/>
      <c r="F48" s="125"/>
      <c r="G48" s="116"/>
    </row>
    <row r="49" spans="2:7" ht="12.75">
      <c r="B49" s="124"/>
      <c r="C49" s="116"/>
      <c r="D49" s="116"/>
      <c r="E49" s="116"/>
      <c r="F49" s="125"/>
      <c r="G49" s="116"/>
    </row>
  </sheetData>
  <sheetProtection/>
  <mergeCells count="16"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11:K11"/>
    <mergeCell ref="B18:K18"/>
    <mergeCell ref="B21:K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23" sqref="G23"/>
    </sheetView>
  </sheetViews>
  <sheetFormatPr defaultColWidth="8.75390625" defaultRowHeight="12.75"/>
  <cols>
    <col min="1" max="1" width="9.125" style="64" customWidth="1"/>
    <col min="2" max="3" width="26.0039062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26.00390625" style="16" bestFit="1" customWidth="1"/>
    <col min="8" max="8" width="7.75390625" style="58" customWidth="1"/>
    <col min="9" max="9" width="10.25390625" style="58" customWidth="1"/>
    <col min="10" max="10" width="7.875" style="58" bestFit="1" customWidth="1"/>
    <col min="11" max="11" width="9.625" style="58" bestFit="1" customWidth="1"/>
    <col min="12" max="12" width="16.625" style="16" bestFit="1" customWidth="1"/>
  </cols>
  <sheetData>
    <row r="1" spans="1:12" s="1" customFormat="1" ht="69.75" customHeight="1">
      <c r="A1" s="36"/>
      <c r="B1" s="157" t="s">
        <v>531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1" customFormat="1" ht="69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2" customFormat="1" ht="36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391</v>
      </c>
      <c r="F3" s="150" t="s">
        <v>7</v>
      </c>
      <c r="G3" s="150" t="s">
        <v>298</v>
      </c>
      <c r="H3" s="150" t="s">
        <v>2</v>
      </c>
      <c r="I3" s="150"/>
      <c r="J3" s="150" t="s">
        <v>398</v>
      </c>
      <c r="K3" s="150" t="s">
        <v>6</v>
      </c>
      <c r="L3" s="154" t="s">
        <v>5</v>
      </c>
    </row>
    <row r="4" spans="1:12" s="2" customFormat="1" ht="21" customHeight="1" thickBot="1">
      <c r="A4" s="151"/>
      <c r="B4" s="171"/>
      <c r="C4" s="151"/>
      <c r="D4" s="166"/>
      <c r="E4" s="151"/>
      <c r="F4" s="151"/>
      <c r="G4" s="151"/>
      <c r="H4" s="3" t="s">
        <v>399</v>
      </c>
      <c r="I4" s="3" t="s">
        <v>400</v>
      </c>
      <c r="J4" s="151"/>
      <c r="K4" s="151"/>
      <c r="L4" s="155"/>
    </row>
    <row r="5" spans="2:11" ht="15">
      <c r="B5" s="156" t="s">
        <v>204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2" ht="12.75">
      <c r="A6" s="64">
        <v>1</v>
      </c>
      <c r="B6" s="19" t="s">
        <v>424</v>
      </c>
      <c r="C6" s="19" t="s">
        <v>425</v>
      </c>
      <c r="D6" s="19" t="s">
        <v>15</v>
      </c>
      <c r="E6" s="19" t="str">
        <f>"0,9266"</f>
        <v>0,9266</v>
      </c>
      <c r="F6" s="19" t="s">
        <v>13</v>
      </c>
      <c r="G6" s="19" t="s">
        <v>14</v>
      </c>
      <c r="H6" s="50" t="s">
        <v>220</v>
      </c>
      <c r="I6" s="50" t="s">
        <v>426</v>
      </c>
      <c r="J6" s="50" t="s">
        <v>501</v>
      </c>
      <c r="K6" s="50" t="str">
        <f>"1023,9482"</f>
        <v>1023,9482</v>
      </c>
      <c r="L6" s="19" t="s">
        <v>427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spans="2:6" ht="15">
      <c r="B14" s="116"/>
      <c r="C14" s="116"/>
      <c r="D14" s="116"/>
      <c r="E14" s="116"/>
      <c r="F14" s="126"/>
    </row>
    <row r="15" spans="2:6" ht="12.75">
      <c r="B15" s="116"/>
      <c r="C15" s="116"/>
      <c r="D15" s="116"/>
      <c r="E15" s="116"/>
      <c r="F15" s="116"/>
    </row>
    <row r="16" spans="2:6" ht="18">
      <c r="B16" s="118"/>
      <c r="C16" s="118"/>
      <c r="D16" s="116"/>
      <c r="E16" s="116"/>
      <c r="F16" s="116"/>
    </row>
    <row r="17" spans="2:6" ht="15">
      <c r="B17" s="119"/>
      <c r="C17" s="119"/>
      <c r="D17" s="116"/>
      <c r="E17" s="116"/>
      <c r="F17" s="116"/>
    </row>
    <row r="18" spans="2:6" ht="14.25">
      <c r="B18" s="120"/>
      <c r="C18" s="121"/>
      <c r="D18" s="116"/>
      <c r="E18" s="116"/>
      <c r="F18" s="116"/>
    </row>
    <row r="19" spans="2:6" ht="15">
      <c r="B19" s="122"/>
      <c r="C19" s="122"/>
      <c r="D19" s="122"/>
      <c r="E19" s="122"/>
      <c r="F19" s="122"/>
    </row>
    <row r="20" spans="2:6" ht="12.75">
      <c r="B20" s="124"/>
      <c r="C20" s="116"/>
      <c r="D20" s="116"/>
      <c r="E20" s="116"/>
      <c r="F20" s="125"/>
    </row>
    <row r="21" spans="2:6" ht="12.75">
      <c r="B21" s="116"/>
      <c r="C21" s="116"/>
      <c r="D21" s="116"/>
      <c r="E21" s="116"/>
      <c r="F21" s="116"/>
    </row>
    <row r="22" spans="2:6" ht="12.75">
      <c r="B22" s="116"/>
      <c r="C22" s="116"/>
      <c r="D22" s="116"/>
      <c r="E22" s="116"/>
      <c r="F22" s="116"/>
    </row>
  </sheetData>
  <sheetProtection/>
  <mergeCells count="13"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G31" sqref="G31"/>
    </sheetView>
  </sheetViews>
  <sheetFormatPr defaultColWidth="9.125" defaultRowHeight="12.75"/>
  <cols>
    <col min="1" max="1" width="9.125" style="36" customWidth="1"/>
    <col min="2" max="2" width="28.25390625" style="4" bestFit="1" customWidth="1"/>
    <col min="3" max="3" width="26.875" style="5" bestFit="1" customWidth="1"/>
    <col min="4" max="4" width="10.625" style="5" bestFit="1" customWidth="1"/>
    <col min="5" max="5" width="8.375" style="1" bestFit="1" customWidth="1"/>
    <col min="6" max="6" width="22.75390625" style="5" bestFit="1" customWidth="1"/>
    <col min="7" max="7" width="31.25390625" style="5" bestFit="1" customWidth="1"/>
    <col min="8" max="8" width="7.625" style="36" customWidth="1"/>
    <col min="9" max="9" width="9.75390625" style="36" customWidth="1"/>
    <col min="10" max="10" width="7.875" style="36" bestFit="1" customWidth="1"/>
    <col min="11" max="11" width="9.625" style="36" bestFit="1" customWidth="1"/>
    <col min="12" max="12" width="16.625" style="5" bestFit="1" customWidth="1"/>
    <col min="13" max="16384" width="9.125" style="1" customWidth="1"/>
  </cols>
  <sheetData>
    <row r="1" spans="2:12" ht="15" customHeight="1">
      <c r="B1" s="157" t="s">
        <v>532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2:12" ht="103.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2" customFormat="1" ht="12.75" customHeight="1">
      <c r="A3" s="150" t="s">
        <v>295</v>
      </c>
      <c r="B3" s="170" t="s">
        <v>0</v>
      </c>
      <c r="C3" s="180" t="s">
        <v>296</v>
      </c>
      <c r="D3" s="180" t="s">
        <v>297</v>
      </c>
      <c r="E3" s="150" t="s">
        <v>391</v>
      </c>
      <c r="F3" s="150" t="s">
        <v>7</v>
      </c>
      <c r="G3" s="150" t="s">
        <v>298</v>
      </c>
      <c r="H3" s="150" t="s">
        <v>2</v>
      </c>
      <c r="I3" s="150"/>
      <c r="J3" s="150" t="s">
        <v>398</v>
      </c>
      <c r="K3" s="150" t="s">
        <v>6</v>
      </c>
      <c r="L3" s="154" t="s">
        <v>5</v>
      </c>
    </row>
    <row r="4" spans="1:12" s="2" customFormat="1" ht="21" customHeight="1" thickBot="1">
      <c r="A4" s="151"/>
      <c r="B4" s="171"/>
      <c r="C4" s="175"/>
      <c r="D4" s="181"/>
      <c r="E4" s="151"/>
      <c r="F4" s="151"/>
      <c r="G4" s="151"/>
      <c r="H4" s="29" t="s">
        <v>399</v>
      </c>
      <c r="I4" s="29" t="s">
        <v>400</v>
      </c>
      <c r="J4" s="151"/>
      <c r="K4" s="151"/>
      <c r="L4" s="155"/>
    </row>
    <row r="5" spans="2:11" ht="15">
      <c r="B5" s="173" t="s">
        <v>204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1:12" ht="12.75">
      <c r="A6" s="36" t="s">
        <v>360</v>
      </c>
      <c r="B6" s="67" t="s">
        <v>428</v>
      </c>
      <c r="C6" s="67" t="s">
        <v>429</v>
      </c>
      <c r="D6" s="6" t="s">
        <v>430</v>
      </c>
      <c r="E6" s="89" t="str">
        <f>"0,7531"</f>
        <v>0,7531</v>
      </c>
      <c r="F6" s="67" t="s">
        <v>20</v>
      </c>
      <c r="G6" s="67" t="s">
        <v>14</v>
      </c>
      <c r="H6" s="30" t="s">
        <v>98</v>
      </c>
      <c r="I6" s="30" t="s">
        <v>431</v>
      </c>
      <c r="J6" s="30" t="s">
        <v>502</v>
      </c>
      <c r="K6" s="30" t="str">
        <f>"1677,6416"</f>
        <v>1677,6416</v>
      </c>
      <c r="L6" s="6" t="s">
        <v>287</v>
      </c>
    </row>
    <row r="7" spans="2:7" ht="12.75">
      <c r="B7" s="68"/>
      <c r="C7" s="68"/>
      <c r="D7" s="68"/>
      <c r="E7" s="92"/>
      <c r="F7" s="68"/>
      <c r="G7" s="68"/>
    </row>
    <row r="8" spans="2:11" ht="15">
      <c r="B8" s="172" t="s">
        <v>17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2" ht="12.75">
      <c r="A9" s="36" t="s">
        <v>360</v>
      </c>
      <c r="B9" s="69" t="s">
        <v>432</v>
      </c>
      <c r="C9" s="69" t="s">
        <v>433</v>
      </c>
      <c r="D9" s="8" t="s">
        <v>319</v>
      </c>
      <c r="E9" s="105" t="str">
        <f>"0,6962"</f>
        <v>0,6962</v>
      </c>
      <c r="F9" s="69" t="s">
        <v>13</v>
      </c>
      <c r="G9" s="69" t="s">
        <v>14</v>
      </c>
      <c r="H9" s="31" t="s">
        <v>234</v>
      </c>
      <c r="I9" s="31" t="s">
        <v>434</v>
      </c>
      <c r="J9" s="31" t="s">
        <v>503</v>
      </c>
      <c r="K9" s="144" t="str">
        <f>"626,5350"</f>
        <v>626,5350</v>
      </c>
      <c r="L9" s="8" t="s">
        <v>427</v>
      </c>
    </row>
    <row r="10" spans="1:12" ht="12.75">
      <c r="A10" s="36" t="s">
        <v>361</v>
      </c>
      <c r="B10" s="70" t="s">
        <v>107</v>
      </c>
      <c r="C10" s="70" t="s">
        <v>108</v>
      </c>
      <c r="D10" s="10" t="s">
        <v>347</v>
      </c>
      <c r="E10" s="106" t="str">
        <f>"0,7005"</f>
        <v>0,7005</v>
      </c>
      <c r="F10" s="70" t="s">
        <v>13</v>
      </c>
      <c r="G10" s="70" t="s">
        <v>14</v>
      </c>
      <c r="H10" s="32" t="s">
        <v>234</v>
      </c>
      <c r="I10" s="32" t="s">
        <v>435</v>
      </c>
      <c r="J10" s="32" t="s">
        <v>504</v>
      </c>
      <c r="K10" s="145" t="str">
        <f>"525,3375"</f>
        <v>525,3375</v>
      </c>
      <c r="L10" s="10" t="s">
        <v>366</v>
      </c>
    </row>
    <row r="11" spans="1:12" ht="12.75">
      <c r="A11" s="36" t="s">
        <v>360</v>
      </c>
      <c r="B11" s="70" t="s">
        <v>436</v>
      </c>
      <c r="C11" s="70" t="s">
        <v>437</v>
      </c>
      <c r="D11" s="10" t="s">
        <v>438</v>
      </c>
      <c r="E11" s="106" t="str">
        <f>"0,7271"</f>
        <v>0,7271</v>
      </c>
      <c r="F11" s="70" t="s">
        <v>138</v>
      </c>
      <c r="G11" s="70" t="s">
        <v>14</v>
      </c>
      <c r="H11" s="32" t="s">
        <v>16</v>
      </c>
      <c r="I11" s="32" t="s">
        <v>439</v>
      </c>
      <c r="J11" s="32" t="s">
        <v>505</v>
      </c>
      <c r="K11" s="145" t="str">
        <f>"1628,7040"</f>
        <v>1628,7040</v>
      </c>
      <c r="L11" s="10" t="s">
        <v>440</v>
      </c>
    </row>
    <row r="12" spans="1:12" ht="12.75">
      <c r="A12" s="36" t="s">
        <v>361</v>
      </c>
      <c r="B12" s="70" t="s">
        <v>111</v>
      </c>
      <c r="C12" s="70" t="s">
        <v>112</v>
      </c>
      <c r="D12" s="10" t="s">
        <v>348</v>
      </c>
      <c r="E12" s="106" t="str">
        <f>"0,7110"</f>
        <v>0,7110</v>
      </c>
      <c r="F12" s="70" t="s">
        <v>13</v>
      </c>
      <c r="G12" s="70" t="s">
        <v>113</v>
      </c>
      <c r="H12" s="32" t="s">
        <v>279</v>
      </c>
      <c r="I12" s="32" t="s">
        <v>441</v>
      </c>
      <c r="J12" s="32" t="s">
        <v>506</v>
      </c>
      <c r="K12" s="145" t="str">
        <f>"1546,3163"</f>
        <v>1546,3163</v>
      </c>
      <c r="L12" s="12" t="s">
        <v>287</v>
      </c>
    </row>
    <row r="13" spans="2:7" ht="12.75">
      <c r="B13" s="68"/>
      <c r="C13" s="68"/>
      <c r="D13" s="68"/>
      <c r="E13" s="92"/>
      <c r="F13" s="68"/>
      <c r="G13" s="68"/>
    </row>
    <row r="14" spans="2:11" ht="15">
      <c r="B14" s="172" t="s">
        <v>10</v>
      </c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2" ht="12.75">
      <c r="A15" s="36" t="s">
        <v>360</v>
      </c>
      <c r="B15" s="69" t="s">
        <v>442</v>
      </c>
      <c r="C15" s="69" t="s">
        <v>443</v>
      </c>
      <c r="D15" s="8" t="s">
        <v>444</v>
      </c>
      <c r="E15" s="105" t="str">
        <f>"0,6456"</f>
        <v>0,6456</v>
      </c>
      <c r="F15" s="69" t="s">
        <v>57</v>
      </c>
      <c r="G15" s="69" t="s">
        <v>14</v>
      </c>
      <c r="H15" s="31" t="s">
        <v>445</v>
      </c>
      <c r="I15" s="31" t="s">
        <v>446</v>
      </c>
      <c r="J15" s="31" t="s">
        <v>454</v>
      </c>
      <c r="K15" s="144" t="str">
        <f>"1970,6941"</f>
        <v>1970,6941</v>
      </c>
      <c r="L15" s="8" t="s">
        <v>287</v>
      </c>
    </row>
    <row r="16" spans="1:12" ht="12.75">
      <c r="A16" s="36" t="s">
        <v>361</v>
      </c>
      <c r="B16" s="70" t="s">
        <v>447</v>
      </c>
      <c r="C16" s="70" t="s">
        <v>448</v>
      </c>
      <c r="D16" s="10" t="s">
        <v>449</v>
      </c>
      <c r="E16" s="106" t="str">
        <f>"0,6629"</f>
        <v>0,6629</v>
      </c>
      <c r="F16" s="70" t="s">
        <v>13</v>
      </c>
      <c r="G16" s="70" t="s">
        <v>14</v>
      </c>
      <c r="H16" s="32" t="s">
        <v>215</v>
      </c>
      <c r="I16" s="32" t="s">
        <v>435</v>
      </c>
      <c r="J16" s="32" t="s">
        <v>507</v>
      </c>
      <c r="K16" s="145" t="str">
        <f>"530,3200"</f>
        <v>530,3200</v>
      </c>
      <c r="L16" s="10" t="s">
        <v>427</v>
      </c>
    </row>
    <row r="17" spans="1:12" ht="12.75">
      <c r="A17" s="36" t="s">
        <v>360</v>
      </c>
      <c r="B17" s="70" t="s">
        <v>136</v>
      </c>
      <c r="C17" s="70" t="s">
        <v>137</v>
      </c>
      <c r="D17" s="10" t="s">
        <v>280</v>
      </c>
      <c r="E17" s="106" t="str">
        <f>"0,6724"</f>
        <v>0,6724</v>
      </c>
      <c r="F17" s="70" t="s">
        <v>138</v>
      </c>
      <c r="G17" s="70" t="s">
        <v>14</v>
      </c>
      <c r="H17" s="32" t="s">
        <v>280</v>
      </c>
      <c r="I17" s="32" t="s">
        <v>446</v>
      </c>
      <c r="J17" s="32" t="s">
        <v>456</v>
      </c>
      <c r="K17" s="145" t="str">
        <f>"1928,1070"</f>
        <v>1928,1070</v>
      </c>
      <c r="L17" s="10" t="s">
        <v>287</v>
      </c>
    </row>
    <row r="18" spans="1:12" ht="12.75">
      <c r="A18" s="36" t="s">
        <v>361</v>
      </c>
      <c r="B18" s="70" t="s">
        <v>442</v>
      </c>
      <c r="C18" s="70" t="s">
        <v>450</v>
      </c>
      <c r="D18" s="10" t="s">
        <v>444</v>
      </c>
      <c r="E18" s="106" t="str">
        <f>"0,6456"</f>
        <v>0,6456</v>
      </c>
      <c r="F18" s="70" t="s">
        <v>57</v>
      </c>
      <c r="G18" s="70" t="s">
        <v>14</v>
      </c>
      <c r="H18" s="32" t="s">
        <v>445</v>
      </c>
      <c r="I18" s="32" t="s">
        <v>446</v>
      </c>
      <c r="J18" s="32" t="s">
        <v>454</v>
      </c>
      <c r="K18" s="145" t="str">
        <f>"1970,6941"</f>
        <v>1970,6941</v>
      </c>
      <c r="L18" s="10" t="s">
        <v>287</v>
      </c>
    </row>
    <row r="19" spans="1:12" ht="12.75">
      <c r="A19" s="36" t="s">
        <v>362</v>
      </c>
      <c r="B19" s="70" t="s">
        <v>139</v>
      </c>
      <c r="C19" s="70" t="s">
        <v>140</v>
      </c>
      <c r="D19" s="10" t="s">
        <v>337</v>
      </c>
      <c r="E19" s="106" t="str">
        <f>"0,6606"</f>
        <v>0,6606</v>
      </c>
      <c r="F19" s="70" t="s">
        <v>91</v>
      </c>
      <c r="G19" s="70" t="s">
        <v>14</v>
      </c>
      <c r="H19" s="32" t="s">
        <v>215</v>
      </c>
      <c r="I19" s="32" t="s">
        <v>451</v>
      </c>
      <c r="J19" s="32" t="s">
        <v>508</v>
      </c>
      <c r="K19" s="145" t="str">
        <f>"1426,8960"</f>
        <v>1426,8960</v>
      </c>
      <c r="L19" s="10" t="s">
        <v>371</v>
      </c>
    </row>
    <row r="20" spans="1:12" ht="12.75">
      <c r="A20" s="36" t="s">
        <v>360</v>
      </c>
      <c r="B20" s="71" t="s">
        <v>144</v>
      </c>
      <c r="C20" s="71" t="s">
        <v>397</v>
      </c>
      <c r="D20" s="12" t="s">
        <v>340</v>
      </c>
      <c r="E20" s="107" t="str">
        <f>"0,6497"</f>
        <v>0,6497</v>
      </c>
      <c r="F20" s="71" t="s">
        <v>146</v>
      </c>
      <c r="G20" s="71" t="s">
        <v>14</v>
      </c>
      <c r="H20" s="33" t="s">
        <v>445</v>
      </c>
      <c r="I20" s="33" t="s">
        <v>452</v>
      </c>
      <c r="J20" s="33" t="s">
        <v>509</v>
      </c>
      <c r="K20" s="146" t="str">
        <f>"1402,6121"</f>
        <v>1402,6121</v>
      </c>
      <c r="L20" s="12" t="s">
        <v>287</v>
      </c>
    </row>
    <row r="21" spans="2:7" ht="12.75">
      <c r="B21" s="68"/>
      <c r="C21" s="68"/>
      <c r="D21" s="68"/>
      <c r="E21" s="92"/>
      <c r="F21" s="68"/>
      <c r="G21" s="68"/>
    </row>
    <row r="22" spans="2:11" ht="15">
      <c r="B22" s="172" t="s">
        <v>48</v>
      </c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2" ht="12.75">
      <c r="A23" s="36" t="s">
        <v>360</v>
      </c>
      <c r="B23" s="67" t="s">
        <v>160</v>
      </c>
      <c r="C23" s="67" t="s">
        <v>161</v>
      </c>
      <c r="D23" s="6" t="s">
        <v>342</v>
      </c>
      <c r="E23" s="89" t="str">
        <f>"0,5831"</f>
        <v>0,5831</v>
      </c>
      <c r="F23" s="67" t="s">
        <v>118</v>
      </c>
      <c r="G23" s="67" t="s">
        <v>14</v>
      </c>
      <c r="H23" s="30" t="s">
        <v>103</v>
      </c>
      <c r="I23" s="30" t="s">
        <v>453</v>
      </c>
      <c r="J23" s="30" t="s">
        <v>458</v>
      </c>
      <c r="K23" s="30" t="str">
        <f>"1807,4550"</f>
        <v>1807,4550</v>
      </c>
      <c r="L23" s="6" t="s">
        <v>287</v>
      </c>
    </row>
    <row r="24" spans="2:7" ht="12.75">
      <c r="B24" s="68"/>
      <c r="C24" s="68"/>
      <c r="D24" s="68"/>
      <c r="E24" s="92"/>
      <c r="F24" s="68"/>
      <c r="G24" s="68"/>
    </row>
    <row r="25" spans="2:3" ht="18">
      <c r="B25" s="72" t="s">
        <v>75</v>
      </c>
      <c r="C25" s="72"/>
    </row>
    <row r="26" spans="2:3" ht="15">
      <c r="B26" s="73" t="s">
        <v>83</v>
      </c>
      <c r="C26" s="73"/>
    </row>
    <row r="27" spans="2:3" ht="14.25">
      <c r="B27" s="96"/>
      <c r="C27" s="77" t="s">
        <v>389</v>
      </c>
    </row>
    <row r="28" spans="2:6" ht="15">
      <c r="B28" s="15" t="s">
        <v>77</v>
      </c>
      <c r="C28" s="78" t="s">
        <v>78</v>
      </c>
      <c r="D28" s="78" t="s">
        <v>79</v>
      </c>
      <c r="E28" s="15" t="s">
        <v>80</v>
      </c>
      <c r="F28" s="15" t="s">
        <v>388</v>
      </c>
    </row>
    <row r="29" spans="1:6" ht="12.75">
      <c r="A29" s="36" t="s">
        <v>360</v>
      </c>
      <c r="B29" s="76" t="s">
        <v>442</v>
      </c>
      <c r="C29" s="1" t="s">
        <v>76</v>
      </c>
      <c r="D29" s="36" t="s">
        <v>499</v>
      </c>
      <c r="E29" s="36" t="s">
        <v>454</v>
      </c>
      <c r="F29" s="36" t="s">
        <v>455</v>
      </c>
    </row>
    <row r="30" spans="1:6" ht="12.75">
      <c r="A30" s="36" t="s">
        <v>361</v>
      </c>
      <c r="B30" s="76" t="s">
        <v>136</v>
      </c>
      <c r="C30" s="1" t="s">
        <v>76</v>
      </c>
      <c r="D30" s="36" t="s">
        <v>499</v>
      </c>
      <c r="E30" s="36" t="s">
        <v>456</v>
      </c>
      <c r="F30" s="36" t="s">
        <v>457</v>
      </c>
    </row>
    <row r="31" spans="1:6" ht="12.75">
      <c r="A31" s="36" t="s">
        <v>362</v>
      </c>
      <c r="B31" s="76" t="s">
        <v>160</v>
      </c>
      <c r="C31" s="1" t="s">
        <v>76</v>
      </c>
      <c r="D31" s="36" t="s">
        <v>495</v>
      </c>
      <c r="E31" s="36" t="s">
        <v>458</v>
      </c>
      <c r="F31" s="36" t="s">
        <v>459</v>
      </c>
    </row>
    <row r="32" spans="2:6" ht="12.75">
      <c r="B32" s="97"/>
      <c r="F32" s="4"/>
    </row>
    <row r="33" spans="2:6" ht="12.75">
      <c r="B33" s="97"/>
      <c r="F33" s="4"/>
    </row>
    <row r="34" spans="2:6" ht="12.75">
      <c r="B34" s="97"/>
      <c r="F34" s="4"/>
    </row>
    <row r="35" spans="2:6" ht="12.75">
      <c r="B35" s="97"/>
      <c r="F35" s="4"/>
    </row>
    <row r="37" spans="2:3" ht="14.25">
      <c r="B37" s="96"/>
      <c r="C37" s="77"/>
    </row>
    <row r="38" spans="2:6" ht="15">
      <c r="B38" s="2"/>
      <c r="C38" s="127"/>
      <c r="D38" s="127"/>
      <c r="E38" s="2"/>
      <c r="F38" s="2"/>
    </row>
    <row r="39" spans="2:6" ht="12.75">
      <c r="B39" s="97"/>
      <c r="F39" s="4"/>
    </row>
  </sheetData>
  <sheetProtection/>
  <mergeCells count="16"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8:K8"/>
    <mergeCell ref="B14:K14"/>
    <mergeCell ref="B22:K2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4">
      <selection activeCell="A8" sqref="A8"/>
    </sheetView>
  </sheetViews>
  <sheetFormatPr defaultColWidth="8.75390625" defaultRowHeight="12.75"/>
  <cols>
    <col min="1" max="1" width="9.125" style="64" customWidth="1"/>
    <col min="2" max="2" width="20.875" style="16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36.75390625" style="16" customWidth="1"/>
    <col min="8" max="10" width="5.625" style="58" bestFit="1" customWidth="1"/>
    <col min="11" max="11" width="4.625" style="58" bestFit="1" customWidth="1"/>
    <col min="12" max="12" width="11.00390625" style="83" customWidth="1"/>
    <col min="13" max="13" width="8.625" style="58" bestFit="1" customWidth="1"/>
    <col min="14" max="14" width="27.375" style="16" bestFit="1" customWidth="1"/>
  </cols>
  <sheetData>
    <row r="1" spans="1:14" s="1" customFormat="1" ht="15" customHeight="1">
      <c r="A1" s="36"/>
      <c r="B1" s="157" t="s">
        <v>516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112.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3</v>
      </c>
      <c r="I3" s="150"/>
      <c r="J3" s="150"/>
      <c r="K3" s="150"/>
      <c r="L3" s="148" t="s">
        <v>299</v>
      </c>
      <c r="M3" s="150" t="s">
        <v>6</v>
      </c>
      <c r="N3" s="154" t="s">
        <v>5</v>
      </c>
    </row>
    <row r="4" spans="1:14" s="2" customFormat="1" ht="21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49"/>
      <c r="M4" s="151"/>
      <c r="N4" s="155"/>
    </row>
    <row r="5" spans="2:13" ht="15">
      <c r="B5" s="156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193" t="s">
        <v>536</v>
      </c>
      <c r="B6" s="20" t="s">
        <v>213</v>
      </c>
      <c r="C6" s="20" t="s">
        <v>214</v>
      </c>
      <c r="D6" s="20" t="s">
        <v>313</v>
      </c>
      <c r="E6" s="20" t="str">
        <f>"1,3367"</f>
        <v>1,3367</v>
      </c>
      <c r="F6" s="20" t="s">
        <v>91</v>
      </c>
      <c r="G6" s="20" t="s">
        <v>14</v>
      </c>
      <c r="H6" s="42" t="s">
        <v>25</v>
      </c>
      <c r="I6" s="53"/>
      <c r="J6" s="53"/>
      <c r="K6" s="53"/>
      <c r="L6" s="80">
        <v>110</v>
      </c>
      <c r="M6" s="52" t="str">
        <f>"147,0370"</f>
        <v>147,0370</v>
      </c>
      <c r="N6" s="20" t="s">
        <v>371</v>
      </c>
    </row>
    <row r="7" spans="1:14" ht="12.75">
      <c r="A7" s="64">
        <v>1</v>
      </c>
      <c r="B7" s="22" t="s">
        <v>273</v>
      </c>
      <c r="C7" s="22" t="s">
        <v>274</v>
      </c>
      <c r="D7" s="22" t="s">
        <v>301</v>
      </c>
      <c r="E7" s="22" t="str">
        <f>"1,3783"</f>
        <v>1,3783</v>
      </c>
      <c r="F7" s="22" t="s">
        <v>146</v>
      </c>
      <c r="G7" s="22" t="s">
        <v>14</v>
      </c>
      <c r="H7" s="44" t="s">
        <v>94</v>
      </c>
      <c r="I7" s="44" t="s">
        <v>29</v>
      </c>
      <c r="J7" s="63" t="s">
        <v>98</v>
      </c>
      <c r="K7" s="57"/>
      <c r="L7" s="81">
        <v>60</v>
      </c>
      <c r="M7" s="56" t="str">
        <f>"82,6980"</f>
        <v>82,6980</v>
      </c>
      <c r="N7" s="22" t="s">
        <v>363</v>
      </c>
    </row>
    <row r="9" spans="2:13" ht="15">
      <c r="B9" s="147" t="s">
        <v>95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4" ht="12.75">
      <c r="A10" s="64">
        <v>1</v>
      </c>
      <c r="B10" s="20" t="s">
        <v>275</v>
      </c>
      <c r="C10" s="20" t="s">
        <v>276</v>
      </c>
      <c r="D10" s="20" t="s">
        <v>490</v>
      </c>
      <c r="E10" s="20" t="str">
        <f>"1,1325"</f>
        <v>1,1325</v>
      </c>
      <c r="F10" s="20" t="s">
        <v>186</v>
      </c>
      <c r="G10" s="20" t="s">
        <v>187</v>
      </c>
      <c r="H10" s="42" t="s">
        <v>207</v>
      </c>
      <c r="I10" s="42" t="s">
        <v>110</v>
      </c>
      <c r="J10" s="62" t="s">
        <v>26</v>
      </c>
      <c r="K10" s="53"/>
      <c r="L10" s="80">
        <v>105</v>
      </c>
      <c r="M10" s="52" t="str">
        <f>"118,9125"</f>
        <v>118,9125</v>
      </c>
      <c r="N10" s="20" t="s">
        <v>376</v>
      </c>
    </row>
    <row r="11" spans="1:14" ht="12.75">
      <c r="A11" s="64">
        <v>1</v>
      </c>
      <c r="B11" s="22" t="s">
        <v>277</v>
      </c>
      <c r="C11" s="22" t="s">
        <v>278</v>
      </c>
      <c r="D11" s="22" t="s">
        <v>491</v>
      </c>
      <c r="E11" s="22" t="str">
        <f>"1,1221"</f>
        <v>1,1221</v>
      </c>
      <c r="F11" s="22" t="s">
        <v>13</v>
      </c>
      <c r="G11" s="22" t="s">
        <v>14</v>
      </c>
      <c r="H11" s="44" t="s">
        <v>15</v>
      </c>
      <c r="I11" s="44" t="s">
        <v>279</v>
      </c>
      <c r="J11" s="44" t="s">
        <v>280</v>
      </c>
      <c r="K11" s="57"/>
      <c r="L11" s="81">
        <v>77.5</v>
      </c>
      <c r="M11" s="56" t="str">
        <f>"90,7891"</f>
        <v>90,7891</v>
      </c>
      <c r="N11" s="22" t="s">
        <v>378</v>
      </c>
    </row>
    <row r="13" spans="2:13" ht="15">
      <c r="B13" s="147" t="s">
        <v>204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4" ht="12.75">
      <c r="A14" s="64">
        <v>1</v>
      </c>
      <c r="B14" s="19" t="s">
        <v>222</v>
      </c>
      <c r="C14" s="19" t="s">
        <v>223</v>
      </c>
      <c r="D14" s="19" t="s">
        <v>315</v>
      </c>
      <c r="E14" s="19" t="str">
        <f>"1,0740"</f>
        <v>1,0740</v>
      </c>
      <c r="F14" s="19" t="s">
        <v>186</v>
      </c>
      <c r="G14" s="19" t="s">
        <v>187</v>
      </c>
      <c r="H14" s="41" t="s">
        <v>39</v>
      </c>
      <c r="I14" s="51"/>
      <c r="J14" s="51"/>
      <c r="K14" s="51"/>
      <c r="L14" s="79">
        <v>122.5</v>
      </c>
      <c r="M14" s="50" t="str">
        <f>"131,5650"</f>
        <v>131,5650</v>
      </c>
      <c r="N14" s="19" t="s">
        <v>376</v>
      </c>
    </row>
    <row r="16" spans="2:13" ht="15">
      <c r="B16" s="147" t="s">
        <v>17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4" ht="12.75">
      <c r="A17" s="64">
        <v>1</v>
      </c>
      <c r="B17" s="20" t="s">
        <v>236</v>
      </c>
      <c r="C17" s="20" t="s">
        <v>237</v>
      </c>
      <c r="D17" s="20" t="s">
        <v>319</v>
      </c>
      <c r="E17" s="20" t="str">
        <f>"0,7200"</f>
        <v>0,7200</v>
      </c>
      <c r="F17" s="20" t="s">
        <v>13</v>
      </c>
      <c r="G17" s="20" t="s">
        <v>149</v>
      </c>
      <c r="H17" s="42" t="s">
        <v>162</v>
      </c>
      <c r="I17" s="42" t="s">
        <v>163</v>
      </c>
      <c r="J17" s="42" t="s">
        <v>53</v>
      </c>
      <c r="K17" s="53"/>
      <c r="L17" s="80">
        <v>200</v>
      </c>
      <c r="M17" s="52" t="str">
        <f>"144,0000"</f>
        <v>144,0000</v>
      </c>
      <c r="N17" s="20" t="s">
        <v>287</v>
      </c>
    </row>
    <row r="18" spans="1:14" ht="12.75">
      <c r="A18" s="64">
        <v>1</v>
      </c>
      <c r="B18" s="21" t="s">
        <v>236</v>
      </c>
      <c r="C18" s="21" t="s">
        <v>281</v>
      </c>
      <c r="D18" s="21" t="s">
        <v>319</v>
      </c>
      <c r="E18" s="21" t="str">
        <f>"0,7200"</f>
        <v>0,7200</v>
      </c>
      <c r="F18" s="21" t="s">
        <v>13</v>
      </c>
      <c r="G18" s="21" t="s">
        <v>149</v>
      </c>
      <c r="H18" s="43" t="s">
        <v>162</v>
      </c>
      <c r="I18" s="43" t="s">
        <v>163</v>
      </c>
      <c r="J18" s="43" t="s">
        <v>53</v>
      </c>
      <c r="K18" s="55"/>
      <c r="L18" s="82">
        <v>200</v>
      </c>
      <c r="M18" s="54" t="str">
        <f>"144,0000"</f>
        <v>144,0000</v>
      </c>
      <c r="N18" s="20" t="s">
        <v>287</v>
      </c>
    </row>
    <row r="19" spans="2:14" ht="12.75">
      <c r="B19" s="22" t="s">
        <v>282</v>
      </c>
      <c r="C19" s="22" t="s">
        <v>283</v>
      </c>
      <c r="D19" s="22" t="s">
        <v>492</v>
      </c>
      <c r="E19" s="22" t="str">
        <f>"0,7603"</f>
        <v>0,7603</v>
      </c>
      <c r="F19" s="22" t="s">
        <v>13</v>
      </c>
      <c r="G19" s="22" t="s">
        <v>187</v>
      </c>
      <c r="H19" s="63" t="s">
        <v>64</v>
      </c>
      <c r="I19" s="63" t="s">
        <v>64</v>
      </c>
      <c r="J19" s="57"/>
      <c r="K19" s="57"/>
      <c r="L19" s="81">
        <v>0</v>
      </c>
      <c r="M19" s="56" t="str">
        <f>"0,0000"</f>
        <v>0,0000</v>
      </c>
      <c r="N19" s="22" t="s">
        <v>376</v>
      </c>
    </row>
    <row r="21" spans="2:14" ht="15">
      <c r="B21" s="147" t="s">
        <v>10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33"/>
    </row>
    <row r="22" spans="1:14" ht="12.75">
      <c r="A22" s="64">
        <v>1</v>
      </c>
      <c r="B22" s="21" t="s">
        <v>131</v>
      </c>
      <c r="C22" s="21" t="s">
        <v>132</v>
      </c>
      <c r="D22" s="21" t="s">
        <v>335</v>
      </c>
      <c r="E22" s="21" t="str">
        <f>"0,6987"</f>
        <v>0,6987</v>
      </c>
      <c r="F22" s="21" t="s">
        <v>106</v>
      </c>
      <c r="G22" s="21" t="s">
        <v>379</v>
      </c>
      <c r="H22" s="43" t="s">
        <v>53</v>
      </c>
      <c r="I22" s="43" t="s">
        <v>211</v>
      </c>
      <c r="J22" s="43" t="s">
        <v>240</v>
      </c>
      <c r="K22" s="55"/>
      <c r="L22" s="82">
        <v>220</v>
      </c>
      <c r="M22" s="54" t="str">
        <f>"153,7140"</f>
        <v>153,7140</v>
      </c>
      <c r="N22" s="21" t="s">
        <v>369</v>
      </c>
    </row>
    <row r="23" spans="1:14" ht="12.75">
      <c r="A23" s="64">
        <v>1</v>
      </c>
      <c r="B23" s="22" t="s">
        <v>238</v>
      </c>
      <c r="C23" s="22" t="s">
        <v>239</v>
      </c>
      <c r="D23" s="22" t="s">
        <v>320</v>
      </c>
      <c r="E23" s="22" t="str">
        <f>"0,6790"</f>
        <v>0,6790</v>
      </c>
      <c r="F23" s="22" t="s">
        <v>13</v>
      </c>
      <c r="G23" s="22" t="s">
        <v>380</v>
      </c>
      <c r="H23" s="44" t="s">
        <v>195</v>
      </c>
      <c r="I23" s="57"/>
      <c r="J23" s="57"/>
      <c r="K23" s="57"/>
      <c r="L23" s="81">
        <v>230</v>
      </c>
      <c r="M23" s="56" t="str">
        <f>"156,1700"</f>
        <v>156,1700</v>
      </c>
      <c r="N23" s="19" t="s">
        <v>287</v>
      </c>
    </row>
    <row r="25" spans="2:13" ht="15">
      <c r="B25" s="147" t="s">
        <v>35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4" ht="12.75">
      <c r="A26" s="64">
        <v>1</v>
      </c>
      <c r="B26" s="20" t="s">
        <v>147</v>
      </c>
      <c r="C26" s="20" t="s">
        <v>148</v>
      </c>
      <c r="D26" s="20" t="s">
        <v>109</v>
      </c>
      <c r="E26" s="20" t="str">
        <f>"0,6384"</f>
        <v>0,6384</v>
      </c>
      <c r="F26" s="20" t="s">
        <v>13</v>
      </c>
      <c r="G26" s="20" t="s">
        <v>149</v>
      </c>
      <c r="H26" s="42" t="s">
        <v>212</v>
      </c>
      <c r="I26" s="53"/>
      <c r="J26" s="53"/>
      <c r="K26" s="53"/>
      <c r="L26" s="80">
        <v>215</v>
      </c>
      <c r="M26" s="52" t="str">
        <f>"137,2560"</f>
        <v>137,2560</v>
      </c>
      <c r="N26" s="20" t="s">
        <v>287</v>
      </c>
    </row>
    <row r="27" spans="1:14" ht="12.75">
      <c r="A27" s="64">
        <v>1</v>
      </c>
      <c r="B27" s="22" t="s">
        <v>158</v>
      </c>
      <c r="C27" s="22" t="s">
        <v>159</v>
      </c>
      <c r="D27" s="22" t="s">
        <v>306</v>
      </c>
      <c r="E27" s="22" t="str">
        <f>"0,6406"</f>
        <v>0,6406</v>
      </c>
      <c r="F27" s="22" t="s">
        <v>106</v>
      </c>
      <c r="G27" s="22" t="s">
        <v>381</v>
      </c>
      <c r="H27" s="44" t="s">
        <v>174</v>
      </c>
      <c r="I27" s="57"/>
      <c r="J27" s="57"/>
      <c r="K27" s="57"/>
      <c r="L27" s="81">
        <v>202.5</v>
      </c>
      <c r="M27" s="56" t="str">
        <f>"137,5048"</f>
        <v>137,5048</v>
      </c>
      <c r="N27" s="19" t="s">
        <v>287</v>
      </c>
    </row>
    <row r="29" spans="2:13" ht="15">
      <c r="B29" s="147" t="s">
        <v>48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4" ht="12.75">
      <c r="A30" s="64">
        <v>1</v>
      </c>
      <c r="B30" s="19" t="s">
        <v>164</v>
      </c>
      <c r="C30" s="19" t="s">
        <v>165</v>
      </c>
      <c r="D30" s="19" t="s">
        <v>343</v>
      </c>
      <c r="E30" s="19" t="str">
        <f>"0,6121"</f>
        <v>0,6121</v>
      </c>
      <c r="F30" s="19" t="s">
        <v>91</v>
      </c>
      <c r="G30" s="19" t="s">
        <v>14</v>
      </c>
      <c r="H30" s="60" t="s">
        <v>52</v>
      </c>
      <c r="I30" s="41" t="s">
        <v>53</v>
      </c>
      <c r="J30" s="60" t="s">
        <v>211</v>
      </c>
      <c r="K30" s="51"/>
      <c r="L30" s="79">
        <v>200</v>
      </c>
      <c r="M30" s="50" t="str">
        <f>"122,4200"</f>
        <v>122,4200</v>
      </c>
      <c r="N30" s="19" t="s">
        <v>287</v>
      </c>
    </row>
    <row r="32" spans="2:13" ht="15">
      <c r="B32" s="147" t="s">
        <v>284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4" ht="12.75">
      <c r="A33" s="64">
        <v>1</v>
      </c>
      <c r="B33" s="19" t="s">
        <v>285</v>
      </c>
      <c r="C33" s="19" t="s">
        <v>286</v>
      </c>
      <c r="D33" s="19" t="s">
        <v>493</v>
      </c>
      <c r="E33" s="19" t="str">
        <f>"0,5593"</f>
        <v>0,5593</v>
      </c>
      <c r="F33" s="19" t="s">
        <v>138</v>
      </c>
      <c r="G33" s="19" t="s">
        <v>14</v>
      </c>
      <c r="H33" s="41" t="s">
        <v>53</v>
      </c>
      <c r="I33" s="41" t="s">
        <v>212</v>
      </c>
      <c r="J33" s="41" t="s">
        <v>60</v>
      </c>
      <c r="K33" s="51"/>
      <c r="L33" s="79">
        <v>225</v>
      </c>
      <c r="M33" s="50" t="str">
        <f>"125,8425"</f>
        <v>125,8425</v>
      </c>
      <c r="N33" s="19" t="s">
        <v>287</v>
      </c>
    </row>
    <row r="35" ht="15">
      <c r="F35" s="17"/>
    </row>
    <row r="36" ht="15">
      <c r="F36" s="17"/>
    </row>
    <row r="37" ht="15">
      <c r="F37" s="17"/>
    </row>
    <row r="38" ht="15">
      <c r="F38" s="17"/>
    </row>
    <row r="39" ht="15">
      <c r="F39" s="17"/>
    </row>
    <row r="40" ht="15">
      <c r="F40" s="17"/>
    </row>
    <row r="41" ht="15">
      <c r="F41" s="17"/>
    </row>
    <row r="43" spans="1:7" ht="18">
      <c r="A43" s="129"/>
      <c r="B43" s="118"/>
      <c r="C43" s="118"/>
      <c r="D43" s="116"/>
      <c r="E43" s="116"/>
      <c r="F43" s="116"/>
      <c r="G43" s="116"/>
    </row>
    <row r="44" spans="1:7" ht="15">
      <c r="A44" s="129"/>
      <c r="B44" s="119"/>
      <c r="C44" s="119"/>
      <c r="D44" s="116"/>
      <c r="E44" s="116"/>
      <c r="F44" s="116"/>
      <c r="G44" s="116"/>
    </row>
    <row r="45" spans="1:7" ht="14.25">
      <c r="A45" s="129"/>
      <c r="B45" s="120"/>
      <c r="C45" s="121"/>
      <c r="D45" s="116"/>
      <c r="E45" s="116"/>
      <c r="F45" s="116"/>
      <c r="G45" s="116"/>
    </row>
    <row r="46" spans="1:7" ht="15">
      <c r="A46" s="129"/>
      <c r="B46" s="122"/>
      <c r="C46" s="122"/>
      <c r="D46" s="122"/>
      <c r="E46" s="122"/>
      <c r="F46" s="122"/>
      <c r="G46" s="116"/>
    </row>
    <row r="47" spans="1:7" ht="12.75">
      <c r="A47" s="129"/>
      <c r="B47" s="124"/>
      <c r="C47" s="116"/>
      <c r="D47" s="116"/>
      <c r="E47" s="116"/>
      <c r="F47" s="125"/>
      <c r="G47" s="116"/>
    </row>
    <row r="48" spans="1:7" ht="12.75">
      <c r="A48" s="129"/>
      <c r="B48" s="124"/>
      <c r="C48" s="116"/>
      <c r="D48" s="116"/>
      <c r="E48" s="116"/>
      <c r="F48" s="125"/>
      <c r="G48" s="116"/>
    </row>
    <row r="49" spans="1:7" ht="12.75">
      <c r="A49" s="129"/>
      <c r="B49" s="124"/>
      <c r="C49" s="116"/>
      <c r="D49" s="116"/>
      <c r="E49" s="116"/>
      <c r="F49" s="125"/>
      <c r="G49" s="116"/>
    </row>
    <row r="50" spans="1:7" ht="12.75">
      <c r="A50" s="129"/>
      <c r="B50" s="124"/>
      <c r="C50" s="116"/>
      <c r="D50" s="116"/>
      <c r="E50" s="116"/>
      <c r="F50" s="125"/>
      <c r="G50" s="116"/>
    </row>
    <row r="51" spans="1:7" ht="12.75">
      <c r="A51" s="129"/>
      <c r="B51" s="116"/>
      <c r="C51" s="116"/>
      <c r="D51" s="116"/>
      <c r="E51" s="116"/>
      <c r="F51" s="116"/>
      <c r="G51" s="116"/>
    </row>
    <row r="52" spans="1:7" ht="14.25">
      <c r="A52" s="129"/>
      <c r="B52" s="120"/>
      <c r="C52" s="121"/>
      <c r="D52" s="116"/>
      <c r="E52" s="116"/>
      <c r="F52" s="116"/>
      <c r="G52" s="116"/>
    </row>
    <row r="53" spans="1:7" ht="15">
      <c r="A53" s="129"/>
      <c r="B53" s="122"/>
      <c r="C53" s="122"/>
      <c r="D53" s="122"/>
      <c r="E53" s="122"/>
      <c r="F53" s="122"/>
      <c r="G53" s="116"/>
    </row>
    <row r="54" spans="1:7" ht="12.75">
      <c r="A54" s="129"/>
      <c r="B54" s="124"/>
      <c r="C54" s="116"/>
      <c r="D54" s="116"/>
      <c r="E54" s="116"/>
      <c r="F54" s="125"/>
      <c r="G54" s="116"/>
    </row>
    <row r="55" spans="1:7" ht="12.75">
      <c r="A55" s="129"/>
      <c r="B55" s="116"/>
      <c r="C55" s="116"/>
      <c r="D55" s="116"/>
      <c r="E55" s="116"/>
      <c r="F55" s="116"/>
      <c r="G55" s="116"/>
    </row>
    <row r="56" spans="1:7" ht="12.75">
      <c r="A56" s="129"/>
      <c r="B56" s="116"/>
      <c r="C56" s="116"/>
      <c r="D56" s="116"/>
      <c r="E56" s="116"/>
      <c r="F56" s="116"/>
      <c r="G56" s="116"/>
    </row>
    <row r="57" spans="1:7" ht="15">
      <c r="A57" s="129"/>
      <c r="B57" s="119"/>
      <c r="C57" s="119"/>
      <c r="D57" s="116"/>
      <c r="E57" s="116"/>
      <c r="F57" s="116"/>
      <c r="G57" s="116"/>
    </row>
    <row r="58" spans="1:7" ht="14.25">
      <c r="A58" s="129"/>
      <c r="B58" s="120"/>
      <c r="C58" s="121"/>
      <c r="D58" s="116"/>
      <c r="E58" s="116"/>
      <c r="F58" s="116"/>
      <c r="G58" s="116"/>
    </row>
    <row r="59" spans="1:7" ht="15">
      <c r="A59" s="129"/>
      <c r="B59" s="122"/>
      <c r="C59" s="122"/>
      <c r="D59" s="122"/>
      <c r="E59" s="122"/>
      <c r="F59" s="122"/>
      <c r="G59" s="116"/>
    </row>
    <row r="60" spans="1:7" ht="12.75">
      <c r="A60" s="129"/>
      <c r="B60" s="124"/>
      <c r="C60" s="116"/>
      <c r="D60" s="116"/>
      <c r="E60" s="116"/>
      <c r="F60" s="125"/>
      <c r="G60" s="116"/>
    </row>
    <row r="61" spans="1:7" ht="12.75">
      <c r="A61" s="129"/>
      <c r="B61" s="124"/>
      <c r="C61" s="116"/>
      <c r="D61" s="116"/>
      <c r="E61" s="116"/>
      <c r="F61" s="125"/>
      <c r="G61" s="116"/>
    </row>
    <row r="62" spans="1:7" ht="12.75">
      <c r="A62" s="129"/>
      <c r="B62" s="124"/>
      <c r="C62" s="116"/>
      <c r="D62" s="116"/>
      <c r="E62" s="116"/>
      <c r="F62" s="125"/>
      <c r="G62" s="116"/>
    </row>
    <row r="63" spans="1:7" ht="12.75">
      <c r="A63" s="129"/>
      <c r="B63" s="116"/>
      <c r="C63" s="116"/>
      <c r="D63" s="116"/>
      <c r="E63" s="116"/>
      <c r="F63" s="116"/>
      <c r="G63" s="116"/>
    </row>
    <row r="64" spans="1:7" ht="14.25">
      <c r="A64" s="129"/>
      <c r="B64" s="120"/>
      <c r="C64" s="121"/>
      <c r="D64" s="116"/>
      <c r="E64" s="116"/>
      <c r="F64" s="116"/>
      <c r="G64" s="116"/>
    </row>
    <row r="65" spans="1:7" ht="15">
      <c r="A65" s="129"/>
      <c r="B65" s="122"/>
      <c r="C65" s="122"/>
      <c r="D65" s="122"/>
      <c r="E65" s="122"/>
      <c r="F65" s="122"/>
      <c r="G65" s="116"/>
    </row>
    <row r="66" spans="1:7" ht="12.75">
      <c r="A66" s="129"/>
      <c r="B66" s="124"/>
      <c r="C66" s="116"/>
      <c r="D66" s="116"/>
      <c r="E66" s="116"/>
      <c r="F66" s="125"/>
      <c r="G66" s="116"/>
    </row>
    <row r="67" spans="1:7" ht="12.75">
      <c r="A67" s="129"/>
      <c r="B67" s="124"/>
      <c r="C67" s="116"/>
      <c r="D67" s="116"/>
      <c r="E67" s="116"/>
      <c r="F67" s="125"/>
      <c r="G67" s="116"/>
    </row>
    <row r="68" spans="1:7" ht="12.75">
      <c r="A68" s="129"/>
      <c r="B68" s="124"/>
      <c r="C68" s="116"/>
      <c r="D68" s="116"/>
      <c r="E68" s="116"/>
      <c r="F68" s="125"/>
      <c r="G68" s="116"/>
    </row>
    <row r="69" spans="1:7" ht="12.75">
      <c r="A69" s="129"/>
      <c r="B69" s="124"/>
      <c r="C69" s="116"/>
      <c r="D69" s="116"/>
      <c r="E69" s="116"/>
      <c r="F69" s="125"/>
      <c r="G69" s="116"/>
    </row>
    <row r="70" spans="1:7" ht="12.75">
      <c r="A70" s="129"/>
      <c r="B70" s="116"/>
      <c r="C70" s="116"/>
      <c r="D70" s="116"/>
      <c r="E70" s="116"/>
      <c r="F70" s="116"/>
      <c r="G70" s="116"/>
    </row>
    <row r="71" spans="1:7" ht="14.25">
      <c r="A71" s="129"/>
      <c r="B71" s="120"/>
      <c r="C71" s="121"/>
      <c r="D71" s="116"/>
      <c r="E71" s="116"/>
      <c r="F71" s="116"/>
      <c r="G71" s="116"/>
    </row>
    <row r="72" spans="1:7" ht="15">
      <c r="A72" s="129"/>
      <c r="B72" s="122"/>
      <c r="C72" s="122"/>
      <c r="D72" s="122"/>
      <c r="E72" s="122"/>
      <c r="F72" s="122"/>
      <c r="G72" s="116"/>
    </row>
    <row r="73" spans="1:7" ht="12.75">
      <c r="A73" s="129"/>
      <c r="B73" s="124"/>
      <c r="C73" s="116"/>
      <c r="D73" s="116"/>
      <c r="E73" s="116"/>
      <c r="F73" s="125"/>
      <c r="G73" s="116"/>
    </row>
    <row r="74" spans="1:7" ht="12.75">
      <c r="A74" s="129"/>
      <c r="B74" s="116"/>
      <c r="C74" s="116"/>
      <c r="D74" s="116"/>
      <c r="E74" s="116"/>
      <c r="F74" s="116"/>
      <c r="G74" s="116"/>
    </row>
    <row r="75" spans="1:7" ht="12.75">
      <c r="A75" s="129"/>
      <c r="B75" s="116"/>
      <c r="C75" s="116"/>
      <c r="D75" s="116"/>
      <c r="E75" s="116"/>
      <c r="F75" s="116"/>
      <c r="G75" s="116"/>
    </row>
    <row r="76" spans="1:7" ht="12.75">
      <c r="A76" s="129"/>
      <c r="B76" s="116"/>
      <c r="C76" s="116"/>
      <c r="D76" s="116"/>
      <c r="E76" s="116"/>
      <c r="F76" s="116"/>
      <c r="G76" s="116"/>
    </row>
    <row r="77" spans="1:7" ht="12.75">
      <c r="A77" s="129"/>
      <c r="B77" s="116"/>
      <c r="C77" s="116"/>
      <c r="D77" s="116"/>
      <c r="E77" s="116"/>
      <c r="F77" s="116"/>
      <c r="G77" s="116"/>
    </row>
    <row r="78" spans="1:7" ht="12.75">
      <c r="A78" s="129"/>
      <c r="B78" s="116"/>
      <c r="C78" s="116"/>
      <c r="D78" s="116"/>
      <c r="E78" s="116"/>
      <c r="F78" s="116"/>
      <c r="G78" s="116"/>
    </row>
    <row r="79" spans="1:7" ht="12.75">
      <c r="A79" s="129"/>
      <c r="B79" s="116"/>
      <c r="C79" s="116"/>
      <c r="D79" s="116"/>
      <c r="E79" s="116"/>
      <c r="F79" s="116"/>
      <c r="G79" s="116"/>
    </row>
    <row r="80" spans="1:7" ht="12.75">
      <c r="A80" s="129"/>
      <c r="B80" s="116"/>
      <c r="C80" s="116"/>
      <c r="D80" s="116"/>
      <c r="E80" s="116"/>
      <c r="F80" s="116"/>
      <c r="G80" s="116"/>
    </row>
    <row r="81" spans="1:7" ht="12.75">
      <c r="A81" s="129"/>
      <c r="B81" s="116"/>
      <c r="C81" s="116"/>
      <c r="D81" s="116"/>
      <c r="E81" s="116"/>
      <c r="F81" s="116"/>
      <c r="G81" s="116"/>
    </row>
    <row r="82" spans="1:7" ht="12.75">
      <c r="A82" s="129"/>
      <c r="B82" s="116"/>
      <c r="C82" s="116"/>
      <c r="D82" s="116"/>
      <c r="E82" s="116"/>
      <c r="F82" s="116"/>
      <c r="G82" s="116"/>
    </row>
    <row r="83" spans="1:7" ht="12.75">
      <c r="A83" s="129"/>
      <c r="B83" s="116"/>
      <c r="C83" s="116"/>
      <c r="D83" s="116"/>
      <c r="E83" s="116"/>
      <c r="F83" s="116"/>
      <c r="G83" s="116"/>
    </row>
    <row r="84" spans="1:7" ht="12.75">
      <c r="A84" s="129"/>
      <c r="B84" s="116"/>
      <c r="C84" s="116"/>
      <c r="D84" s="116"/>
      <c r="E84" s="116"/>
      <c r="F84" s="116"/>
      <c r="G84" s="116"/>
    </row>
    <row r="85" spans="1:7" ht="12.75">
      <c r="A85" s="129"/>
      <c r="B85" s="116"/>
      <c r="C85" s="116"/>
      <c r="D85" s="116"/>
      <c r="E85" s="116"/>
      <c r="F85" s="116"/>
      <c r="G85" s="116"/>
    </row>
    <row r="86" spans="1:7" ht="12.75">
      <c r="A86" s="129"/>
      <c r="B86" s="116"/>
      <c r="C86" s="116"/>
      <c r="D86" s="116"/>
      <c r="E86" s="116"/>
      <c r="F86" s="116"/>
      <c r="G86" s="116"/>
    </row>
    <row r="87" spans="1:7" ht="12.75">
      <c r="A87" s="129"/>
      <c r="B87" s="116"/>
      <c r="C87" s="116"/>
      <c r="D87" s="116"/>
      <c r="E87" s="116"/>
      <c r="F87" s="116"/>
      <c r="G87" s="116"/>
    </row>
    <row r="88" spans="1:7" ht="12.75">
      <c r="A88" s="129"/>
      <c r="B88" s="116"/>
      <c r="C88" s="116"/>
      <c r="D88" s="116"/>
      <c r="E88" s="116"/>
      <c r="F88" s="116"/>
      <c r="G88" s="116"/>
    </row>
    <row r="89" spans="1:7" ht="12.75">
      <c r="A89" s="129"/>
      <c r="B89" s="116"/>
      <c r="C89" s="116"/>
      <c r="D89" s="116"/>
      <c r="E89" s="116"/>
      <c r="F89" s="116"/>
      <c r="G89" s="116"/>
    </row>
    <row r="90" spans="1:7" ht="12.75">
      <c r="A90" s="129"/>
      <c r="B90" s="116"/>
      <c r="C90" s="116"/>
      <c r="D90" s="116"/>
      <c r="E90" s="116"/>
      <c r="F90" s="116"/>
      <c r="G90" s="116"/>
    </row>
    <row r="91" spans="1:7" ht="12.75">
      <c r="A91" s="129"/>
      <c r="B91" s="116"/>
      <c r="C91" s="116"/>
      <c r="D91" s="116"/>
      <c r="E91" s="116"/>
      <c r="F91" s="116"/>
      <c r="G91" s="116"/>
    </row>
    <row r="92" spans="1:7" ht="12.75">
      <c r="A92" s="129"/>
      <c r="B92" s="116"/>
      <c r="C92" s="116"/>
      <c r="D92" s="116"/>
      <c r="E92" s="116"/>
      <c r="F92" s="116"/>
      <c r="G92" s="116"/>
    </row>
    <row r="93" spans="1:7" ht="12.75">
      <c r="A93" s="129"/>
      <c r="B93" s="116"/>
      <c r="C93" s="116"/>
      <c r="D93" s="116"/>
      <c r="E93" s="116"/>
      <c r="F93" s="116"/>
      <c r="G93" s="116"/>
    </row>
    <row r="94" spans="1:7" ht="12.75">
      <c r="A94" s="129"/>
      <c r="B94" s="116"/>
      <c r="C94" s="116"/>
      <c r="D94" s="116"/>
      <c r="E94" s="116"/>
      <c r="F94" s="116"/>
      <c r="G94" s="116"/>
    </row>
    <row r="95" spans="1:7" ht="12.75">
      <c r="A95" s="129"/>
      <c r="B95" s="116"/>
      <c r="C95" s="116"/>
      <c r="D95" s="116"/>
      <c r="E95" s="116"/>
      <c r="F95" s="116"/>
      <c r="G95" s="116"/>
    </row>
    <row r="96" spans="1:7" ht="12.75">
      <c r="A96" s="129"/>
      <c r="B96" s="116"/>
      <c r="C96" s="116"/>
      <c r="D96" s="116"/>
      <c r="E96" s="116"/>
      <c r="F96" s="116"/>
      <c r="G96" s="116"/>
    </row>
    <row r="97" spans="1:7" ht="12.75">
      <c r="A97" s="129"/>
      <c r="B97" s="116"/>
      <c r="C97" s="116"/>
      <c r="D97" s="116"/>
      <c r="E97" s="116"/>
      <c r="F97" s="116"/>
      <c r="G97" s="116"/>
    </row>
    <row r="98" spans="1:7" ht="12.75">
      <c r="A98" s="129"/>
      <c r="B98" s="116"/>
      <c r="C98" s="116"/>
      <c r="D98" s="116"/>
      <c r="E98" s="116"/>
      <c r="F98" s="116"/>
      <c r="G98" s="116"/>
    </row>
    <row r="99" spans="1:7" ht="12.75">
      <c r="A99" s="129"/>
      <c r="B99" s="116"/>
      <c r="C99" s="116"/>
      <c r="D99" s="116"/>
      <c r="E99" s="116"/>
      <c r="F99" s="116"/>
      <c r="G99" s="116"/>
    </row>
    <row r="100" spans="1:7" ht="12.75">
      <c r="A100" s="129"/>
      <c r="B100" s="116"/>
      <c r="C100" s="116"/>
      <c r="D100" s="116"/>
      <c r="E100" s="116"/>
      <c r="F100" s="116"/>
      <c r="G100" s="116"/>
    </row>
    <row r="101" spans="1:7" ht="12.75">
      <c r="A101" s="129"/>
      <c r="B101" s="116"/>
      <c r="C101" s="116"/>
      <c r="D101" s="116"/>
      <c r="E101" s="116"/>
      <c r="F101" s="116"/>
      <c r="G101" s="116"/>
    </row>
    <row r="102" spans="1:7" ht="12.75">
      <c r="A102" s="129"/>
      <c r="B102" s="116"/>
      <c r="C102" s="116"/>
      <c r="D102" s="116"/>
      <c r="E102" s="116"/>
      <c r="F102" s="116"/>
      <c r="G102" s="116"/>
    </row>
    <row r="103" spans="1:7" ht="12.75">
      <c r="A103" s="129"/>
      <c r="B103" s="116"/>
      <c r="C103" s="116"/>
      <c r="D103" s="116"/>
      <c r="E103" s="116"/>
      <c r="F103" s="116"/>
      <c r="G103" s="116"/>
    </row>
    <row r="104" spans="1:7" ht="12.75">
      <c r="A104" s="129"/>
      <c r="B104" s="116"/>
      <c r="C104" s="116"/>
      <c r="D104" s="116"/>
      <c r="E104" s="116"/>
      <c r="F104" s="116"/>
      <c r="G104" s="116"/>
    </row>
    <row r="105" spans="1:7" ht="12.75">
      <c r="A105" s="129"/>
      <c r="B105" s="116"/>
      <c r="C105" s="116"/>
      <c r="D105" s="116"/>
      <c r="E105" s="116"/>
      <c r="F105" s="116"/>
      <c r="G105" s="116"/>
    </row>
    <row r="106" spans="1:7" ht="12.75">
      <c r="A106" s="129"/>
      <c r="B106" s="116"/>
      <c r="C106" s="116"/>
      <c r="D106" s="116"/>
      <c r="E106" s="116"/>
      <c r="F106" s="116"/>
      <c r="G106" s="116"/>
    </row>
    <row r="107" spans="1:7" ht="12.75">
      <c r="A107" s="129"/>
      <c r="B107" s="116"/>
      <c r="C107" s="116"/>
      <c r="D107" s="116"/>
      <c r="E107" s="116"/>
      <c r="F107" s="116"/>
      <c r="G107" s="116"/>
    </row>
    <row r="108" spans="1:7" ht="12.75">
      <c r="A108" s="129"/>
      <c r="B108" s="116"/>
      <c r="C108" s="116"/>
      <c r="D108" s="116"/>
      <c r="E108" s="116"/>
      <c r="F108" s="116"/>
      <c r="G108" s="116"/>
    </row>
    <row r="109" spans="1:7" ht="12.75">
      <c r="A109" s="129"/>
      <c r="B109" s="116"/>
      <c r="C109" s="116"/>
      <c r="D109" s="116"/>
      <c r="E109" s="116"/>
      <c r="F109" s="116"/>
      <c r="G109" s="116"/>
    </row>
    <row r="110" spans="1:7" ht="12.75">
      <c r="A110" s="129"/>
      <c r="B110" s="116"/>
      <c r="C110" s="116"/>
      <c r="D110" s="116"/>
      <c r="E110" s="116"/>
      <c r="F110" s="116"/>
      <c r="G110" s="116"/>
    </row>
    <row r="111" spans="1:7" ht="12.75">
      <c r="A111" s="129"/>
      <c r="B111" s="116"/>
      <c r="C111" s="116"/>
      <c r="D111" s="116"/>
      <c r="E111" s="116"/>
      <c r="F111" s="116"/>
      <c r="G111" s="116"/>
    </row>
    <row r="112" spans="1:7" ht="12.75">
      <c r="A112" s="129"/>
      <c r="B112" s="116"/>
      <c r="C112" s="116"/>
      <c r="D112" s="116"/>
      <c r="E112" s="116"/>
      <c r="F112" s="116"/>
      <c r="G112" s="116"/>
    </row>
    <row r="113" spans="1:7" ht="12.75">
      <c r="A113" s="129"/>
      <c r="B113" s="116"/>
      <c r="C113" s="116"/>
      <c r="D113" s="116"/>
      <c r="E113" s="116"/>
      <c r="F113" s="116"/>
      <c r="G113" s="116"/>
    </row>
    <row r="114" spans="1:7" ht="12.75">
      <c r="A114" s="129"/>
      <c r="B114" s="116"/>
      <c r="C114" s="116"/>
      <c r="D114" s="116"/>
      <c r="E114" s="116"/>
      <c r="F114" s="116"/>
      <c r="G114" s="116"/>
    </row>
    <row r="115" spans="1:7" ht="12.75">
      <c r="A115" s="129"/>
      <c r="B115" s="116"/>
      <c r="C115" s="116"/>
      <c r="D115" s="116"/>
      <c r="E115" s="116"/>
      <c r="F115" s="116"/>
      <c r="G115" s="116"/>
    </row>
    <row r="116" spans="1:7" ht="12.75">
      <c r="A116" s="129"/>
      <c r="B116" s="116"/>
      <c r="C116" s="116"/>
      <c r="D116" s="116"/>
      <c r="E116" s="116"/>
      <c r="F116" s="116"/>
      <c r="G116" s="116"/>
    </row>
    <row r="117" spans="1:7" ht="12.75">
      <c r="A117" s="129"/>
      <c r="B117" s="116"/>
      <c r="C117" s="116"/>
      <c r="D117" s="116"/>
      <c r="E117" s="116"/>
      <c r="F117" s="116"/>
      <c r="G117" s="116"/>
    </row>
    <row r="118" spans="1:7" ht="12.75">
      <c r="A118" s="129"/>
      <c r="B118" s="116"/>
      <c r="C118" s="116"/>
      <c r="D118" s="116"/>
      <c r="E118" s="116"/>
      <c r="F118" s="116"/>
      <c r="G118" s="116"/>
    </row>
    <row r="119" spans="1:7" ht="12.75">
      <c r="A119" s="129"/>
      <c r="B119" s="116"/>
      <c r="C119" s="116"/>
      <c r="D119" s="116"/>
      <c r="E119" s="116"/>
      <c r="F119" s="116"/>
      <c r="G119" s="116"/>
    </row>
    <row r="120" spans="1:7" ht="12.75">
      <c r="A120" s="129"/>
      <c r="B120" s="116"/>
      <c r="C120" s="116"/>
      <c r="D120" s="116"/>
      <c r="E120" s="116"/>
      <c r="F120" s="116"/>
      <c r="G120" s="116"/>
    </row>
    <row r="121" spans="1:7" ht="12.75">
      <c r="A121" s="129"/>
      <c r="B121" s="116"/>
      <c r="C121" s="116"/>
      <c r="D121" s="116"/>
      <c r="E121" s="116"/>
      <c r="F121" s="116"/>
      <c r="G121" s="116"/>
    </row>
    <row r="122" spans="1:7" ht="12.75">
      <c r="A122" s="129"/>
      <c r="B122" s="116"/>
      <c r="C122" s="116"/>
      <c r="D122" s="116"/>
      <c r="E122" s="116"/>
      <c r="F122" s="116"/>
      <c r="G122" s="116"/>
    </row>
    <row r="123" spans="1:7" ht="12.75">
      <c r="A123" s="129"/>
      <c r="B123" s="116"/>
      <c r="C123" s="116"/>
      <c r="D123" s="116"/>
      <c r="E123" s="116"/>
      <c r="F123" s="116"/>
      <c r="G123" s="116"/>
    </row>
    <row r="124" spans="1:7" ht="12.75">
      <c r="A124" s="129"/>
      <c r="B124" s="116"/>
      <c r="C124" s="116"/>
      <c r="D124" s="116"/>
      <c r="E124" s="116"/>
      <c r="F124" s="116"/>
      <c r="G124" s="116"/>
    </row>
    <row r="125" spans="1:7" ht="12.75">
      <c r="A125" s="129"/>
      <c r="B125" s="116"/>
      <c r="C125" s="116"/>
      <c r="D125" s="116"/>
      <c r="E125" s="116"/>
      <c r="F125" s="116"/>
      <c r="G125" s="116"/>
    </row>
    <row r="126" spans="1:7" ht="12.75">
      <c r="A126" s="129"/>
      <c r="B126" s="116"/>
      <c r="C126" s="116"/>
      <c r="D126" s="116"/>
      <c r="E126" s="116"/>
      <c r="F126" s="116"/>
      <c r="G126" s="116"/>
    </row>
    <row r="127" spans="1:7" ht="12.75">
      <c r="A127" s="129"/>
      <c r="B127" s="116"/>
      <c r="C127" s="116"/>
      <c r="D127" s="116"/>
      <c r="E127" s="116"/>
      <c r="F127" s="116"/>
      <c r="G127" s="116"/>
    </row>
    <row r="128" spans="1:7" ht="12.75">
      <c r="A128" s="129"/>
      <c r="B128" s="116"/>
      <c r="C128" s="116"/>
      <c r="D128" s="116"/>
      <c r="E128" s="116"/>
      <c r="F128" s="116"/>
      <c r="G128" s="116"/>
    </row>
    <row r="129" spans="1:7" ht="12.75">
      <c r="A129" s="129"/>
      <c r="B129" s="116"/>
      <c r="C129" s="116"/>
      <c r="D129" s="116"/>
      <c r="E129" s="116"/>
      <c r="F129" s="116"/>
      <c r="G129" s="116"/>
    </row>
    <row r="130" spans="1:7" ht="12.75">
      <c r="A130" s="129"/>
      <c r="B130" s="116"/>
      <c r="C130" s="116"/>
      <c r="D130" s="116"/>
      <c r="E130" s="116"/>
      <c r="F130" s="116"/>
      <c r="G130" s="116"/>
    </row>
    <row r="131" spans="1:7" ht="12.75">
      <c r="A131" s="129"/>
      <c r="B131" s="116"/>
      <c r="C131" s="116"/>
      <c r="D131" s="116"/>
      <c r="E131" s="116"/>
      <c r="F131" s="116"/>
      <c r="G131" s="116"/>
    </row>
    <row r="132" spans="1:7" ht="12.75">
      <c r="A132" s="129"/>
      <c r="B132" s="116"/>
      <c r="C132" s="116"/>
      <c r="D132" s="116"/>
      <c r="E132" s="116"/>
      <c r="F132" s="116"/>
      <c r="G132" s="116"/>
    </row>
    <row r="133" spans="1:7" ht="12.75">
      <c r="A133" s="129"/>
      <c r="B133" s="116"/>
      <c r="C133" s="116"/>
      <c r="D133" s="116"/>
      <c r="E133" s="116"/>
      <c r="F133" s="116"/>
      <c r="G133" s="116"/>
    </row>
    <row r="134" spans="1:7" ht="12.75">
      <c r="A134" s="129"/>
      <c r="B134" s="116"/>
      <c r="C134" s="116"/>
      <c r="D134" s="116"/>
      <c r="E134" s="116"/>
      <c r="F134" s="116"/>
      <c r="G134" s="116"/>
    </row>
    <row r="135" spans="1:7" ht="12.75">
      <c r="A135" s="129"/>
      <c r="B135" s="116"/>
      <c r="C135" s="116"/>
      <c r="D135" s="116"/>
      <c r="E135" s="116"/>
      <c r="F135" s="116"/>
      <c r="G135" s="116"/>
    </row>
    <row r="136" spans="1:7" ht="12.75">
      <c r="A136" s="129"/>
      <c r="B136" s="116"/>
      <c r="C136" s="116"/>
      <c r="D136" s="116"/>
      <c r="E136" s="116"/>
      <c r="F136" s="116"/>
      <c r="G136" s="116"/>
    </row>
    <row r="137" spans="1:7" ht="12.75">
      <c r="A137" s="129"/>
      <c r="B137" s="116"/>
      <c r="C137" s="116"/>
      <c r="D137" s="116"/>
      <c r="E137" s="116"/>
      <c r="F137" s="116"/>
      <c r="G137" s="116"/>
    </row>
    <row r="138" spans="1:7" ht="12.75">
      <c r="A138" s="129"/>
      <c r="B138" s="116"/>
      <c r="C138" s="116"/>
      <c r="D138" s="116"/>
      <c r="E138" s="116"/>
      <c r="F138" s="116"/>
      <c r="G138" s="116"/>
    </row>
    <row r="139" spans="1:7" ht="12.75">
      <c r="A139" s="129"/>
      <c r="B139" s="116"/>
      <c r="C139" s="116"/>
      <c r="D139" s="116"/>
      <c r="E139" s="116"/>
      <c r="F139" s="116"/>
      <c r="G139" s="116"/>
    </row>
    <row r="140" spans="1:7" ht="12.75">
      <c r="A140" s="129"/>
      <c r="B140" s="116"/>
      <c r="C140" s="116"/>
      <c r="D140" s="116"/>
      <c r="E140" s="116"/>
      <c r="F140" s="116"/>
      <c r="G140" s="116"/>
    </row>
    <row r="141" spans="1:7" ht="12.75">
      <c r="A141" s="129"/>
      <c r="B141" s="116"/>
      <c r="C141" s="116"/>
      <c r="D141" s="116"/>
      <c r="E141" s="116"/>
      <c r="F141" s="116"/>
      <c r="G141" s="116"/>
    </row>
    <row r="142" spans="1:7" ht="12.75">
      <c r="A142" s="129"/>
      <c r="B142" s="116"/>
      <c r="C142" s="116"/>
      <c r="D142" s="116"/>
      <c r="E142" s="116"/>
      <c r="F142" s="116"/>
      <c r="G142" s="116"/>
    </row>
    <row r="143" spans="1:7" ht="12.75">
      <c r="A143" s="129"/>
      <c r="B143" s="116"/>
      <c r="C143" s="116"/>
      <c r="D143" s="116"/>
      <c r="E143" s="116"/>
      <c r="F143" s="116"/>
      <c r="G143" s="116"/>
    </row>
    <row r="144" spans="1:7" ht="12.75">
      <c r="A144" s="129"/>
      <c r="B144" s="116"/>
      <c r="C144" s="116"/>
      <c r="D144" s="116"/>
      <c r="E144" s="116"/>
      <c r="F144" s="116"/>
      <c r="G144" s="116"/>
    </row>
    <row r="145" spans="1:7" ht="12.75">
      <c r="A145" s="129"/>
      <c r="B145" s="116"/>
      <c r="C145" s="116"/>
      <c r="D145" s="116"/>
      <c r="E145" s="116"/>
      <c r="F145" s="116"/>
      <c r="G145" s="116"/>
    </row>
    <row r="146" spans="1:7" ht="12.75">
      <c r="A146" s="129"/>
      <c r="B146" s="116"/>
      <c r="C146" s="116"/>
      <c r="D146" s="116"/>
      <c r="E146" s="116"/>
      <c r="F146" s="116"/>
      <c r="G146" s="116"/>
    </row>
    <row r="147" spans="1:7" ht="12.75">
      <c r="A147" s="129"/>
      <c r="B147" s="116"/>
      <c r="C147" s="116"/>
      <c r="D147" s="116"/>
      <c r="E147" s="116"/>
      <c r="F147" s="116"/>
      <c r="G147" s="116"/>
    </row>
    <row r="148" spans="1:7" ht="12.75">
      <c r="A148" s="129"/>
      <c r="B148" s="116"/>
      <c r="C148" s="116"/>
      <c r="D148" s="116"/>
      <c r="E148" s="116"/>
      <c r="F148" s="116"/>
      <c r="G148" s="116"/>
    </row>
    <row r="149" spans="1:7" ht="12.75">
      <c r="A149" s="129"/>
      <c r="B149" s="116"/>
      <c r="C149" s="116"/>
      <c r="D149" s="116"/>
      <c r="E149" s="116"/>
      <c r="F149" s="116"/>
      <c r="G149" s="116"/>
    </row>
    <row r="150" spans="1:7" ht="12.75">
      <c r="A150" s="129"/>
      <c r="B150" s="116"/>
      <c r="C150" s="116"/>
      <c r="D150" s="116"/>
      <c r="E150" s="116"/>
      <c r="F150" s="116"/>
      <c r="G150" s="116"/>
    </row>
    <row r="151" spans="1:7" ht="12.75">
      <c r="A151" s="129"/>
      <c r="B151" s="116"/>
      <c r="C151" s="116"/>
      <c r="D151" s="116"/>
      <c r="E151" s="116"/>
      <c r="F151" s="116"/>
      <c r="G151" s="116"/>
    </row>
    <row r="152" spans="1:7" ht="12.75">
      <c r="A152" s="129"/>
      <c r="B152" s="116"/>
      <c r="C152" s="116"/>
      <c r="D152" s="116"/>
      <c r="E152" s="116"/>
      <c r="F152" s="116"/>
      <c r="G152" s="116"/>
    </row>
    <row r="153" spans="1:7" ht="12.75">
      <c r="A153" s="129"/>
      <c r="B153" s="116"/>
      <c r="C153" s="116"/>
      <c r="D153" s="116"/>
      <c r="E153" s="116"/>
      <c r="F153" s="116"/>
      <c r="G153" s="116"/>
    </row>
    <row r="154" spans="1:7" ht="12.75">
      <c r="A154" s="129"/>
      <c r="B154" s="116"/>
      <c r="C154" s="116"/>
      <c r="D154" s="116"/>
      <c r="E154" s="116"/>
      <c r="F154" s="116"/>
      <c r="G154" s="116"/>
    </row>
    <row r="155" spans="1:7" ht="12.75">
      <c r="A155" s="129"/>
      <c r="B155" s="116"/>
      <c r="C155" s="116"/>
      <c r="D155" s="116"/>
      <c r="E155" s="116"/>
      <c r="F155" s="116"/>
      <c r="G155" s="116"/>
    </row>
    <row r="156" spans="1:7" ht="12.75">
      <c r="A156" s="129"/>
      <c r="B156" s="116"/>
      <c r="C156" s="116"/>
      <c r="D156" s="116"/>
      <c r="E156" s="116"/>
      <c r="F156" s="116"/>
      <c r="G156" s="116"/>
    </row>
    <row r="157" spans="1:7" ht="12.75">
      <c r="A157" s="129"/>
      <c r="B157" s="116"/>
      <c r="C157" s="116"/>
      <c r="D157" s="116"/>
      <c r="E157" s="116"/>
      <c r="F157" s="116"/>
      <c r="G157" s="116"/>
    </row>
    <row r="158" spans="1:7" ht="12.75">
      <c r="A158" s="129"/>
      <c r="B158" s="116"/>
      <c r="C158" s="116"/>
      <c r="D158" s="116"/>
      <c r="E158" s="116"/>
      <c r="F158" s="116"/>
      <c r="G158" s="116"/>
    </row>
    <row r="159" spans="1:7" ht="12.75">
      <c r="A159" s="129"/>
      <c r="B159" s="116"/>
      <c r="C159" s="116"/>
      <c r="D159" s="116"/>
      <c r="E159" s="116"/>
      <c r="F159" s="116"/>
      <c r="G159" s="116"/>
    </row>
    <row r="160" spans="1:7" ht="12.75">
      <c r="A160" s="129"/>
      <c r="B160" s="116"/>
      <c r="C160" s="116"/>
      <c r="D160" s="116"/>
      <c r="E160" s="116"/>
      <c r="F160" s="116"/>
      <c r="G160" s="116"/>
    </row>
    <row r="161" spans="1:7" ht="12.75">
      <c r="A161" s="129"/>
      <c r="B161" s="116"/>
      <c r="C161" s="116"/>
      <c r="D161" s="116"/>
      <c r="E161" s="116"/>
      <c r="F161" s="116"/>
      <c r="G161" s="116"/>
    </row>
    <row r="162" spans="1:7" ht="12.75">
      <c r="A162" s="129"/>
      <c r="B162" s="116"/>
      <c r="C162" s="116"/>
      <c r="D162" s="116"/>
      <c r="E162" s="116"/>
      <c r="F162" s="116"/>
      <c r="G162" s="116"/>
    </row>
    <row r="163" spans="1:7" ht="12.75">
      <c r="A163" s="129"/>
      <c r="B163" s="116"/>
      <c r="C163" s="116"/>
      <c r="D163" s="116"/>
      <c r="E163" s="116"/>
      <c r="F163" s="116"/>
      <c r="G163" s="116"/>
    </row>
    <row r="164" spans="1:7" ht="12.75">
      <c r="A164" s="129"/>
      <c r="B164" s="116"/>
      <c r="C164" s="116"/>
      <c r="D164" s="116"/>
      <c r="E164" s="116"/>
      <c r="F164" s="116"/>
      <c r="G164" s="116"/>
    </row>
    <row r="165" spans="1:7" ht="12.75">
      <c r="A165" s="129"/>
      <c r="B165" s="116"/>
      <c r="C165" s="116"/>
      <c r="D165" s="116"/>
      <c r="E165" s="116"/>
      <c r="F165" s="116"/>
      <c r="G165" s="116"/>
    </row>
    <row r="166" spans="1:7" ht="12.75">
      <c r="A166" s="129"/>
      <c r="B166" s="116"/>
      <c r="C166" s="116"/>
      <c r="D166" s="116"/>
      <c r="E166" s="116"/>
      <c r="F166" s="116"/>
      <c r="G166" s="116"/>
    </row>
  </sheetData>
  <sheetProtection/>
  <mergeCells count="20">
    <mergeCell ref="A3:A4"/>
    <mergeCell ref="N3:N4"/>
    <mergeCell ref="B5:M5"/>
    <mergeCell ref="B9:M9"/>
    <mergeCell ref="B13:M13"/>
    <mergeCell ref="B1:N2"/>
    <mergeCell ref="B3:B4"/>
    <mergeCell ref="C3:C4"/>
    <mergeCell ref="D3:D4"/>
    <mergeCell ref="E3:E4"/>
    <mergeCell ref="F3:F4"/>
    <mergeCell ref="B16:M16"/>
    <mergeCell ref="B21:M21"/>
    <mergeCell ref="B25:M25"/>
    <mergeCell ref="B29:M29"/>
    <mergeCell ref="B32:M32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G18" sqref="G18"/>
    </sheetView>
  </sheetViews>
  <sheetFormatPr defaultColWidth="8.75390625" defaultRowHeight="12.75"/>
  <cols>
    <col min="1" max="1" width="7.625" style="64" customWidth="1"/>
    <col min="2" max="2" width="16.25390625" style="16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13.375" style="16" customWidth="1"/>
    <col min="7" max="7" width="32.75390625" style="16" bestFit="1" customWidth="1"/>
    <col min="8" max="10" width="5.625" style="58" bestFit="1" customWidth="1"/>
    <col min="11" max="11" width="4.625" style="58" bestFit="1" customWidth="1"/>
    <col min="12" max="14" width="5.625" style="58" bestFit="1" customWidth="1"/>
    <col min="15" max="15" width="4.625" style="58" bestFit="1" customWidth="1"/>
    <col min="16" max="18" width="5.625" style="58" bestFit="1" customWidth="1"/>
    <col min="19" max="19" width="4.625" style="58" bestFit="1" customWidth="1"/>
    <col min="20" max="20" width="7.875" style="83" bestFit="1" customWidth="1"/>
    <col min="21" max="21" width="8.625" style="58" bestFit="1" customWidth="1"/>
    <col min="22" max="22" width="15.375" style="16" bestFit="1" customWidth="1"/>
  </cols>
  <sheetData>
    <row r="1" spans="1:22" s="1" customFormat="1" ht="15" customHeight="1">
      <c r="A1" s="36"/>
      <c r="B1" s="157" t="s">
        <v>521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120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2" customFormat="1" ht="12.75" customHeight="1">
      <c r="A3" s="152" t="s">
        <v>295</v>
      </c>
      <c r="B3" s="163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67" t="s">
        <v>2</v>
      </c>
      <c r="M3" s="168"/>
      <c r="N3" s="168"/>
      <c r="O3" s="169"/>
      <c r="P3" s="150" t="s">
        <v>3</v>
      </c>
      <c r="Q3" s="150"/>
      <c r="R3" s="150"/>
      <c r="S3" s="150"/>
      <c r="T3" s="148" t="s">
        <v>4</v>
      </c>
      <c r="U3" s="150" t="s">
        <v>6</v>
      </c>
      <c r="V3" s="154" t="s">
        <v>5</v>
      </c>
    </row>
    <row r="4" spans="1:22" s="2" customFormat="1" ht="21" customHeight="1" thickBot="1">
      <c r="A4" s="153"/>
      <c r="B4" s="164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29">
        <v>1</v>
      </c>
      <c r="Q4" s="29">
        <v>2</v>
      </c>
      <c r="R4" s="29">
        <v>3</v>
      </c>
      <c r="S4" s="29" t="s">
        <v>8</v>
      </c>
      <c r="T4" s="149"/>
      <c r="U4" s="151"/>
      <c r="V4" s="155"/>
    </row>
    <row r="5" spans="2:21" ht="15">
      <c r="B5" s="156" t="s">
        <v>204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64">
        <v>1</v>
      </c>
      <c r="B6" s="19" t="s">
        <v>205</v>
      </c>
      <c r="C6" s="19" t="s">
        <v>206</v>
      </c>
      <c r="D6" s="19" t="s">
        <v>324</v>
      </c>
      <c r="E6" s="19" t="str">
        <f>"0,7901"</f>
        <v>0,7901</v>
      </c>
      <c r="F6" s="19" t="s">
        <v>13</v>
      </c>
      <c r="G6" s="19" t="s">
        <v>14</v>
      </c>
      <c r="H6" s="41" t="s">
        <v>109</v>
      </c>
      <c r="I6" s="41" t="s">
        <v>207</v>
      </c>
      <c r="J6" s="41" t="s">
        <v>103</v>
      </c>
      <c r="K6" s="51"/>
      <c r="L6" s="60" t="s">
        <v>29</v>
      </c>
      <c r="M6" s="41" t="s">
        <v>29</v>
      </c>
      <c r="N6" s="60" t="s">
        <v>208</v>
      </c>
      <c r="O6" s="51"/>
      <c r="P6" s="41" t="s">
        <v>133</v>
      </c>
      <c r="Q6" s="60" t="s">
        <v>67</v>
      </c>
      <c r="R6" s="60" t="s">
        <v>67</v>
      </c>
      <c r="S6" s="51"/>
      <c r="T6" s="79">
        <v>290</v>
      </c>
      <c r="U6" s="50" t="str">
        <f>"229,1290"</f>
        <v>229,1290</v>
      </c>
      <c r="V6" s="19" t="s">
        <v>287</v>
      </c>
    </row>
    <row r="9" spans="2:21" ht="15">
      <c r="B9" s="147" t="s">
        <v>35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2" ht="12.75">
      <c r="A10" s="64">
        <v>1</v>
      </c>
      <c r="B10" s="19" t="s">
        <v>209</v>
      </c>
      <c r="C10" s="19" t="s">
        <v>210</v>
      </c>
      <c r="D10" s="19" t="s">
        <v>325</v>
      </c>
      <c r="E10" s="19" t="str">
        <f>"0,6575"</f>
        <v>0,6575</v>
      </c>
      <c r="F10" s="19" t="s">
        <v>13</v>
      </c>
      <c r="G10" s="19" t="s">
        <v>382</v>
      </c>
      <c r="H10" s="41" t="s">
        <v>211</v>
      </c>
      <c r="I10" s="41" t="s">
        <v>212</v>
      </c>
      <c r="J10" s="51"/>
      <c r="K10" s="51"/>
      <c r="L10" s="41" t="s">
        <v>32</v>
      </c>
      <c r="M10" s="41" t="s">
        <v>71</v>
      </c>
      <c r="N10" s="60" t="s">
        <v>51</v>
      </c>
      <c r="O10" s="51"/>
      <c r="P10" s="60" t="s">
        <v>211</v>
      </c>
      <c r="Q10" s="41" t="s">
        <v>211</v>
      </c>
      <c r="R10" s="51"/>
      <c r="S10" s="51"/>
      <c r="T10" s="79">
        <v>595</v>
      </c>
      <c r="U10" s="50" t="str">
        <f>"391,2125"</f>
        <v>391,2125</v>
      </c>
      <c r="V10" s="19" t="s">
        <v>375</v>
      </c>
    </row>
    <row r="12" ht="15">
      <c r="F12" s="17"/>
    </row>
    <row r="13" ht="15">
      <c r="F13" s="17"/>
    </row>
    <row r="14" ht="15">
      <c r="F14" s="17"/>
    </row>
    <row r="15" ht="15">
      <c r="F15" s="17"/>
    </row>
    <row r="16" ht="15">
      <c r="F16" s="17"/>
    </row>
    <row r="17" ht="15">
      <c r="F17" s="17"/>
    </row>
    <row r="18" ht="15">
      <c r="F18" s="17"/>
    </row>
    <row r="19" spans="2:6" ht="12.75">
      <c r="B19" s="116"/>
      <c r="C19" s="116"/>
      <c r="D19" s="116"/>
      <c r="E19" s="116"/>
      <c r="F19" s="116"/>
    </row>
    <row r="20" spans="2:6" ht="18">
      <c r="B20" s="118"/>
      <c r="C20" s="118"/>
      <c r="D20" s="116"/>
      <c r="E20" s="116"/>
      <c r="F20" s="116"/>
    </row>
    <row r="21" spans="2:6" ht="15">
      <c r="B21" s="119"/>
      <c r="C21" s="119"/>
      <c r="D21" s="116"/>
      <c r="E21" s="116"/>
      <c r="F21" s="116"/>
    </row>
    <row r="22" spans="2:6" ht="14.25">
      <c r="B22" s="120"/>
      <c r="C22" s="121"/>
      <c r="D22" s="116"/>
      <c r="E22" s="116"/>
      <c r="F22" s="116"/>
    </row>
    <row r="23" spans="2:6" ht="15">
      <c r="B23" s="122"/>
      <c r="C23" s="122"/>
      <c r="D23" s="122"/>
      <c r="E23" s="122"/>
      <c r="F23" s="122"/>
    </row>
    <row r="24" spans="2:6" ht="12.75">
      <c r="B24" s="124"/>
      <c r="C24" s="116"/>
      <c r="D24" s="116"/>
      <c r="E24" s="116"/>
      <c r="F24" s="125"/>
    </row>
    <row r="25" spans="2:6" ht="12.75">
      <c r="B25" s="116"/>
      <c r="C25" s="116"/>
      <c r="D25" s="116"/>
      <c r="E25" s="116"/>
      <c r="F25" s="116"/>
    </row>
    <row r="26" spans="2:6" ht="14.25">
      <c r="B26" s="120"/>
      <c r="C26" s="121"/>
      <c r="D26" s="116"/>
      <c r="E26" s="116"/>
      <c r="F26" s="116"/>
    </row>
    <row r="27" spans="2:6" ht="15">
      <c r="B27" s="122"/>
      <c r="C27" s="122"/>
      <c r="D27" s="122"/>
      <c r="E27" s="122"/>
      <c r="F27" s="122"/>
    </row>
    <row r="28" spans="2:6" ht="12.75">
      <c r="B28" s="124"/>
      <c r="C28" s="116"/>
      <c r="D28" s="116"/>
      <c r="E28" s="116"/>
      <c r="F28" s="125"/>
    </row>
    <row r="29" spans="2:6" ht="12.75">
      <c r="B29" s="116"/>
      <c r="C29" s="116"/>
      <c r="D29" s="116"/>
      <c r="E29" s="116"/>
      <c r="F29" s="116"/>
    </row>
    <row r="30" spans="2:6" ht="12.75">
      <c r="B30" s="116"/>
      <c r="C30" s="116"/>
      <c r="D30" s="116"/>
      <c r="E30" s="116"/>
      <c r="F30" s="116"/>
    </row>
  </sheetData>
  <sheetProtection/>
  <mergeCells count="16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9:U9"/>
    <mergeCell ref="P3:S3"/>
    <mergeCell ref="T3:T4"/>
    <mergeCell ref="U3:U4"/>
    <mergeCell ref="V3:V4"/>
    <mergeCell ref="B5:U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9" sqref="F29"/>
    </sheetView>
  </sheetViews>
  <sheetFormatPr defaultColWidth="8.75390625" defaultRowHeight="12.75"/>
  <cols>
    <col min="1" max="1" width="8.75390625" style="0" customWidth="1"/>
    <col min="2" max="2" width="26.00390625" style="16" bestFit="1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26.875" style="16" bestFit="1" customWidth="1"/>
    <col min="8" max="10" width="5.625" style="58" bestFit="1" customWidth="1"/>
    <col min="11" max="11" width="4.625" style="58" bestFit="1" customWidth="1"/>
    <col min="12" max="12" width="12.125" style="58" customWidth="1"/>
    <col min="13" max="13" width="8.625" style="58" bestFit="1" customWidth="1"/>
    <col min="14" max="14" width="16.125" style="16" bestFit="1" customWidth="1"/>
  </cols>
  <sheetData>
    <row r="1" spans="2:14" s="1" customFormat="1" ht="64.5" customHeight="1">
      <c r="B1" s="157" t="s">
        <v>517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72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6.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3</v>
      </c>
      <c r="I3" s="150"/>
      <c r="J3" s="150"/>
      <c r="K3" s="150"/>
      <c r="L3" s="150" t="s">
        <v>299</v>
      </c>
      <c r="M3" s="150" t="s">
        <v>6</v>
      </c>
      <c r="N3" s="154" t="s">
        <v>5</v>
      </c>
    </row>
    <row r="4" spans="1:14" s="2" customFormat="1" ht="15.75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51"/>
      <c r="M4" s="151"/>
      <c r="N4" s="155"/>
    </row>
    <row r="6" spans="2:13" ht="15">
      <c r="B6" s="147" t="s">
        <v>48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4" ht="12.75">
      <c r="A7" s="64">
        <v>1</v>
      </c>
      <c r="B7" s="19" t="s">
        <v>271</v>
      </c>
      <c r="C7" s="19" t="s">
        <v>272</v>
      </c>
      <c r="D7" s="19" t="s">
        <v>303</v>
      </c>
      <c r="E7" s="19" t="str">
        <f>"0,6200"</f>
        <v>0,6200</v>
      </c>
      <c r="F7" s="19" t="s">
        <v>186</v>
      </c>
      <c r="G7" s="19" t="s">
        <v>187</v>
      </c>
      <c r="H7" s="41" t="s">
        <v>71</v>
      </c>
      <c r="I7" s="41" t="s">
        <v>51</v>
      </c>
      <c r="J7" s="41" t="s">
        <v>52</v>
      </c>
      <c r="K7" s="51"/>
      <c r="L7" s="79">
        <v>190</v>
      </c>
      <c r="M7" s="50" t="str">
        <f>"117,8000"</f>
        <v>117,8000</v>
      </c>
      <c r="N7" s="19" t="s">
        <v>364</v>
      </c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ht="15">
      <c r="F15" s="17"/>
    </row>
    <row r="16" spans="2:6" ht="12.75">
      <c r="B16" s="116"/>
      <c r="C16" s="116"/>
      <c r="D16" s="116"/>
      <c r="E16" s="116"/>
      <c r="F16" s="116"/>
    </row>
    <row r="17" spans="2:6" ht="18">
      <c r="B17" s="118"/>
      <c r="C17" s="118"/>
      <c r="D17" s="116"/>
      <c r="E17" s="116"/>
      <c r="F17" s="116"/>
    </row>
    <row r="18" spans="2:6" ht="15">
      <c r="B18" s="119"/>
      <c r="C18" s="119"/>
      <c r="D18" s="116"/>
      <c r="E18" s="116"/>
      <c r="F18" s="116"/>
    </row>
    <row r="19" spans="2:6" ht="14.25">
      <c r="B19" s="120"/>
      <c r="C19" s="121"/>
      <c r="D19" s="116"/>
      <c r="E19" s="116"/>
      <c r="F19" s="116"/>
    </row>
    <row r="20" spans="2:6" ht="15">
      <c r="B20" s="122"/>
      <c r="C20" s="122"/>
      <c r="D20" s="122"/>
      <c r="E20" s="122"/>
      <c r="F20" s="122"/>
    </row>
    <row r="21" spans="2:6" ht="12.75">
      <c r="B21" s="124"/>
      <c r="C21" s="116"/>
      <c r="D21" s="116"/>
      <c r="E21" s="116"/>
      <c r="F21" s="125"/>
    </row>
    <row r="22" spans="2:6" ht="12.75">
      <c r="B22" s="116"/>
      <c r="C22" s="116"/>
      <c r="D22" s="116"/>
      <c r="E22" s="116"/>
      <c r="F22" s="116"/>
    </row>
    <row r="23" spans="2:6" ht="12.75">
      <c r="B23" s="116"/>
      <c r="C23" s="116"/>
      <c r="D23" s="116"/>
      <c r="E23" s="116"/>
      <c r="F23" s="116"/>
    </row>
    <row r="24" spans="2:6" ht="12.75">
      <c r="B24" s="116"/>
      <c r="C24" s="116"/>
      <c r="D24" s="116"/>
      <c r="E24" s="116"/>
      <c r="F24" s="116"/>
    </row>
    <row r="25" spans="2:6" ht="12.75">
      <c r="B25" s="116"/>
      <c r="C25" s="116"/>
      <c r="D25" s="116"/>
      <c r="E25" s="116"/>
      <c r="F25" s="116"/>
    </row>
    <row r="26" spans="2:6" ht="12.75">
      <c r="B26" s="116"/>
      <c r="C26" s="116"/>
      <c r="D26" s="116"/>
      <c r="E26" s="116"/>
      <c r="F26" s="116"/>
    </row>
    <row r="27" spans="2:6" ht="12.75">
      <c r="B27" s="116"/>
      <c r="C27" s="116"/>
      <c r="D27" s="116"/>
      <c r="E27" s="116"/>
      <c r="F27" s="116"/>
    </row>
  </sheetData>
  <sheetProtection/>
  <mergeCells count="13">
    <mergeCell ref="A3:A4"/>
    <mergeCell ref="L3:L4"/>
    <mergeCell ref="M3:M4"/>
    <mergeCell ref="N3:N4"/>
    <mergeCell ref="B6:M6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27" sqref="G27"/>
    </sheetView>
  </sheetViews>
  <sheetFormatPr defaultColWidth="8.75390625" defaultRowHeight="12.75"/>
  <cols>
    <col min="1" max="1" width="8.75390625" style="0" customWidth="1"/>
    <col min="2" max="2" width="26.00390625" style="16" bestFit="1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26.875" style="16" bestFit="1" customWidth="1"/>
    <col min="8" max="10" width="5.625" style="58" bestFit="1" customWidth="1"/>
    <col min="11" max="11" width="4.625" style="58" bestFit="1" customWidth="1"/>
    <col min="12" max="12" width="12.00390625" style="58" customWidth="1"/>
    <col min="13" max="13" width="8.625" style="58" bestFit="1" customWidth="1"/>
    <col min="14" max="14" width="16.125" style="16" bestFit="1" customWidth="1"/>
  </cols>
  <sheetData>
    <row r="1" spans="2:14" s="1" customFormat="1" ht="15" customHeight="1">
      <c r="B1" s="157" t="s">
        <v>515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10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3</v>
      </c>
      <c r="I3" s="150"/>
      <c r="J3" s="150"/>
      <c r="K3" s="150"/>
      <c r="L3" s="150" t="s">
        <v>299</v>
      </c>
      <c r="M3" s="150" t="s">
        <v>6</v>
      </c>
      <c r="N3" s="154" t="s">
        <v>5</v>
      </c>
    </row>
    <row r="4" spans="1:14" s="2" customFormat="1" ht="21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51"/>
      <c r="M4" s="151"/>
      <c r="N4" s="155"/>
    </row>
    <row r="5" spans="2:13" ht="15">
      <c r="B5" s="156" t="s">
        <v>204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288</v>
      </c>
      <c r="C6" s="19" t="s">
        <v>289</v>
      </c>
      <c r="D6" s="19" t="s">
        <v>302</v>
      </c>
      <c r="E6" s="19" t="str">
        <f>"1,0217"</f>
        <v>1,0217</v>
      </c>
      <c r="F6" s="19" t="s">
        <v>186</v>
      </c>
      <c r="G6" s="19" t="s">
        <v>187</v>
      </c>
      <c r="H6" s="41" t="s">
        <v>103</v>
      </c>
      <c r="I6" s="41" t="s">
        <v>25</v>
      </c>
      <c r="J6" s="41" t="s">
        <v>116</v>
      </c>
      <c r="K6" s="51"/>
      <c r="L6" s="79">
        <v>120</v>
      </c>
      <c r="M6" s="50" t="str">
        <f>"122,6040"</f>
        <v>122,6040</v>
      </c>
      <c r="N6" s="19" t="s">
        <v>364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spans="2:7" ht="12.75">
      <c r="B15" s="116"/>
      <c r="C15" s="116"/>
      <c r="D15" s="116"/>
      <c r="E15" s="116"/>
      <c r="F15" s="116"/>
      <c r="G15" s="116"/>
    </row>
    <row r="16" spans="2:7" ht="18">
      <c r="B16" s="118"/>
      <c r="C16" s="118"/>
      <c r="D16" s="116"/>
      <c r="E16" s="116"/>
      <c r="F16" s="116"/>
      <c r="G16" s="116"/>
    </row>
    <row r="17" spans="2:7" ht="15">
      <c r="B17" s="119"/>
      <c r="C17" s="119"/>
      <c r="D17" s="116"/>
      <c r="E17" s="116"/>
      <c r="F17" s="116"/>
      <c r="G17" s="116"/>
    </row>
    <row r="18" spans="2:7" ht="14.25">
      <c r="B18" s="120"/>
      <c r="C18" s="121"/>
      <c r="D18" s="116"/>
      <c r="E18" s="116"/>
      <c r="F18" s="116"/>
      <c r="G18" s="116"/>
    </row>
    <row r="19" spans="2:7" ht="15">
      <c r="B19" s="122"/>
      <c r="C19" s="122"/>
      <c r="D19" s="122"/>
      <c r="E19" s="122"/>
      <c r="F19" s="122"/>
      <c r="G19" s="116"/>
    </row>
    <row r="20" spans="2:7" ht="12.75">
      <c r="B20" s="124"/>
      <c r="C20" s="116"/>
      <c r="D20" s="116"/>
      <c r="E20" s="116"/>
      <c r="F20" s="125"/>
      <c r="G20" s="116"/>
    </row>
    <row r="21" spans="2:7" ht="12.75">
      <c r="B21" s="116"/>
      <c r="C21" s="116"/>
      <c r="D21" s="116"/>
      <c r="E21" s="116"/>
      <c r="F21" s="116"/>
      <c r="G21" s="116"/>
    </row>
    <row r="22" spans="2:7" ht="12.75">
      <c r="B22" s="116"/>
      <c r="C22" s="116"/>
      <c r="D22" s="116"/>
      <c r="E22" s="116"/>
      <c r="F22" s="116"/>
      <c r="G22" s="116"/>
    </row>
    <row r="23" spans="2:7" ht="12.75">
      <c r="B23" s="116"/>
      <c r="C23" s="116"/>
      <c r="D23" s="116"/>
      <c r="E23" s="116"/>
      <c r="F23" s="116"/>
      <c r="G23" s="116"/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F24" sqref="F24"/>
    </sheetView>
  </sheetViews>
  <sheetFormatPr defaultColWidth="8.75390625" defaultRowHeight="12.75"/>
  <cols>
    <col min="1" max="1" width="6.625" style="64" customWidth="1"/>
    <col min="2" max="2" width="22.00390625" style="16" customWidth="1"/>
    <col min="3" max="3" width="24.25390625" style="16" bestFit="1" customWidth="1"/>
    <col min="4" max="4" width="10.625" style="109" bestFit="1" customWidth="1"/>
    <col min="5" max="5" width="18.875" style="16" customWidth="1"/>
    <col min="6" max="6" width="28.00390625" style="16" bestFit="1" customWidth="1"/>
    <col min="7" max="9" width="5.625" style="58" bestFit="1" customWidth="1"/>
    <col min="10" max="10" width="5.75390625" style="58" customWidth="1"/>
    <col min="11" max="11" width="11.375" style="83" customWidth="1"/>
    <col min="12" max="12" width="27.375" style="16" bestFit="1" customWidth="1"/>
  </cols>
  <sheetData>
    <row r="1" spans="1:12" s="1" customFormat="1" ht="60.75" customHeight="1">
      <c r="A1" s="36"/>
      <c r="B1" s="157" t="s">
        <v>533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1" customFormat="1" ht="60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2" customFormat="1" ht="22.5" customHeight="1">
      <c r="A3" s="150" t="s">
        <v>295</v>
      </c>
      <c r="B3" s="170" t="s">
        <v>0</v>
      </c>
      <c r="C3" s="165" t="s">
        <v>296</v>
      </c>
      <c r="D3" s="186" t="s">
        <v>297</v>
      </c>
      <c r="E3" s="150" t="s">
        <v>7</v>
      </c>
      <c r="F3" s="150" t="s">
        <v>298</v>
      </c>
      <c r="G3" s="168" t="s">
        <v>3</v>
      </c>
      <c r="H3" s="168"/>
      <c r="I3" s="168"/>
      <c r="J3" s="169"/>
      <c r="K3" s="148" t="s">
        <v>299</v>
      </c>
      <c r="L3" s="154" t="s">
        <v>5</v>
      </c>
    </row>
    <row r="4" spans="1:12" s="2" customFormat="1" ht="24" customHeight="1" thickBot="1">
      <c r="A4" s="151"/>
      <c r="B4" s="171"/>
      <c r="C4" s="151"/>
      <c r="D4" s="187"/>
      <c r="E4" s="151"/>
      <c r="F4" s="151"/>
      <c r="G4" s="29" t="s">
        <v>360</v>
      </c>
      <c r="H4" s="29" t="s">
        <v>361</v>
      </c>
      <c r="I4" s="29" t="s">
        <v>362</v>
      </c>
      <c r="J4" s="29" t="s">
        <v>460</v>
      </c>
      <c r="K4" s="149"/>
      <c r="L4" s="155"/>
    </row>
    <row r="5" spans="2:11" ht="15">
      <c r="B5" s="156" t="s">
        <v>17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2" ht="12.75">
      <c r="A6" s="64">
        <v>1</v>
      </c>
      <c r="B6" s="19" t="s">
        <v>469</v>
      </c>
      <c r="C6" s="19" t="s">
        <v>470</v>
      </c>
      <c r="D6" s="108">
        <v>68.8</v>
      </c>
      <c r="E6" s="19" t="s">
        <v>91</v>
      </c>
      <c r="F6" s="19" t="s">
        <v>14</v>
      </c>
      <c r="G6" s="41" t="s">
        <v>109</v>
      </c>
      <c r="H6" s="41" t="s">
        <v>103</v>
      </c>
      <c r="I6" s="60" t="s">
        <v>25</v>
      </c>
      <c r="J6" s="51"/>
      <c r="K6" s="79">
        <v>100</v>
      </c>
      <c r="L6" s="19" t="s">
        <v>368</v>
      </c>
    </row>
    <row r="8" spans="2:11" ht="15">
      <c r="B8" s="147" t="s">
        <v>35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1:12" ht="12.75">
      <c r="A9" s="64">
        <v>1</v>
      </c>
      <c r="B9" s="20" t="s">
        <v>471</v>
      </c>
      <c r="C9" s="20" t="s">
        <v>472</v>
      </c>
      <c r="D9" s="110">
        <v>88.2</v>
      </c>
      <c r="E9" s="20" t="s">
        <v>91</v>
      </c>
      <c r="F9" s="20" t="s">
        <v>14</v>
      </c>
      <c r="G9" s="42" t="s">
        <v>32</v>
      </c>
      <c r="H9" s="53"/>
      <c r="I9" s="53"/>
      <c r="J9" s="53"/>
      <c r="K9" s="80">
        <v>160</v>
      </c>
      <c r="L9" s="19" t="s">
        <v>287</v>
      </c>
    </row>
    <row r="10" spans="1:12" ht="12.75">
      <c r="A10" s="64">
        <v>2</v>
      </c>
      <c r="B10" s="21" t="s">
        <v>290</v>
      </c>
      <c r="C10" s="21" t="s">
        <v>291</v>
      </c>
      <c r="D10" s="111">
        <v>85</v>
      </c>
      <c r="E10" s="21" t="s">
        <v>146</v>
      </c>
      <c r="F10" s="21" t="s">
        <v>14</v>
      </c>
      <c r="G10" s="43" t="s">
        <v>29</v>
      </c>
      <c r="H10" s="43" t="s">
        <v>103</v>
      </c>
      <c r="I10" s="43" t="s">
        <v>25</v>
      </c>
      <c r="J10" s="55"/>
      <c r="K10" s="82">
        <v>110</v>
      </c>
      <c r="L10" s="19" t="s">
        <v>287</v>
      </c>
    </row>
    <row r="11" spans="1:12" ht="12.75">
      <c r="A11" s="64">
        <v>1</v>
      </c>
      <c r="B11" s="22" t="s">
        <v>473</v>
      </c>
      <c r="C11" s="22" t="s">
        <v>474</v>
      </c>
      <c r="D11" s="112">
        <v>85.6</v>
      </c>
      <c r="E11" s="22" t="s">
        <v>13</v>
      </c>
      <c r="F11" s="22" t="s">
        <v>14</v>
      </c>
      <c r="G11" s="44" t="s">
        <v>170</v>
      </c>
      <c r="H11" s="44" t="s">
        <v>21</v>
      </c>
      <c r="I11" s="63" t="s">
        <v>22</v>
      </c>
      <c r="J11" s="57"/>
      <c r="K11" s="81">
        <v>150</v>
      </c>
      <c r="L11" s="19" t="s">
        <v>287</v>
      </c>
    </row>
    <row r="13" spans="2:11" ht="15">
      <c r="B13" s="147" t="s">
        <v>54</v>
      </c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2" ht="12.75">
      <c r="A14" s="64">
        <v>1</v>
      </c>
      <c r="B14" s="19" t="s">
        <v>475</v>
      </c>
      <c r="C14" s="19" t="s">
        <v>476</v>
      </c>
      <c r="D14" s="108">
        <v>106.4</v>
      </c>
      <c r="E14" s="19" t="s">
        <v>13</v>
      </c>
      <c r="F14" s="19" t="s">
        <v>477</v>
      </c>
      <c r="G14" s="41" t="s">
        <v>32</v>
      </c>
      <c r="H14" s="41" t="s">
        <v>71</v>
      </c>
      <c r="I14" s="60" t="s">
        <v>51</v>
      </c>
      <c r="J14" s="51"/>
      <c r="K14" s="79">
        <v>170</v>
      </c>
      <c r="L14" s="19" t="s">
        <v>287</v>
      </c>
    </row>
    <row r="16" spans="2:11" ht="15">
      <c r="B16" s="147" t="s">
        <v>72</v>
      </c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2" ht="12.75">
      <c r="A17" s="64">
        <v>1</v>
      </c>
      <c r="B17" s="19" t="s">
        <v>478</v>
      </c>
      <c r="C17" s="19" t="s">
        <v>479</v>
      </c>
      <c r="D17" s="108">
        <v>110.5</v>
      </c>
      <c r="E17" s="19" t="s">
        <v>91</v>
      </c>
      <c r="F17" s="19" t="s">
        <v>14</v>
      </c>
      <c r="G17" s="41" t="s">
        <v>32</v>
      </c>
      <c r="H17" s="41" t="s">
        <v>71</v>
      </c>
      <c r="I17" s="41" t="s">
        <v>43</v>
      </c>
      <c r="J17" s="51"/>
      <c r="K17" s="79">
        <v>175</v>
      </c>
      <c r="L17" s="19" t="s">
        <v>368</v>
      </c>
    </row>
    <row r="19" spans="2:11" ht="15">
      <c r="B19" s="147" t="s">
        <v>480</v>
      </c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2" ht="12.75">
      <c r="A20" s="64">
        <v>1</v>
      </c>
      <c r="B20" s="19" t="s">
        <v>481</v>
      </c>
      <c r="C20" s="19" t="s">
        <v>482</v>
      </c>
      <c r="D20" s="108">
        <v>104.9</v>
      </c>
      <c r="E20" s="19" t="s">
        <v>91</v>
      </c>
      <c r="F20" s="19" t="s">
        <v>14</v>
      </c>
      <c r="G20" s="41" t="s">
        <v>32</v>
      </c>
      <c r="H20" s="41" t="s">
        <v>71</v>
      </c>
      <c r="I20" s="41" t="s">
        <v>51</v>
      </c>
      <c r="J20" s="51"/>
      <c r="K20" s="79">
        <v>180</v>
      </c>
      <c r="L20" s="19" t="s">
        <v>368</v>
      </c>
    </row>
    <row r="22" ht="15">
      <c r="E22" s="17"/>
    </row>
    <row r="23" ht="15">
      <c r="E23" s="17"/>
    </row>
    <row r="24" ht="15">
      <c r="E24" s="17"/>
    </row>
    <row r="25" ht="15">
      <c r="E25" s="17"/>
    </row>
    <row r="26" ht="15">
      <c r="E26" s="17"/>
    </row>
    <row r="27" ht="15">
      <c r="E27" s="17"/>
    </row>
    <row r="28" ht="15">
      <c r="E28" s="17"/>
    </row>
    <row r="29" spans="2:6" ht="12.75">
      <c r="B29" s="116"/>
      <c r="C29" s="116"/>
      <c r="D29" s="117"/>
      <c r="E29" s="116"/>
      <c r="F29" s="116"/>
    </row>
    <row r="30" spans="2:6" ht="18">
      <c r="B30" s="118"/>
      <c r="C30" s="118"/>
      <c r="D30" s="117"/>
      <c r="E30" s="116"/>
      <c r="F30" s="116"/>
    </row>
    <row r="31" spans="2:6" ht="15">
      <c r="B31" s="119"/>
      <c r="C31" s="119"/>
      <c r="D31" s="117"/>
      <c r="E31" s="116"/>
      <c r="F31" s="116"/>
    </row>
    <row r="32" spans="2:6" ht="14.25">
      <c r="B32" s="120"/>
      <c r="C32" s="121"/>
      <c r="D32" s="117"/>
      <c r="E32" s="116"/>
      <c r="F32" s="116"/>
    </row>
    <row r="33" spans="2:6" ht="15">
      <c r="B33" s="122"/>
      <c r="C33" s="122"/>
      <c r="D33" s="123"/>
      <c r="E33" s="122"/>
      <c r="F33" s="116"/>
    </row>
    <row r="34" spans="2:6" ht="12.75">
      <c r="B34" s="124"/>
      <c r="C34" s="116"/>
      <c r="D34" s="117"/>
      <c r="E34" s="125"/>
      <c r="F34" s="116"/>
    </row>
    <row r="35" spans="2:6" ht="12.75">
      <c r="B35" s="116"/>
      <c r="C35" s="116"/>
      <c r="D35" s="117"/>
      <c r="E35" s="116"/>
      <c r="F35" s="116"/>
    </row>
    <row r="36" spans="2:6" ht="12.75">
      <c r="B36" s="116"/>
      <c r="C36" s="116"/>
      <c r="D36" s="117"/>
      <c r="E36" s="116"/>
      <c r="F36" s="116"/>
    </row>
    <row r="37" spans="2:6" ht="15">
      <c r="B37" s="119"/>
      <c r="C37" s="119"/>
      <c r="D37" s="117"/>
      <c r="E37" s="116"/>
      <c r="F37" s="116"/>
    </row>
    <row r="38" spans="2:6" ht="14.25">
      <c r="B38" s="120"/>
      <c r="C38" s="121"/>
      <c r="D38" s="117"/>
      <c r="E38" s="116"/>
      <c r="F38" s="116"/>
    </row>
    <row r="39" spans="2:6" ht="15">
      <c r="B39" s="122"/>
      <c r="C39" s="122"/>
      <c r="D39" s="123"/>
      <c r="E39" s="122"/>
      <c r="F39" s="116"/>
    </row>
    <row r="40" spans="2:6" ht="12.75">
      <c r="B40" s="124"/>
      <c r="C40" s="116"/>
      <c r="D40" s="117"/>
      <c r="E40" s="125"/>
      <c r="F40" s="116"/>
    </row>
    <row r="41" spans="2:6" ht="12.75">
      <c r="B41" s="116"/>
      <c r="C41" s="116"/>
      <c r="D41" s="117"/>
      <c r="E41" s="116"/>
      <c r="F41" s="116"/>
    </row>
    <row r="42" spans="2:6" ht="14.25">
      <c r="B42" s="120"/>
      <c r="C42" s="121"/>
      <c r="D42" s="117"/>
      <c r="E42" s="116"/>
      <c r="F42" s="116"/>
    </row>
    <row r="43" spans="2:6" ht="15">
      <c r="B43" s="122"/>
      <c r="C43" s="122"/>
      <c r="D43" s="123"/>
      <c r="E43" s="122"/>
      <c r="F43" s="116"/>
    </row>
    <row r="44" spans="2:6" ht="12.75">
      <c r="B44" s="124"/>
      <c r="C44" s="116"/>
      <c r="D44" s="117"/>
      <c r="E44" s="125"/>
      <c r="F44" s="116"/>
    </row>
    <row r="45" spans="2:5" ht="12.75">
      <c r="B45" s="24"/>
      <c r="E45" s="28"/>
    </row>
    <row r="46" spans="2:5" ht="12.75">
      <c r="B46" s="24"/>
      <c r="E46" s="28"/>
    </row>
    <row r="47" spans="2:5" ht="12.75">
      <c r="B47" s="24"/>
      <c r="E47" s="28"/>
    </row>
    <row r="49" spans="2:3" ht="14.25">
      <c r="B49" s="25"/>
      <c r="C49" s="26"/>
    </row>
    <row r="50" spans="2:5" ht="15">
      <c r="B50" s="27"/>
      <c r="C50" s="27"/>
      <c r="D50" s="113"/>
      <c r="E50" s="27"/>
    </row>
    <row r="51" spans="2:5" ht="12.75">
      <c r="B51" s="24"/>
      <c r="E51" s="28"/>
    </row>
  </sheetData>
  <sheetProtection/>
  <mergeCells count="15">
    <mergeCell ref="A3:A4"/>
    <mergeCell ref="B3:B4"/>
    <mergeCell ref="C3:C4"/>
    <mergeCell ref="D3:D4"/>
    <mergeCell ref="E3:E4"/>
    <mergeCell ref="F3:F4"/>
    <mergeCell ref="B5:K5"/>
    <mergeCell ref="B8:K8"/>
    <mergeCell ref="B13:K13"/>
    <mergeCell ref="B16:K16"/>
    <mergeCell ref="B19:K19"/>
    <mergeCell ref="B1:L2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4" sqref="F24"/>
    </sheetView>
  </sheetViews>
  <sheetFormatPr defaultColWidth="9.125" defaultRowHeight="12.75"/>
  <cols>
    <col min="1" max="1" width="7.00390625" style="36" customWidth="1"/>
    <col min="2" max="2" width="20.625" style="4" customWidth="1"/>
    <col min="3" max="3" width="21.375" style="5" bestFit="1" customWidth="1"/>
    <col min="4" max="4" width="10.625" style="5" bestFit="1" customWidth="1"/>
    <col min="5" max="5" width="17.625" style="5" customWidth="1"/>
    <col min="6" max="6" width="36.75390625" style="5" customWidth="1"/>
    <col min="7" max="7" width="4.375" style="36" customWidth="1"/>
    <col min="8" max="8" width="4.625" style="36" bestFit="1" customWidth="1"/>
    <col min="9" max="9" width="4.625" style="36" customWidth="1"/>
    <col min="10" max="10" width="4.25390625" style="36" customWidth="1"/>
    <col min="11" max="11" width="10.875" style="36" customWidth="1"/>
    <col min="12" max="12" width="15.375" style="5" bestFit="1" customWidth="1"/>
    <col min="13" max="16384" width="9.125" style="1" customWidth="1"/>
  </cols>
  <sheetData>
    <row r="1" spans="2:12" ht="60" customHeight="1">
      <c r="B1" s="157" t="s">
        <v>534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2:12" ht="87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2" customFormat="1" ht="24.75" customHeight="1">
      <c r="A3" s="150" t="s">
        <v>295</v>
      </c>
      <c r="B3" s="170" t="s">
        <v>0</v>
      </c>
      <c r="C3" s="180" t="s">
        <v>296</v>
      </c>
      <c r="D3" s="180" t="s">
        <v>297</v>
      </c>
      <c r="E3" s="150" t="s">
        <v>7</v>
      </c>
      <c r="F3" s="150" t="s">
        <v>298</v>
      </c>
      <c r="G3" s="168" t="s">
        <v>3</v>
      </c>
      <c r="H3" s="168"/>
      <c r="I3" s="168"/>
      <c r="J3" s="169"/>
      <c r="K3" s="148" t="s">
        <v>299</v>
      </c>
      <c r="L3" s="154" t="s">
        <v>5</v>
      </c>
    </row>
    <row r="4" spans="1:12" s="2" customFormat="1" ht="22.5" customHeight="1" thickBot="1">
      <c r="A4" s="151"/>
      <c r="B4" s="171"/>
      <c r="C4" s="175"/>
      <c r="D4" s="181"/>
      <c r="E4" s="151"/>
      <c r="F4" s="151"/>
      <c r="G4" s="29" t="s">
        <v>360</v>
      </c>
      <c r="H4" s="29" t="s">
        <v>361</v>
      </c>
      <c r="I4" s="29" t="s">
        <v>362</v>
      </c>
      <c r="J4" s="29" t="s">
        <v>460</v>
      </c>
      <c r="K4" s="149"/>
      <c r="L4" s="155"/>
    </row>
    <row r="5" spans="2:11" ht="15">
      <c r="B5" s="173" t="s">
        <v>461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1:12" ht="12.75">
      <c r="A6" s="36" t="s">
        <v>360</v>
      </c>
      <c r="B6" s="67" t="s">
        <v>462</v>
      </c>
      <c r="C6" s="6" t="s">
        <v>511</v>
      </c>
      <c r="D6" s="6" t="s">
        <v>464</v>
      </c>
      <c r="E6" s="67" t="s">
        <v>91</v>
      </c>
      <c r="F6" s="67" t="s">
        <v>14</v>
      </c>
      <c r="G6" s="41" t="s">
        <v>483</v>
      </c>
      <c r="H6" s="41" t="s">
        <v>510</v>
      </c>
      <c r="I6" s="41" t="s">
        <v>340</v>
      </c>
      <c r="J6" s="90"/>
      <c r="K6" s="30" t="s">
        <v>340</v>
      </c>
      <c r="L6" s="6" t="s">
        <v>386</v>
      </c>
    </row>
    <row r="7" spans="2:6" ht="12.75">
      <c r="B7" s="68"/>
      <c r="C7" s="68"/>
      <c r="D7" s="68"/>
      <c r="E7" s="68"/>
      <c r="F7" s="68"/>
    </row>
    <row r="8" spans="2:11" ht="15">
      <c r="B8" s="172" t="s">
        <v>35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2" ht="12.75">
      <c r="A9" s="36" t="s">
        <v>360</v>
      </c>
      <c r="B9" s="69" t="s">
        <v>471</v>
      </c>
      <c r="C9" s="69" t="s">
        <v>472</v>
      </c>
      <c r="D9" s="8" t="s">
        <v>341</v>
      </c>
      <c r="E9" s="69" t="s">
        <v>91</v>
      </c>
      <c r="F9" s="69" t="s">
        <v>14</v>
      </c>
      <c r="G9" s="47" t="s">
        <v>484</v>
      </c>
      <c r="H9" s="42" t="s">
        <v>484</v>
      </c>
      <c r="I9" s="114"/>
      <c r="J9" s="114"/>
      <c r="K9" s="31" t="s">
        <v>484</v>
      </c>
      <c r="L9" s="6" t="s">
        <v>287</v>
      </c>
    </row>
    <row r="10" spans="1:12" ht="12.75">
      <c r="A10" s="36" t="s">
        <v>361</v>
      </c>
      <c r="B10" s="71" t="s">
        <v>485</v>
      </c>
      <c r="C10" s="71" t="s">
        <v>486</v>
      </c>
      <c r="D10" s="12" t="s">
        <v>354</v>
      </c>
      <c r="E10" s="71" t="s">
        <v>13</v>
      </c>
      <c r="F10" s="12" t="s">
        <v>487</v>
      </c>
      <c r="G10" s="44" t="s">
        <v>488</v>
      </c>
      <c r="H10" s="48" t="s">
        <v>489</v>
      </c>
      <c r="I10" s="44" t="s">
        <v>489</v>
      </c>
      <c r="J10" s="115"/>
      <c r="K10" s="33" t="s">
        <v>489</v>
      </c>
      <c r="L10" s="6" t="s">
        <v>287</v>
      </c>
    </row>
    <row r="12" ht="15">
      <c r="E12" s="14"/>
    </row>
    <row r="13" ht="15">
      <c r="E13" s="14"/>
    </row>
    <row r="14" ht="15">
      <c r="E14" s="14"/>
    </row>
    <row r="15" ht="15">
      <c r="E15" s="14"/>
    </row>
    <row r="16" ht="15">
      <c r="E16" s="14"/>
    </row>
    <row r="17" ht="15">
      <c r="E17" s="14"/>
    </row>
    <row r="18" ht="15">
      <c r="E18" s="14"/>
    </row>
    <row r="20" spans="2:3" ht="18">
      <c r="B20" s="94"/>
      <c r="C20" s="72"/>
    </row>
    <row r="21" spans="2:3" ht="15">
      <c r="B21" s="95"/>
      <c r="C21" s="73"/>
    </row>
    <row r="22" spans="2:3" ht="14.25">
      <c r="B22" s="96"/>
      <c r="C22" s="77"/>
    </row>
    <row r="23" spans="2:5" ht="15">
      <c r="B23" s="2"/>
      <c r="C23" s="127"/>
      <c r="D23" s="127"/>
      <c r="E23" s="2"/>
    </row>
    <row r="24" spans="2:5" ht="12.75">
      <c r="B24" s="97"/>
      <c r="E24" s="4"/>
    </row>
    <row r="25" spans="2:5" ht="12.75">
      <c r="B25" s="97"/>
      <c r="E25" s="4"/>
    </row>
    <row r="26" spans="2:5" ht="12.75">
      <c r="B26" s="97"/>
      <c r="E26" s="4"/>
    </row>
  </sheetData>
  <sheetProtection/>
  <mergeCells count="12">
    <mergeCell ref="K3:K4"/>
    <mergeCell ref="L3:L4"/>
    <mergeCell ref="B5:K5"/>
    <mergeCell ref="B8:K8"/>
    <mergeCell ref="B1:L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12" sqref="F12"/>
    </sheetView>
  </sheetViews>
  <sheetFormatPr defaultColWidth="8.75390625" defaultRowHeight="12.75"/>
  <cols>
    <col min="1" max="1" width="9.125" style="64" customWidth="1"/>
    <col min="2" max="2" width="26.00390625" style="16" bestFit="1" customWidth="1"/>
    <col min="3" max="3" width="21.375" style="16" bestFit="1" customWidth="1"/>
    <col min="4" max="4" width="10.625" style="16" bestFit="1" customWidth="1"/>
    <col min="5" max="5" width="22.75390625" style="16" bestFit="1" customWidth="1"/>
    <col min="6" max="6" width="26.00390625" style="16" bestFit="1" customWidth="1"/>
    <col min="7" max="9" width="4.625" style="58" bestFit="1" customWidth="1"/>
    <col min="10" max="10" width="5.625" style="58" customWidth="1"/>
    <col min="11" max="11" width="12.125" style="16" customWidth="1"/>
    <col min="12" max="12" width="17.00390625" style="0" customWidth="1"/>
  </cols>
  <sheetData>
    <row r="1" spans="1:11" s="1" customFormat="1" ht="15" customHeight="1">
      <c r="A1" s="36"/>
      <c r="B1" s="157" t="s">
        <v>535</v>
      </c>
      <c r="C1" s="188"/>
      <c r="D1" s="188"/>
      <c r="E1" s="188"/>
      <c r="F1" s="188"/>
      <c r="G1" s="188"/>
      <c r="H1" s="188"/>
      <c r="I1" s="188"/>
      <c r="J1" s="188"/>
      <c r="K1" s="189"/>
    </row>
    <row r="2" spans="1:11" s="1" customFormat="1" ht="141" customHeight="1" thickBot="1">
      <c r="A2" s="36"/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1:12" s="2" customFormat="1" ht="12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7</v>
      </c>
      <c r="F3" s="150" t="s">
        <v>298</v>
      </c>
      <c r="G3" s="168" t="s">
        <v>3</v>
      </c>
      <c r="H3" s="168"/>
      <c r="I3" s="168"/>
      <c r="J3" s="169"/>
      <c r="K3" s="148" t="s">
        <v>299</v>
      </c>
      <c r="L3" s="154" t="s">
        <v>5</v>
      </c>
    </row>
    <row r="4" spans="1:12" s="2" customFormat="1" ht="21" customHeight="1" thickBot="1">
      <c r="A4" s="151"/>
      <c r="B4" s="171"/>
      <c r="C4" s="151"/>
      <c r="D4" s="166"/>
      <c r="E4" s="151"/>
      <c r="F4" s="151"/>
      <c r="G4" s="3" t="s">
        <v>360</v>
      </c>
      <c r="H4" s="3" t="s">
        <v>361</v>
      </c>
      <c r="I4" s="3" t="s">
        <v>362</v>
      </c>
      <c r="J4" s="3" t="s">
        <v>460</v>
      </c>
      <c r="K4" s="149"/>
      <c r="L4" s="155"/>
    </row>
    <row r="5" spans="2:10" ht="15">
      <c r="B5" s="156" t="s">
        <v>461</v>
      </c>
      <c r="C5" s="156"/>
      <c r="D5" s="156"/>
      <c r="E5" s="156"/>
      <c r="F5" s="156"/>
      <c r="G5" s="156"/>
      <c r="H5" s="156"/>
      <c r="I5" s="156"/>
      <c r="J5" s="156"/>
    </row>
    <row r="6" spans="1:12" ht="12.75">
      <c r="A6" s="64">
        <v>1</v>
      </c>
      <c r="B6" s="19" t="s">
        <v>462</v>
      </c>
      <c r="C6" s="19" t="s">
        <v>463</v>
      </c>
      <c r="D6" s="19" t="s">
        <v>464</v>
      </c>
      <c r="E6" s="19" t="s">
        <v>91</v>
      </c>
      <c r="F6" s="19" t="s">
        <v>14</v>
      </c>
      <c r="G6" s="41" t="s">
        <v>465</v>
      </c>
      <c r="H6" s="41" t="s">
        <v>466</v>
      </c>
      <c r="I6" s="60" t="s">
        <v>467</v>
      </c>
      <c r="J6" s="50"/>
      <c r="K6" s="50">
        <v>78.5</v>
      </c>
      <c r="L6" s="89" t="s">
        <v>386</v>
      </c>
    </row>
    <row r="8" spans="2:10" ht="15">
      <c r="B8" s="147" t="s">
        <v>48</v>
      </c>
      <c r="C8" s="147"/>
      <c r="D8" s="147"/>
      <c r="E8" s="147"/>
      <c r="F8" s="147"/>
      <c r="G8" s="147"/>
      <c r="H8" s="147"/>
      <c r="I8" s="147"/>
      <c r="J8" s="147"/>
    </row>
    <row r="9" spans="1:12" ht="12.75">
      <c r="A9" s="64">
        <v>1</v>
      </c>
      <c r="B9" s="19" t="s">
        <v>164</v>
      </c>
      <c r="C9" s="19" t="s">
        <v>165</v>
      </c>
      <c r="D9" s="19" t="s">
        <v>343</v>
      </c>
      <c r="E9" s="19" t="s">
        <v>91</v>
      </c>
      <c r="F9" s="19" t="s">
        <v>14</v>
      </c>
      <c r="G9" s="41" t="s">
        <v>468</v>
      </c>
      <c r="H9" s="41" t="s">
        <v>465</v>
      </c>
      <c r="I9" s="41" t="s">
        <v>466</v>
      </c>
      <c r="J9" s="50"/>
      <c r="K9" s="50">
        <v>78.5</v>
      </c>
      <c r="L9" s="89" t="s">
        <v>386</v>
      </c>
    </row>
    <row r="11" ht="15">
      <c r="E11" s="17"/>
    </row>
    <row r="12" ht="15">
      <c r="E12" s="17"/>
    </row>
    <row r="13" ht="15">
      <c r="E13" s="17"/>
    </row>
    <row r="14" ht="15">
      <c r="E14" s="17"/>
    </row>
    <row r="15" ht="15">
      <c r="E15" s="17"/>
    </row>
    <row r="16" ht="15">
      <c r="E16" s="17"/>
    </row>
    <row r="17" spans="2:5" ht="15">
      <c r="B17" s="116"/>
      <c r="C17" s="116"/>
      <c r="D17" s="116"/>
      <c r="E17" s="126"/>
    </row>
    <row r="18" spans="2:5" ht="12.75">
      <c r="B18" s="116"/>
      <c r="C18" s="116"/>
      <c r="D18" s="116"/>
      <c r="E18" s="116"/>
    </row>
    <row r="19" spans="2:5" ht="18">
      <c r="B19" s="118"/>
      <c r="C19" s="118"/>
      <c r="D19" s="116"/>
      <c r="E19" s="116"/>
    </row>
    <row r="20" spans="2:5" ht="15">
      <c r="B20" s="119"/>
      <c r="C20" s="119"/>
      <c r="D20" s="116"/>
      <c r="E20" s="116"/>
    </row>
    <row r="21" spans="2:5" ht="14.25">
      <c r="B21" s="120"/>
      <c r="C21" s="121"/>
      <c r="D21" s="116"/>
      <c r="E21" s="116"/>
    </row>
    <row r="22" spans="2:5" ht="15">
      <c r="B22" s="122"/>
      <c r="C22" s="122"/>
      <c r="D22" s="122"/>
      <c r="E22" s="122"/>
    </row>
    <row r="23" spans="2:5" ht="12.75">
      <c r="B23" s="124"/>
      <c r="C23" s="116"/>
      <c r="D23" s="116"/>
      <c r="E23" s="125"/>
    </row>
    <row r="24" spans="2:5" ht="12.75">
      <c r="B24" s="124"/>
      <c r="C24" s="116"/>
      <c r="D24" s="116"/>
      <c r="E24" s="125"/>
    </row>
    <row r="25" spans="2:5" ht="12.75">
      <c r="B25" s="116"/>
      <c r="C25" s="116"/>
      <c r="D25" s="116"/>
      <c r="E25" s="116"/>
    </row>
    <row r="26" spans="2:5" ht="12.75">
      <c r="B26" s="116"/>
      <c r="C26" s="116"/>
      <c r="D26" s="116"/>
      <c r="E26" s="116"/>
    </row>
    <row r="27" spans="2:5" ht="12.75">
      <c r="B27" s="116"/>
      <c r="C27" s="116"/>
      <c r="D27" s="116"/>
      <c r="E27" s="116"/>
    </row>
    <row r="28" spans="2:5" ht="12.75">
      <c r="B28" s="116"/>
      <c r="C28" s="116"/>
      <c r="D28" s="116"/>
      <c r="E28" s="116"/>
    </row>
  </sheetData>
  <sheetProtection/>
  <mergeCells count="12">
    <mergeCell ref="G3:J3"/>
    <mergeCell ref="K3:K4"/>
    <mergeCell ref="L3:L4"/>
    <mergeCell ref="B5:J5"/>
    <mergeCell ref="B8:J8"/>
    <mergeCell ref="B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G12" sqref="G12"/>
    </sheetView>
  </sheetViews>
  <sheetFormatPr defaultColWidth="8.75390625" defaultRowHeight="12.75"/>
  <cols>
    <col min="1" max="1" width="7.125" style="64" customWidth="1"/>
    <col min="2" max="2" width="21.25390625" style="16" customWidth="1"/>
    <col min="3" max="3" width="27.125" style="16" bestFit="1" customWidth="1"/>
    <col min="4" max="4" width="10.625" style="16" bestFit="1" customWidth="1"/>
    <col min="5" max="5" width="8.375" style="16" bestFit="1" customWidth="1"/>
    <col min="6" max="6" width="14.00390625" style="16" customWidth="1"/>
    <col min="7" max="7" width="37.625" style="16" customWidth="1"/>
    <col min="8" max="10" width="5.625" style="58" bestFit="1" customWidth="1"/>
    <col min="11" max="11" width="4.625" style="58" bestFit="1" customWidth="1"/>
    <col min="12" max="14" width="5.625" style="58" bestFit="1" customWidth="1"/>
    <col min="15" max="15" width="4.625" style="58" bestFit="1" customWidth="1"/>
    <col min="16" max="18" width="5.625" style="58" bestFit="1" customWidth="1"/>
    <col min="19" max="19" width="4.625" style="58" bestFit="1" customWidth="1"/>
    <col min="20" max="20" width="7.875" style="83" bestFit="1" customWidth="1"/>
    <col min="21" max="21" width="8.625" style="58" bestFit="1" customWidth="1"/>
    <col min="22" max="22" width="26.375" style="16" bestFit="1" customWidth="1"/>
  </cols>
  <sheetData>
    <row r="1" spans="1:22" s="1" customFormat="1" ht="15" customHeight="1">
      <c r="A1" s="36"/>
      <c r="B1" s="157" t="s">
        <v>518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103.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2" customFormat="1" ht="12.75" customHeight="1">
      <c r="A3" s="152" t="s">
        <v>295</v>
      </c>
      <c r="B3" s="163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67" t="s">
        <v>2</v>
      </c>
      <c r="M3" s="168"/>
      <c r="N3" s="168"/>
      <c r="O3" s="169"/>
      <c r="P3" s="150" t="s">
        <v>3</v>
      </c>
      <c r="Q3" s="150"/>
      <c r="R3" s="150"/>
      <c r="S3" s="150"/>
      <c r="T3" s="148" t="s">
        <v>4</v>
      </c>
      <c r="U3" s="150" t="s">
        <v>6</v>
      </c>
      <c r="V3" s="154" t="s">
        <v>5</v>
      </c>
    </row>
    <row r="4" spans="1:22" s="2" customFormat="1" ht="21" customHeight="1" thickBot="1">
      <c r="A4" s="153"/>
      <c r="B4" s="164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29">
        <v>1</v>
      </c>
      <c r="Q4" s="29">
        <v>2</v>
      </c>
      <c r="R4" s="29">
        <v>3</v>
      </c>
      <c r="S4" s="29" t="s">
        <v>8</v>
      </c>
      <c r="T4" s="149"/>
      <c r="U4" s="151"/>
      <c r="V4" s="155"/>
    </row>
    <row r="5" spans="2:21" ht="15">
      <c r="B5" s="156" t="s">
        <v>204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64">
        <v>1</v>
      </c>
      <c r="B6" s="19" t="s">
        <v>266</v>
      </c>
      <c r="C6" s="19" t="s">
        <v>267</v>
      </c>
      <c r="D6" s="19" t="s">
        <v>304</v>
      </c>
      <c r="E6" s="19" t="str">
        <f>"0,8178"</f>
        <v>0,8178</v>
      </c>
      <c r="F6" s="19" t="s">
        <v>106</v>
      </c>
      <c r="G6" s="19" t="s">
        <v>259</v>
      </c>
      <c r="H6" s="41" t="s">
        <v>103</v>
      </c>
      <c r="I6" s="60" t="s">
        <v>25</v>
      </c>
      <c r="J6" s="41" t="s">
        <v>25</v>
      </c>
      <c r="K6" s="51"/>
      <c r="L6" s="60" t="s">
        <v>215</v>
      </c>
      <c r="M6" s="41" t="s">
        <v>215</v>
      </c>
      <c r="N6" s="41" t="s">
        <v>229</v>
      </c>
      <c r="O6" s="51"/>
      <c r="P6" s="41" t="s">
        <v>116</v>
      </c>
      <c r="Q6" s="60" t="s">
        <v>46</v>
      </c>
      <c r="R6" s="41" t="s">
        <v>46</v>
      </c>
      <c r="S6" s="51"/>
      <c r="T6" s="79">
        <v>330</v>
      </c>
      <c r="U6" s="50" t="str">
        <f>"269,8740"</f>
        <v>269,8740</v>
      </c>
      <c r="V6" s="19" t="s">
        <v>377</v>
      </c>
    </row>
    <row r="8" spans="2:21" ht="15">
      <c r="B8" s="147" t="s">
        <v>17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2" ht="12.75">
      <c r="A9" s="64">
        <v>1</v>
      </c>
      <c r="B9" s="19" t="s">
        <v>104</v>
      </c>
      <c r="C9" s="19" t="s">
        <v>105</v>
      </c>
      <c r="D9" s="19" t="s">
        <v>305</v>
      </c>
      <c r="E9" s="19" t="str">
        <f>"0,7207"</f>
        <v>0,7207</v>
      </c>
      <c r="F9" s="19" t="s">
        <v>13</v>
      </c>
      <c r="G9" s="19" t="s">
        <v>379</v>
      </c>
      <c r="H9" s="41" t="s">
        <v>133</v>
      </c>
      <c r="I9" s="41" t="s">
        <v>67</v>
      </c>
      <c r="J9" s="41" t="s">
        <v>21</v>
      </c>
      <c r="K9" s="51"/>
      <c r="L9" s="41" t="s">
        <v>25</v>
      </c>
      <c r="M9" s="41" t="s">
        <v>26</v>
      </c>
      <c r="N9" s="41" t="s">
        <v>27</v>
      </c>
      <c r="O9" s="51"/>
      <c r="P9" s="41" t="s">
        <v>133</v>
      </c>
      <c r="Q9" s="41" t="s">
        <v>21</v>
      </c>
      <c r="R9" s="41" t="s">
        <v>33</v>
      </c>
      <c r="S9" s="51"/>
      <c r="T9" s="79">
        <v>432.5</v>
      </c>
      <c r="U9" s="50" t="str">
        <f>"311,7028"</f>
        <v>311,7028</v>
      </c>
      <c r="V9" s="19" t="s">
        <v>287</v>
      </c>
    </row>
    <row r="11" spans="2:21" ht="15">
      <c r="B11" s="147" t="s">
        <v>35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2" ht="12.75">
      <c r="A12" s="64">
        <v>1</v>
      </c>
      <c r="B12" s="19" t="s">
        <v>158</v>
      </c>
      <c r="C12" s="19" t="s">
        <v>159</v>
      </c>
      <c r="D12" s="19" t="s">
        <v>306</v>
      </c>
      <c r="E12" s="19" t="str">
        <f>"0,6406"</f>
        <v>0,6406</v>
      </c>
      <c r="F12" s="19" t="s">
        <v>106</v>
      </c>
      <c r="G12" s="19" t="s">
        <v>381</v>
      </c>
      <c r="H12" s="41" t="s">
        <v>32</v>
      </c>
      <c r="I12" s="41" t="s">
        <v>51</v>
      </c>
      <c r="J12" s="60" t="s">
        <v>52</v>
      </c>
      <c r="K12" s="51"/>
      <c r="L12" s="41" t="s">
        <v>116</v>
      </c>
      <c r="M12" s="41" t="s">
        <v>40</v>
      </c>
      <c r="N12" s="60" t="s">
        <v>133</v>
      </c>
      <c r="O12" s="51"/>
      <c r="P12" s="41" t="s">
        <v>51</v>
      </c>
      <c r="Q12" s="60" t="s">
        <v>174</v>
      </c>
      <c r="R12" s="41" t="s">
        <v>174</v>
      </c>
      <c r="S12" s="51"/>
      <c r="T12" s="79">
        <v>507.5</v>
      </c>
      <c r="U12" s="50" t="str">
        <f>"344,6108"</f>
        <v>344,6108</v>
      </c>
      <c r="V12" s="19" t="s">
        <v>287</v>
      </c>
    </row>
    <row r="14" spans="2:21" ht="15">
      <c r="B14" s="147" t="s">
        <v>72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2" ht="12.75">
      <c r="A15" s="64">
        <v>1</v>
      </c>
      <c r="B15" s="19" t="s">
        <v>268</v>
      </c>
      <c r="C15" s="19" t="s">
        <v>269</v>
      </c>
      <c r="D15" s="19" t="s">
        <v>307</v>
      </c>
      <c r="E15" s="19" t="str">
        <f>"0,5707"</f>
        <v>0,5707</v>
      </c>
      <c r="F15" s="19" t="s">
        <v>106</v>
      </c>
      <c r="G15" s="19" t="s">
        <v>379</v>
      </c>
      <c r="H15" s="60" t="s">
        <v>53</v>
      </c>
      <c r="I15" s="60" t="s">
        <v>53</v>
      </c>
      <c r="J15" s="41" t="s">
        <v>53</v>
      </c>
      <c r="K15" s="51"/>
      <c r="L15" s="41" t="s">
        <v>47</v>
      </c>
      <c r="M15" s="41" t="s">
        <v>21</v>
      </c>
      <c r="N15" s="41" t="s">
        <v>22</v>
      </c>
      <c r="O15" s="51"/>
      <c r="P15" s="41" t="s">
        <v>240</v>
      </c>
      <c r="Q15" s="41" t="s">
        <v>195</v>
      </c>
      <c r="R15" s="41" t="s">
        <v>270</v>
      </c>
      <c r="S15" s="51"/>
      <c r="T15" s="79">
        <v>590</v>
      </c>
      <c r="U15" s="50" t="str">
        <f>"336,7130"</f>
        <v>336,7130</v>
      </c>
      <c r="V15" s="19" t="s">
        <v>287</v>
      </c>
    </row>
    <row r="16" spans="1:22" ht="12.75">
      <c r="A16" s="64">
        <v>1</v>
      </c>
      <c r="B16" s="19" t="s">
        <v>247</v>
      </c>
      <c r="C16" s="19" t="s">
        <v>248</v>
      </c>
      <c r="D16" s="19" t="s">
        <v>323</v>
      </c>
      <c r="E16" s="19" t="str">
        <f>"0,5833"</f>
        <v>0,5833</v>
      </c>
      <c r="F16" s="19" t="s">
        <v>13</v>
      </c>
      <c r="G16" s="19" t="s">
        <v>14</v>
      </c>
      <c r="H16" s="41" t="s">
        <v>53</v>
      </c>
      <c r="I16" s="41" t="s">
        <v>212</v>
      </c>
      <c r="J16" s="60" t="s">
        <v>60</v>
      </c>
      <c r="K16" s="51"/>
      <c r="L16" s="41" t="s">
        <v>26</v>
      </c>
      <c r="M16" s="60" t="s">
        <v>40</v>
      </c>
      <c r="N16" s="60" t="s">
        <v>133</v>
      </c>
      <c r="O16" s="51"/>
      <c r="P16" s="41" t="s">
        <v>53</v>
      </c>
      <c r="Q16" s="41" t="s">
        <v>211</v>
      </c>
      <c r="R16" s="41" t="s">
        <v>60</v>
      </c>
      <c r="S16" s="51"/>
      <c r="T16" s="79">
        <v>555</v>
      </c>
      <c r="U16" s="50" t="str">
        <f>"323,7315"</f>
        <v>323,7315</v>
      </c>
      <c r="V16" s="19" t="s">
        <v>287</v>
      </c>
    </row>
    <row r="17" ht="15">
      <c r="F17" s="17"/>
    </row>
    <row r="18" ht="15">
      <c r="F18" s="17"/>
    </row>
    <row r="19" ht="15">
      <c r="F19" s="17"/>
    </row>
    <row r="20" ht="15">
      <c r="F20" s="17"/>
    </row>
    <row r="21" ht="15">
      <c r="F21" s="17"/>
    </row>
    <row r="22" spans="1:7" ht="12.75">
      <c r="A22" s="129"/>
      <c r="B22" s="116"/>
      <c r="C22" s="116"/>
      <c r="D22" s="116"/>
      <c r="E22" s="116"/>
      <c r="F22" s="116"/>
      <c r="G22" s="116"/>
    </row>
    <row r="23" spans="1:7" ht="18">
      <c r="A23" s="129"/>
      <c r="B23" s="118"/>
      <c r="C23" s="118"/>
      <c r="D23" s="116"/>
      <c r="E23" s="116"/>
      <c r="F23" s="116"/>
      <c r="G23" s="116"/>
    </row>
    <row r="24" spans="1:7" ht="15">
      <c r="A24" s="129"/>
      <c r="B24" s="119"/>
      <c r="C24" s="119"/>
      <c r="D24" s="116"/>
      <c r="E24" s="116"/>
      <c r="F24" s="116"/>
      <c r="G24" s="116"/>
    </row>
    <row r="25" spans="1:7" ht="14.25">
      <c r="A25" s="129"/>
      <c r="B25" s="120"/>
      <c r="C25" s="121"/>
      <c r="D25" s="116"/>
      <c r="E25" s="116"/>
      <c r="F25" s="116"/>
      <c r="G25" s="116"/>
    </row>
    <row r="26" spans="1:7" ht="15">
      <c r="A26" s="129"/>
      <c r="B26" s="122"/>
      <c r="C26" s="122"/>
      <c r="D26" s="122"/>
      <c r="E26" s="122"/>
      <c r="F26" s="122"/>
      <c r="G26" s="116"/>
    </row>
    <row r="27" spans="1:7" ht="12.75">
      <c r="A27" s="129"/>
      <c r="B27" s="124"/>
      <c r="C27" s="116"/>
      <c r="D27" s="116"/>
      <c r="E27" s="116"/>
      <c r="F27" s="125"/>
      <c r="G27" s="116"/>
    </row>
    <row r="28" spans="1:7" ht="12.75">
      <c r="A28" s="129"/>
      <c r="B28" s="116"/>
      <c r="C28" s="116"/>
      <c r="D28" s="116"/>
      <c r="E28" s="116"/>
      <c r="F28" s="116"/>
      <c r="G28" s="116"/>
    </row>
    <row r="29" spans="1:7" ht="14.25">
      <c r="A29" s="129"/>
      <c r="B29" s="120"/>
      <c r="C29" s="121"/>
      <c r="D29" s="116"/>
      <c r="E29" s="116"/>
      <c r="F29" s="116"/>
      <c r="G29" s="116"/>
    </row>
    <row r="30" spans="1:7" ht="15">
      <c r="A30" s="129"/>
      <c r="B30" s="122"/>
      <c r="C30" s="122"/>
      <c r="D30" s="122"/>
      <c r="E30" s="122"/>
      <c r="F30" s="122"/>
      <c r="G30" s="116"/>
    </row>
    <row r="31" spans="1:7" ht="12.75">
      <c r="A31" s="129"/>
      <c r="B31" s="124"/>
      <c r="C31" s="116"/>
      <c r="D31" s="116"/>
      <c r="E31" s="116"/>
      <c r="F31" s="125"/>
      <c r="G31" s="116"/>
    </row>
    <row r="32" spans="1:7" ht="12.75">
      <c r="A32" s="129"/>
      <c r="B32" s="116"/>
      <c r="C32" s="116"/>
      <c r="D32" s="116"/>
      <c r="E32" s="116"/>
      <c r="F32" s="116"/>
      <c r="G32" s="116"/>
    </row>
    <row r="33" spans="1:7" ht="14.25">
      <c r="A33" s="129"/>
      <c r="B33" s="120"/>
      <c r="C33" s="121"/>
      <c r="D33" s="116"/>
      <c r="E33" s="116"/>
      <c r="F33" s="116"/>
      <c r="G33" s="116"/>
    </row>
    <row r="34" spans="1:7" ht="15">
      <c r="A34" s="129"/>
      <c r="B34" s="122"/>
      <c r="C34" s="122"/>
      <c r="D34" s="122"/>
      <c r="E34" s="122"/>
      <c r="F34" s="122"/>
      <c r="G34" s="116"/>
    </row>
    <row r="35" spans="1:7" ht="12.75">
      <c r="A35" s="129"/>
      <c r="B35" s="124"/>
      <c r="C35" s="116"/>
      <c r="D35" s="116"/>
      <c r="E35" s="116"/>
      <c r="F35" s="125"/>
      <c r="G35" s="116"/>
    </row>
    <row r="36" spans="1:7" ht="12.75">
      <c r="A36" s="129"/>
      <c r="B36" s="116"/>
      <c r="C36" s="116"/>
      <c r="D36" s="116"/>
      <c r="E36" s="116"/>
      <c r="F36" s="116"/>
      <c r="G36" s="116"/>
    </row>
    <row r="37" spans="1:7" ht="14.25">
      <c r="A37" s="129"/>
      <c r="B37" s="120"/>
      <c r="C37" s="121"/>
      <c r="D37" s="116"/>
      <c r="E37" s="116"/>
      <c r="F37" s="116"/>
      <c r="G37" s="116"/>
    </row>
    <row r="38" spans="1:7" ht="15">
      <c r="A38" s="129"/>
      <c r="B38" s="122"/>
      <c r="C38" s="122"/>
      <c r="D38" s="122"/>
      <c r="E38" s="122"/>
      <c r="F38" s="122"/>
      <c r="G38" s="116"/>
    </row>
    <row r="39" spans="1:7" ht="12.75">
      <c r="A39" s="129"/>
      <c r="B39" s="124"/>
      <c r="C39" s="116"/>
      <c r="D39" s="116"/>
      <c r="E39" s="116"/>
      <c r="F39" s="125"/>
      <c r="G39" s="116"/>
    </row>
    <row r="40" spans="1:7" ht="12.75">
      <c r="A40" s="129"/>
      <c r="B40" s="116"/>
      <c r="C40" s="116"/>
      <c r="D40" s="116"/>
      <c r="E40" s="116"/>
      <c r="F40" s="116"/>
      <c r="G40" s="116"/>
    </row>
    <row r="41" spans="1:7" ht="12.75">
      <c r="A41" s="129"/>
      <c r="B41" s="116"/>
      <c r="C41" s="116"/>
      <c r="D41" s="116"/>
      <c r="E41" s="116"/>
      <c r="F41" s="116"/>
      <c r="G41" s="116"/>
    </row>
  </sheetData>
  <sheetProtection/>
  <mergeCells count="18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G7" sqref="G7"/>
    </sheetView>
  </sheetViews>
  <sheetFormatPr defaultColWidth="8.75390625" defaultRowHeight="12.75"/>
  <cols>
    <col min="1" max="1" width="6.75390625" style="64" customWidth="1"/>
    <col min="2" max="2" width="17.625" style="16" customWidth="1"/>
    <col min="3" max="3" width="26.875" style="16" bestFit="1" customWidth="1"/>
    <col min="4" max="4" width="10.625" style="16" bestFit="1" customWidth="1"/>
    <col min="5" max="5" width="8.375" style="16" bestFit="1" customWidth="1"/>
    <col min="6" max="6" width="16.125" style="16" customWidth="1"/>
    <col min="7" max="7" width="31.125" style="16" bestFit="1" customWidth="1"/>
    <col min="8" max="10" width="5.625" style="58" bestFit="1" customWidth="1"/>
    <col min="11" max="11" width="4.625" style="58" bestFit="1" customWidth="1"/>
    <col min="12" max="14" width="5.625" style="58" bestFit="1" customWidth="1"/>
    <col min="15" max="15" width="4.625" style="58" bestFit="1" customWidth="1"/>
    <col min="16" max="18" width="5.625" style="58" bestFit="1" customWidth="1"/>
    <col min="19" max="19" width="4.625" style="58" bestFit="1" customWidth="1"/>
    <col min="20" max="20" width="7.875" style="83" bestFit="1" customWidth="1"/>
    <col min="21" max="21" width="8.625" style="58" bestFit="1" customWidth="1"/>
    <col min="22" max="22" width="15.375" style="16" bestFit="1" customWidth="1"/>
  </cols>
  <sheetData>
    <row r="1" spans="1:22" s="1" customFormat="1" ht="15" customHeight="1">
      <c r="A1" s="36"/>
      <c r="B1" s="157" t="s">
        <v>519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102.75" customHeight="1" thickBot="1">
      <c r="A2" s="36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2" customFormat="1" ht="12.75" customHeight="1">
      <c r="A3" s="152" t="s">
        <v>295</v>
      </c>
      <c r="B3" s="163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67" t="s">
        <v>2</v>
      </c>
      <c r="M3" s="168"/>
      <c r="N3" s="168"/>
      <c r="O3" s="169"/>
      <c r="P3" s="150" t="s">
        <v>3</v>
      </c>
      <c r="Q3" s="150"/>
      <c r="R3" s="150"/>
      <c r="S3" s="150"/>
      <c r="T3" s="148" t="s">
        <v>4</v>
      </c>
      <c r="U3" s="150" t="s">
        <v>6</v>
      </c>
      <c r="V3" s="154" t="s">
        <v>5</v>
      </c>
    </row>
    <row r="4" spans="1:22" s="2" customFormat="1" ht="21" customHeight="1" thickBot="1">
      <c r="A4" s="153"/>
      <c r="B4" s="164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29">
        <v>1</v>
      </c>
      <c r="Q4" s="29">
        <v>2</v>
      </c>
      <c r="R4" s="29">
        <v>3</v>
      </c>
      <c r="S4" s="29" t="s">
        <v>8</v>
      </c>
      <c r="T4" s="149"/>
      <c r="U4" s="151"/>
      <c r="V4" s="155"/>
    </row>
    <row r="6" spans="2:21" ht="15">
      <c r="B6" s="147" t="s">
        <v>10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2" ht="12.75">
      <c r="A7" s="64">
        <v>1</v>
      </c>
      <c r="B7" s="20" t="s">
        <v>255</v>
      </c>
      <c r="C7" s="20" t="s">
        <v>256</v>
      </c>
      <c r="D7" s="20" t="s">
        <v>308</v>
      </c>
      <c r="E7" s="20" t="str">
        <f>"0,6734"</f>
        <v>0,6734</v>
      </c>
      <c r="F7" s="20" t="s">
        <v>91</v>
      </c>
      <c r="G7" s="20" t="s">
        <v>14</v>
      </c>
      <c r="H7" s="42" t="s">
        <v>163</v>
      </c>
      <c r="I7" s="42" t="s">
        <v>211</v>
      </c>
      <c r="J7" s="42" t="s">
        <v>240</v>
      </c>
      <c r="K7" s="53"/>
      <c r="L7" s="42" t="s">
        <v>40</v>
      </c>
      <c r="M7" s="42" t="s">
        <v>46</v>
      </c>
      <c r="N7" s="62" t="s">
        <v>47</v>
      </c>
      <c r="O7" s="53"/>
      <c r="P7" s="42" t="s">
        <v>163</v>
      </c>
      <c r="Q7" s="42" t="s">
        <v>174</v>
      </c>
      <c r="R7" s="42" t="s">
        <v>211</v>
      </c>
      <c r="S7" s="53"/>
      <c r="T7" s="80">
        <v>565</v>
      </c>
      <c r="U7" s="52" t="str">
        <f>"380,4710"</f>
        <v>380,4710</v>
      </c>
      <c r="V7" s="20" t="s">
        <v>287</v>
      </c>
    </row>
    <row r="8" spans="1:22" ht="12.75">
      <c r="A8" s="64">
        <v>2</v>
      </c>
      <c r="B8" s="22" t="s">
        <v>257</v>
      </c>
      <c r="C8" s="22" t="s">
        <v>258</v>
      </c>
      <c r="D8" s="22" t="s">
        <v>309</v>
      </c>
      <c r="E8" s="22" t="str">
        <f>"0,6779"</f>
        <v>0,6779</v>
      </c>
      <c r="F8" s="22" t="s">
        <v>13</v>
      </c>
      <c r="G8" s="22" t="s">
        <v>259</v>
      </c>
      <c r="H8" s="44" t="s">
        <v>51</v>
      </c>
      <c r="I8" s="44" t="s">
        <v>52</v>
      </c>
      <c r="J8" s="44" t="s">
        <v>53</v>
      </c>
      <c r="K8" s="57"/>
      <c r="L8" s="63" t="s">
        <v>67</v>
      </c>
      <c r="M8" s="44" t="s">
        <v>67</v>
      </c>
      <c r="N8" s="63" t="s">
        <v>21</v>
      </c>
      <c r="O8" s="57"/>
      <c r="P8" s="44" t="s">
        <v>53</v>
      </c>
      <c r="Q8" s="63" t="s">
        <v>212</v>
      </c>
      <c r="R8" s="44" t="s">
        <v>240</v>
      </c>
      <c r="S8" s="57"/>
      <c r="T8" s="81">
        <v>560</v>
      </c>
      <c r="U8" s="56" t="str">
        <f>"379,6240"</f>
        <v>379,6240</v>
      </c>
      <c r="V8" s="19" t="s">
        <v>287</v>
      </c>
    </row>
    <row r="10" spans="2:21" ht="15">
      <c r="B10" s="147" t="s">
        <v>35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2" ht="12.75">
      <c r="A11" s="64">
        <v>1</v>
      </c>
      <c r="B11" s="20" t="s">
        <v>41</v>
      </c>
      <c r="C11" s="20" t="s">
        <v>42</v>
      </c>
      <c r="D11" s="20" t="s">
        <v>310</v>
      </c>
      <c r="E11" s="20" t="str">
        <f>"0,6398"</f>
        <v>0,6398</v>
      </c>
      <c r="F11" s="20" t="s">
        <v>13</v>
      </c>
      <c r="G11" s="20" t="s">
        <v>14</v>
      </c>
      <c r="H11" s="62" t="s">
        <v>53</v>
      </c>
      <c r="I11" s="42" t="s">
        <v>53</v>
      </c>
      <c r="J11" s="42" t="s">
        <v>195</v>
      </c>
      <c r="K11" s="53"/>
      <c r="L11" s="42" t="s">
        <v>32</v>
      </c>
      <c r="M11" s="42" t="s">
        <v>43</v>
      </c>
      <c r="N11" s="62" t="s">
        <v>51</v>
      </c>
      <c r="O11" s="53"/>
      <c r="P11" s="42" t="s">
        <v>195</v>
      </c>
      <c r="Q11" s="42" t="s">
        <v>193</v>
      </c>
      <c r="R11" s="42" t="s">
        <v>260</v>
      </c>
      <c r="S11" s="53"/>
      <c r="T11" s="80">
        <v>665</v>
      </c>
      <c r="U11" s="52" t="str">
        <f>"425,4670"</f>
        <v>425,4670</v>
      </c>
      <c r="V11" s="20" t="s">
        <v>287</v>
      </c>
    </row>
    <row r="12" spans="1:22" ht="12.75">
      <c r="A12" s="64">
        <v>2</v>
      </c>
      <c r="B12" s="22" t="s">
        <v>261</v>
      </c>
      <c r="C12" s="22" t="s">
        <v>262</v>
      </c>
      <c r="D12" s="22" t="s">
        <v>311</v>
      </c>
      <c r="E12" s="22" t="str">
        <f>"0,6421"</f>
        <v>0,6421</v>
      </c>
      <c r="F12" s="22" t="s">
        <v>106</v>
      </c>
      <c r="G12" s="22" t="s">
        <v>14</v>
      </c>
      <c r="H12" s="44" t="s">
        <v>53</v>
      </c>
      <c r="I12" s="44" t="s">
        <v>240</v>
      </c>
      <c r="J12" s="63" t="s">
        <v>195</v>
      </c>
      <c r="K12" s="57"/>
      <c r="L12" s="44" t="s">
        <v>116</v>
      </c>
      <c r="M12" s="44" t="s">
        <v>133</v>
      </c>
      <c r="N12" s="44" t="s">
        <v>67</v>
      </c>
      <c r="O12" s="57"/>
      <c r="P12" s="44" t="s">
        <v>240</v>
      </c>
      <c r="Q12" s="44" t="s">
        <v>193</v>
      </c>
      <c r="R12" s="63" t="s">
        <v>263</v>
      </c>
      <c r="S12" s="57"/>
      <c r="T12" s="81">
        <v>610</v>
      </c>
      <c r="U12" s="56" t="str">
        <f>"391,6810"</f>
        <v>391,6810</v>
      </c>
      <c r="V12" s="19" t="s">
        <v>287</v>
      </c>
    </row>
    <row r="13" ht="12.75">
      <c r="Q13" s="66"/>
    </row>
    <row r="14" spans="2:21" ht="15">
      <c r="B14" s="147" t="s">
        <v>54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2" ht="12.75">
      <c r="A15" s="64">
        <v>1</v>
      </c>
      <c r="B15" s="19" t="s">
        <v>264</v>
      </c>
      <c r="C15" s="19" t="s">
        <v>265</v>
      </c>
      <c r="D15" s="19" t="s">
        <v>312</v>
      </c>
      <c r="E15" s="19" t="str">
        <f>"0,5972"</f>
        <v>0,5972</v>
      </c>
      <c r="F15" s="19" t="s">
        <v>91</v>
      </c>
      <c r="G15" s="19" t="s">
        <v>14</v>
      </c>
      <c r="H15" s="60" t="s">
        <v>110</v>
      </c>
      <c r="I15" s="41" t="s">
        <v>110</v>
      </c>
      <c r="J15" s="41" t="s">
        <v>116</v>
      </c>
      <c r="K15" s="51"/>
      <c r="L15" s="41" t="s">
        <v>116</v>
      </c>
      <c r="M15" s="41" t="s">
        <v>40</v>
      </c>
      <c r="N15" s="41" t="s">
        <v>123</v>
      </c>
      <c r="O15" s="51"/>
      <c r="P15" s="41" t="s">
        <v>67</v>
      </c>
      <c r="Q15" s="41" t="s">
        <v>21</v>
      </c>
      <c r="R15" s="51"/>
      <c r="S15" s="51"/>
      <c r="T15" s="79">
        <v>397.5</v>
      </c>
      <c r="U15" s="50" t="str">
        <f>"371,5106"</f>
        <v>371,5106</v>
      </c>
      <c r="V15" s="19" t="s">
        <v>287</v>
      </c>
    </row>
    <row r="16" ht="12.75">
      <c r="P16" s="65"/>
    </row>
    <row r="17" ht="15">
      <c r="F17" s="17"/>
    </row>
    <row r="18" ht="15">
      <c r="F18" s="17"/>
    </row>
    <row r="19" ht="15">
      <c r="F19" s="17"/>
    </row>
    <row r="20" ht="15">
      <c r="F20" s="17"/>
    </row>
    <row r="21" ht="15">
      <c r="F21" s="17"/>
    </row>
    <row r="22" ht="15">
      <c r="F22" s="17"/>
    </row>
    <row r="23" ht="15">
      <c r="F23" s="17"/>
    </row>
    <row r="24" spans="2:7" ht="12.75">
      <c r="B24" s="116"/>
      <c r="C24" s="116"/>
      <c r="D24" s="116"/>
      <c r="E24" s="116"/>
      <c r="F24" s="116"/>
      <c r="G24" s="116"/>
    </row>
    <row r="25" spans="2:7" ht="18">
      <c r="B25" s="118"/>
      <c r="C25" s="118"/>
      <c r="D25" s="116"/>
      <c r="E25" s="116"/>
      <c r="F25" s="116"/>
      <c r="G25" s="116"/>
    </row>
    <row r="26" spans="2:7" ht="15">
      <c r="B26" s="119"/>
      <c r="C26" s="119"/>
      <c r="D26" s="116"/>
      <c r="E26" s="116"/>
      <c r="F26" s="116"/>
      <c r="G26" s="116"/>
    </row>
    <row r="27" spans="2:7" ht="14.25">
      <c r="B27" s="120"/>
      <c r="C27" s="121"/>
      <c r="D27" s="116"/>
      <c r="E27" s="116"/>
      <c r="F27" s="116"/>
      <c r="G27" s="116"/>
    </row>
    <row r="28" spans="2:7" ht="15">
      <c r="B28" s="122"/>
      <c r="C28" s="122"/>
      <c r="D28" s="122"/>
      <c r="E28" s="122"/>
      <c r="F28" s="122"/>
      <c r="G28" s="116"/>
    </row>
    <row r="29" spans="2:7" ht="12.75">
      <c r="B29" s="124"/>
      <c r="C29" s="116"/>
      <c r="D29" s="116"/>
      <c r="E29" s="116"/>
      <c r="F29" s="125"/>
      <c r="G29" s="116"/>
    </row>
    <row r="30" spans="2:7" ht="12.75">
      <c r="B30" s="124"/>
      <c r="C30" s="116"/>
      <c r="D30" s="116"/>
      <c r="E30" s="116"/>
      <c r="F30" s="125"/>
      <c r="G30" s="116"/>
    </row>
    <row r="31" spans="2:7" ht="12.75">
      <c r="B31" s="124"/>
      <c r="C31" s="116"/>
      <c r="D31" s="116"/>
      <c r="E31" s="116"/>
      <c r="F31" s="125"/>
      <c r="G31" s="116"/>
    </row>
    <row r="32" spans="2:7" ht="12.75">
      <c r="B32" s="124"/>
      <c r="C32" s="116"/>
      <c r="D32" s="116"/>
      <c r="E32" s="116"/>
      <c r="F32" s="125"/>
      <c r="G32" s="116"/>
    </row>
    <row r="33" spans="2:7" ht="12.75">
      <c r="B33" s="116"/>
      <c r="C33" s="116"/>
      <c r="D33" s="116"/>
      <c r="E33" s="116"/>
      <c r="F33" s="116"/>
      <c r="G33" s="116"/>
    </row>
    <row r="34" spans="2:7" ht="14.25">
      <c r="B34" s="120"/>
      <c r="C34" s="121"/>
      <c r="D34" s="116"/>
      <c r="E34" s="116"/>
      <c r="F34" s="116"/>
      <c r="G34" s="116"/>
    </row>
    <row r="35" spans="2:7" ht="15">
      <c r="B35" s="122"/>
      <c r="C35" s="122"/>
      <c r="D35" s="122"/>
      <c r="E35" s="122"/>
      <c r="F35" s="122"/>
      <c r="G35" s="116"/>
    </row>
    <row r="36" spans="2:7" ht="12.75">
      <c r="B36" s="124"/>
      <c r="C36" s="116"/>
      <c r="D36" s="116"/>
      <c r="E36" s="116"/>
      <c r="F36" s="125"/>
      <c r="G36" s="116"/>
    </row>
  </sheetData>
  <sheetProtection/>
  <mergeCells count="17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T3:T4"/>
    <mergeCell ref="U3:U4"/>
    <mergeCell ref="V3:V4"/>
    <mergeCell ref="B6:U6"/>
    <mergeCell ref="B10:U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G24" sqref="G24"/>
    </sheetView>
  </sheetViews>
  <sheetFormatPr defaultColWidth="8.75390625" defaultRowHeight="12.75"/>
  <cols>
    <col min="1" max="1" width="7.125" style="0" customWidth="1"/>
    <col min="2" max="2" width="21.00390625" style="16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14.375" style="16" customWidth="1"/>
    <col min="7" max="7" width="18.00390625" style="16" bestFit="1" customWidth="1"/>
    <col min="8" max="10" width="5.625" style="58" bestFit="1" customWidth="1"/>
    <col min="11" max="11" width="4.625" style="58" bestFit="1" customWidth="1"/>
    <col min="12" max="14" width="5.625" style="58" bestFit="1" customWidth="1"/>
    <col min="15" max="15" width="4.625" style="58" bestFit="1" customWidth="1"/>
    <col min="16" max="18" width="5.625" style="58" bestFit="1" customWidth="1"/>
    <col min="19" max="19" width="4.625" style="58" bestFit="1" customWidth="1"/>
    <col min="20" max="20" width="7.875" style="83" bestFit="1" customWidth="1"/>
    <col min="21" max="21" width="8.625" style="58" bestFit="1" customWidth="1"/>
    <col min="22" max="22" width="28.375" style="16" bestFit="1" customWidth="1"/>
  </cols>
  <sheetData>
    <row r="1" spans="2:22" s="1" customFormat="1" ht="15" customHeight="1">
      <c r="B1" s="157" t="s">
        <v>522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2:22" s="1" customFormat="1" ht="102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2" customFormat="1" ht="12.75" customHeight="1">
      <c r="A3" s="152" t="s">
        <v>295</v>
      </c>
      <c r="B3" s="163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67" t="s">
        <v>2</v>
      </c>
      <c r="M3" s="168"/>
      <c r="N3" s="168"/>
      <c r="O3" s="169"/>
      <c r="P3" s="150" t="s">
        <v>3</v>
      </c>
      <c r="Q3" s="150"/>
      <c r="R3" s="150"/>
      <c r="S3" s="150"/>
      <c r="T3" s="148" t="s">
        <v>4</v>
      </c>
      <c r="U3" s="150" t="s">
        <v>6</v>
      </c>
      <c r="V3" s="154" t="s">
        <v>5</v>
      </c>
    </row>
    <row r="4" spans="1:22" s="2" customFormat="1" ht="21" customHeight="1" thickBot="1">
      <c r="A4" s="153"/>
      <c r="B4" s="164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29">
        <v>1</v>
      </c>
      <c r="M4" s="29">
        <v>2</v>
      </c>
      <c r="N4" s="29">
        <v>3</v>
      </c>
      <c r="O4" s="29" t="s">
        <v>8</v>
      </c>
      <c r="P4" s="29">
        <v>1</v>
      </c>
      <c r="Q4" s="29">
        <v>2</v>
      </c>
      <c r="R4" s="29">
        <v>3</v>
      </c>
      <c r="S4" s="29" t="s">
        <v>8</v>
      </c>
      <c r="T4" s="149"/>
      <c r="U4" s="151"/>
      <c r="V4" s="155"/>
    </row>
    <row r="5" spans="2:21" ht="15">
      <c r="B5" s="156" t="s">
        <v>17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64">
        <v>1</v>
      </c>
      <c r="B6" s="19" t="s">
        <v>191</v>
      </c>
      <c r="C6" s="19" t="s">
        <v>192</v>
      </c>
      <c r="D6" s="19" t="s">
        <v>327</v>
      </c>
      <c r="E6" s="19" t="str">
        <f>"0,7159"</f>
        <v>0,7159</v>
      </c>
      <c r="F6" s="19" t="s">
        <v>13</v>
      </c>
      <c r="G6" s="19" t="s">
        <v>190</v>
      </c>
      <c r="H6" s="41" t="s">
        <v>193</v>
      </c>
      <c r="I6" s="60" t="s">
        <v>194</v>
      </c>
      <c r="J6" s="60" t="s">
        <v>194</v>
      </c>
      <c r="K6" s="51"/>
      <c r="L6" s="41" t="s">
        <v>21</v>
      </c>
      <c r="M6" s="41" t="s">
        <v>32</v>
      </c>
      <c r="N6" s="41" t="s">
        <v>34</v>
      </c>
      <c r="O6" s="51"/>
      <c r="P6" s="41" t="s">
        <v>195</v>
      </c>
      <c r="Q6" s="41" t="s">
        <v>193</v>
      </c>
      <c r="R6" s="60" t="s">
        <v>196</v>
      </c>
      <c r="S6" s="51"/>
      <c r="T6" s="79">
        <v>667.5</v>
      </c>
      <c r="U6" s="50" t="str">
        <f>"477,8633"</f>
        <v>477,8633</v>
      </c>
      <c r="V6" s="19" t="s">
        <v>373</v>
      </c>
    </row>
    <row r="8" spans="2:21" ht="15">
      <c r="B8" s="147" t="s">
        <v>48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2:22" ht="12.75">
      <c r="B9" s="19" t="s">
        <v>197</v>
      </c>
      <c r="C9" s="19" t="s">
        <v>198</v>
      </c>
      <c r="D9" s="19" t="s">
        <v>328</v>
      </c>
      <c r="E9" s="19" t="str">
        <f>"0,6229"</f>
        <v>0,6229</v>
      </c>
      <c r="F9" s="19" t="s">
        <v>13</v>
      </c>
      <c r="G9" s="19" t="s">
        <v>190</v>
      </c>
      <c r="H9" s="60" t="s">
        <v>199</v>
      </c>
      <c r="I9" s="60" t="s">
        <v>199</v>
      </c>
      <c r="J9" s="60" t="s">
        <v>200</v>
      </c>
      <c r="K9" s="51"/>
      <c r="L9" s="60"/>
      <c r="M9" s="51"/>
      <c r="N9" s="51"/>
      <c r="O9" s="51"/>
      <c r="P9" s="60"/>
      <c r="Q9" s="51"/>
      <c r="R9" s="51"/>
      <c r="S9" s="51"/>
      <c r="T9" s="137">
        <v>0</v>
      </c>
      <c r="U9" s="50" t="s">
        <v>494</v>
      </c>
      <c r="V9" s="19" t="s">
        <v>373</v>
      </c>
    </row>
    <row r="11" ht="15">
      <c r="F11" s="17"/>
    </row>
    <row r="12" ht="15">
      <c r="F12" s="17"/>
    </row>
    <row r="13" ht="15">
      <c r="F13" s="17"/>
    </row>
    <row r="14" ht="15">
      <c r="F14" s="17"/>
    </row>
    <row r="15" ht="15">
      <c r="F15" s="17"/>
    </row>
    <row r="16" ht="15">
      <c r="F16" s="17"/>
    </row>
    <row r="17" spans="2:9" ht="15">
      <c r="B17" s="116"/>
      <c r="C17" s="116"/>
      <c r="D17" s="116"/>
      <c r="E17" s="116"/>
      <c r="F17" s="126"/>
      <c r="G17" s="116"/>
      <c r="H17" s="130"/>
      <c r="I17" s="130"/>
    </row>
    <row r="18" spans="2:9" ht="12.75">
      <c r="B18" s="116"/>
      <c r="C18" s="116"/>
      <c r="D18" s="116"/>
      <c r="E18" s="116"/>
      <c r="F18" s="116"/>
      <c r="G18" s="116"/>
      <c r="H18" s="130"/>
      <c r="I18" s="130"/>
    </row>
    <row r="19" spans="2:9" ht="18">
      <c r="B19" s="118"/>
      <c r="C19" s="118"/>
      <c r="D19" s="116"/>
      <c r="E19" s="116"/>
      <c r="F19" s="116"/>
      <c r="G19" s="116"/>
      <c r="H19" s="130"/>
      <c r="I19" s="130"/>
    </row>
    <row r="20" spans="2:9" ht="15">
      <c r="B20" s="119"/>
      <c r="C20" s="119"/>
      <c r="D20" s="116"/>
      <c r="E20" s="116"/>
      <c r="F20" s="116"/>
      <c r="G20" s="116"/>
      <c r="H20" s="130"/>
      <c r="I20" s="130"/>
    </row>
    <row r="21" spans="2:9" ht="14.25">
      <c r="B21" s="120"/>
      <c r="C21" s="121"/>
      <c r="D21" s="116"/>
      <c r="E21" s="116"/>
      <c r="F21" s="116"/>
      <c r="G21" s="116"/>
      <c r="H21" s="130"/>
      <c r="I21" s="130"/>
    </row>
    <row r="22" spans="2:9" ht="15">
      <c r="B22" s="122"/>
      <c r="C22" s="122"/>
      <c r="D22" s="122"/>
      <c r="E22" s="122"/>
      <c r="F22" s="122"/>
      <c r="G22" s="116"/>
      <c r="H22" s="130"/>
      <c r="I22" s="130"/>
    </row>
    <row r="23" spans="2:9" ht="12.75">
      <c r="B23" s="124"/>
      <c r="C23" s="116"/>
      <c r="D23" s="116"/>
      <c r="E23" s="116"/>
      <c r="F23" s="125"/>
      <c r="G23" s="116"/>
      <c r="H23" s="130"/>
      <c r="I23" s="130"/>
    </row>
    <row r="24" spans="2:9" ht="12.75">
      <c r="B24" s="116"/>
      <c r="C24" s="116"/>
      <c r="D24" s="116"/>
      <c r="E24" s="116"/>
      <c r="F24" s="116"/>
      <c r="G24" s="116"/>
      <c r="H24" s="130"/>
      <c r="I24" s="130"/>
    </row>
    <row r="25" spans="2:9" ht="12.75">
      <c r="B25" s="116"/>
      <c r="C25" s="116"/>
      <c r="D25" s="116"/>
      <c r="E25" s="116"/>
      <c r="F25" s="116"/>
      <c r="G25" s="116"/>
      <c r="H25" s="130"/>
      <c r="I25" s="130"/>
    </row>
    <row r="26" spans="2:9" ht="12.75">
      <c r="B26" s="116"/>
      <c r="C26" s="116"/>
      <c r="D26" s="116"/>
      <c r="E26" s="116"/>
      <c r="F26" s="116"/>
      <c r="G26" s="116"/>
      <c r="H26" s="130"/>
      <c r="I26" s="130"/>
    </row>
    <row r="27" spans="2:9" ht="12.75">
      <c r="B27" s="116"/>
      <c r="C27" s="116"/>
      <c r="D27" s="116"/>
      <c r="E27" s="116"/>
      <c r="F27" s="116"/>
      <c r="G27" s="116"/>
      <c r="H27" s="130"/>
      <c r="I27" s="130"/>
    </row>
  </sheetData>
  <sheetProtection/>
  <mergeCells count="16">
    <mergeCell ref="F3:F4"/>
    <mergeCell ref="G3:G4"/>
    <mergeCell ref="H3:K3"/>
    <mergeCell ref="L3:O3"/>
    <mergeCell ref="P3:S3"/>
    <mergeCell ref="A3:A4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18" sqref="G18"/>
    </sheetView>
  </sheetViews>
  <sheetFormatPr defaultColWidth="8.75390625" defaultRowHeight="12.75"/>
  <cols>
    <col min="1" max="1" width="8.75390625" style="0" customWidth="1"/>
    <col min="2" max="2" width="26.00390625" style="16" bestFit="1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26.00390625" style="16" bestFit="1" customWidth="1"/>
    <col min="8" max="10" width="5.625" style="58" bestFit="1" customWidth="1"/>
    <col min="11" max="11" width="4.625" style="58" bestFit="1" customWidth="1"/>
    <col min="12" max="12" width="10.75390625" style="58" customWidth="1"/>
    <col min="13" max="13" width="8.625" style="58" bestFit="1" customWidth="1"/>
    <col min="14" max="14" width="18.25390625" style="16" customWidth="1"/>
  </cols>
  <sheetData>
    <row r="1" spans="2:14" s="1" customFormat="1" ht="15" customHeight="1">
      <c r="B1" s="157" t="s">
        <v>514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103.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50" t="s">
        <v>299</v>
      </c>
      <c r="M3" s="150" t="s">
        <v>6</v>
      </c>
      <c r="N3" s="154" t="s">
        <v>5</v>
      </c>
    </row>
    <row r="4" spans="1:14" s="2" customFormat="1" ht="21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51"/>
      <c r="M4" s="151"/>
      <c r="N4" s="155"/>
    </row>
    <row r="5" spans="2:13" ht="15">
      <c r="B5" s="156" t="s">
        <v>35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290</v>
      </c>
      <c r="C6" s="19" t="s">
        <v>291</v>
      </c>
      <c r="D6" s="19" t="s">
        <v>229</v>
      </c>
      <c r="E6" s="19" t="str">
        <f>"0,6583"</f>
        <v>0,6583</v>
      </c>
      <c r="F6" s="19" t="s">
        <v>146</v>
      </c>
      <c r="G6" s="19" t="s">
        <v>14</v>
      </c>
      <c r="H6" s="41" t="s">
        <v>47</v>
      </c>
      <c r="I6" s="41" t="s">
        <v>22</v>
      </c>
      <c r="J6" s="41" t="s">
        <v>33</v>
      </c>
      <c r="K6" s="51"/>
      <c r="L6" s="79">
        <v>165</v>
      </c>
      <c r="M6" s="50" t="str">
        <f>"108,6195"</f>
        <v>108,6195</v>
      </c>
      <c r="N6" s="19" t="s">
        <v>287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spans="2:6" ht="12.75">
      <c r="B15" s="116"/>
      <c r="C15" s="116"/>
      <c r="D15" s="116"/>
      <c r="E15" s="116"/>
      <c r="F15" s="116"/>
    </row>
    <row r="16" spans="2:6" ht="18">
      <c r="B16" s="118"/>
      <c r="C16" s="118"/>
      <c r="D16" s="116"/>
      <c r="E16" s="116"/>
      <c r="F16" s="116"/>
    </row>
    <row r="17" spans="2:6" ht="15">
      <c r="B17" s="119"/>
      <c r="C17" s="119"/>
      <c r="D17" s="116"/>
      <c r="E17" s="116"/>
      <c r="F17" s="116"/>
    </row>
    <row r="18" spans="2:6" ht="14.25">
      <c r="B18" s="120"/>
      <c r="C18" s="121"/>
      <c r="D18" s="116"/>
      <c r="E18" s="116"/>
      <c r="F18" s="116"/>
    </row>
    <row r="19" spans="2:6" ht="15">
      <c r="B19" s="122"/>
      <c r="C19" s="122"/>
      <c r="D19" s="122"/>
      <c r="E19" s="122"/>
      <c r="F19" s="122"/>
    </row>
    <row r="20" spans="2:6" ht="12.75">
      <c r="B20" s="124"/>
      <c r="C20" s="116"/>
      <c r="D20" s="116"/>
      <c r="E20" s="116"/>
      <c r="F20" s="125"/>
    </row>
    <row r="21" spans="2:6" ht="12.75">
      <c r="B21" s="116"/>
      <c r="C21" s="116"/>
      <c r="D21" s="116"/>
      <c r="E21" s="116"/>
      <c r="F21" s="116"/>
    </row>
    <row r="22" spans="2:6" ht="12.75">
      <c r="B22" s="116"/>
      <c r="C22" s="116"/>
      <c r="D22" s="116"/>
      <c r="E22" s="116"/>
      <c r="F22" s="116"/>
    </row>
    <row r="23" spans="2:6" ht="12.75">
      <c r="B23" s="116"/>
      <c r="C23" s="116"/>
      <c r="D23" s="116"/>
      <c r="E23" s="116"/>
      <c r="F23" s="116"/>
    </row>
    <row r="24" spans="2:6" ht="12.75">
      <c r="B24" s="116"/>
      <c r="C24" s="116"/>
      <c r="D24" s="116"/>
      <c r="E24" s="116"/>
      <c r="F24" s="116"/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18" sqref="G18"/>
    </sheetView>
  </sheetViews>
  <sheetFormatPr defaultColWidth="8.75390625" defaultRowHeight="12.75"/>
  <cols>
    <col min="1" max="1" width="6.75390625" style="0" customWidth="1"/>
    <col min="2" max="2" width="23.25390625" style="16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22.75390625" style="16" bestFit="1" customWidth="1"/>
    <col min="7" max="7" width="26.00390625" style="16" bestFit="1" customWidth="1"/>
    <col min="8" max="11" width="4.625" style="58" bestFit="1" customWidth="1"/>
    <col min="12" max="12" width="11.875" style="58" customWidth="1"/>
    <col min="13" max="13" width="7.625" style="58" bestFit="1" customWidth="1"/>
    <col min="14" max="14" width="23.375" style="16" customWidth="1"/>
  </cols>
  <sheetData>
    <row r="1" spans="2:14" s="1" customFormat="1" ht="15" customHeight="1">
      <c r="B1" s="157" t="s">
        <v>513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10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50" t="s">
        <v>299</v>
      </c>
      <c r="M3" s="150" t="s">
        <v>6</v>
      </c>
      <c r="N3" s="154" t="s">
        <v>5</v>
      </c>
    </row>
    <row r="4" spans="1:14" s="2" customFormat="1" ht="21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51"/>
      <c r="M4" s="151"/>
      <c r="N4" s="155"/>
    </row>
    <row r="5" spans="2:13" ht="15">
      <c r="B5" s="156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273</v>
      </c>
      <c r="C6" s="19" t="s">
        <v>274</v>
      </c>
      <c r="D6" s="19" t="s">
        <v>301</v>
      </c>
      <c r="E6" s="19" t="str">
        <f>"1,3783"</f>
        <v>1,3783</v>
      </c>
      <c r="F6" s="19" t="s">
        <v>146</v>
      </c>
      <c r="G6" s="19" t="s">
        <v>14</v>
      </c>
      <c r="H6" s="41" t="s">
        <v>94</v>
      </c>
      <c r="I6" s="41" t="s">
        <v>292</v>
      </c>
      <c r="J6" s="60" t="s">
        <v>29</v>
      </c>
      <c r="K6" s="51"/>
      <c r="L6" s="79">
        <v>55</v>
      </c>
      <c r="M6" s="50" t="str">
        <f>"75,8065"</f>
        <v>75,8065</v>
      </c>
      <c r="N6" s="19" t="s">
        <v>363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spans="2:7" ht="15">
      <c r="B14" s="116"/>
      <c r="C14" s="116"/>
      <c r="D14" s="116"/>
      <c r="E14" s="116"/>
      <c r="F14" s="126"/>
      <c r="G14" s="116"/>
    </row>
    <row r="15" spans="2:7" ht="12.75">
      <c r="B15" s="116"/>
      <c r="C15" s="116"/>
      <c r="D15" s="116"/>
      <c r="E15" s="116"/>
      <c r="F15" s="116"/>
      <c r="G15" s="116"/>
    </row>
    <row r="16" spans="2:7" ht="18">
      <c r="B16" s="118"/>
      <c r="C16" s="118"/>
      <c r="D16" s="116"/>
      <c r="E16" s="116"/>
      <c r="F16" s="116"/>
      <c r="G16" s="116"/>
    </row>
    <row r="17" spans="2:7" ht="15">
      <c r="B17" s="119"/>
      <c r="C17" s="119"/>
      <c r="D17" s="116"/>
      <c r="E17" s="116"/>
      <c r="F17" s="116"/>
      <c r="G17" s="116"/>
    </row>
    <row r="18" spans="2:7" ht="14.25">
      <c r="B18" s="120"/>
      <c r="C18" s="121"/>
      <c r="D18" s="116"/>
      <c r="E18" s="116"/>
      <c r="F18" s="116"/>
      <c r="G18" s="116"/>
    </row>
    <row r="19" spans="2:7" ht="15">
      <c r="B19" s="122"/>
      <c r="C19" s="122"/>
      <c r="D19" s="122"/>
      <c r="E19" s="122"/>
      <c r="F19" s="122"/>
      <c r="G19" s="116"/>
    </row>
    <row r="20" spans="2:7" ht="12.75">
      <c r="B20" s="124"/>
      <c r="C20" s="116"/>
      <c r="D20" s="116"/>
      <c r="E20" s="116"/>
      <c r="F20" s="125"/>
      <c r="G20" s="116"/>
    </row>
    <row r="21" spans="2:7" ht="12.75">
      <c r="B21" s="116"/>
      <c r="C21" s="116"/>
      <c r="D21" s="116"/>
      <c r="E21" s="116"/>
      <c r="F21" s="116"/>
      <c r="G21" s="116"/>
    </row>
    <row r="22" spans="2:7" ht="12.75">
      <c r="B22" s="116"/>
      <c r="C22" s="116"/>
      <c r="D22" s="116"/>
      <c r="E22" s="116"/>
      <c r="F22" s="116"/>
      <c r="G22" s="116"/>
    </row>
    <row r="23" spans="2:7" ht="12.75">
      <c r="B23" s="116"/>
      <c r="C23" s="116"/>
      <c r="D23" s="116"/>
      <c r="E23" s="116"/>
      <c r="F23" s="116"/>
      <c r="G23" s="116"/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" sqref="B1:N2"/>
    </sheetView>
  </sheetViews>
  <sheetFormatPr defaultColWidth="8.75390625" defaultRowHeight="12.75"/>
  <cols>
    <col min="1" max="1" width="7.375" style="0" customWidth="1"/>
    <col min="2" max="2" width="17.75390625" style="16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18.25390625" style="16" customWidth="1"/>
    <col min="7" max="7" width="26.00390625" style="16" bestFit="1" customWidth="1"/>
    <col min="8" max="10" width="5.625" style="58" bestFit="1" customWidth="1"/>
    <col min="11" max="11" width="4.625" style="58" bestFit="1" customWidth="1"/>
    <col min="12" max="12" width="11.00390625" style="58" customWidth="1"/>
    <col min="13" max="13" width="8.625" style="58" bestFit="1" customWidth="1"/>
    <col min="14" max="14" width="17.375" style="16" customWidth="1"/>
  </cols>
  <sheetData>
    <row r="1" spans="2:14" s="1" customFormat="1" ht="15" customHeight="1">
      <c r="B1" s="157" t="s">
        <v>512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109.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2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1</v>
      </c>
      <c r="I3" s="150"/>
      <c r="J3" s="150"/>
      <c r="K3" s="150"/>
      <c r="L3" s="150" t="s">
        <v>299</v>
      </c>
      <c r="M3" s="150" t="s">
        <v>6</v>
      </c>
      <c r="N3" s="154" t="s">
        <v>5</v>
      </c>
    </row>
    <row r="4" spans="1:14" s="2" customFormat="1" ht="21" customHeight="1" thickBot="1">
      <c r="A4" s="153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51"/>
      <c r="M4" s="151"/>
      <c r="N4" s="155"/>
    </row>
    <row r="5" spans="2:13" ht="15">
      <c r="B5" s="156" t="s">
        <v>35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293</v>
      </c>
      <c r="C6" s="19" t="s">
        <v>294</v>
      </c>
      <c r="D6" s="19" t="s">
        <v>300</v>
      </c>
      <c r="E6" s="19" t="str">
        <f>"0,6440"</f>
        <v>0,6440</v>
      </c>
      <c r="F6" s="19" t="s">
        <v>13</v>
      </c>
      <c r="G6" s="19" t="s">
        <v>14</v>
      </c>
      <c r="H6" s="60" t="s">
        <v>22</v>
      </c>
      <c r="I6" s="41" t="s">
        <v>32</v>
      </c>
      <c r="J6" s="41" t="s">
        <v>71</v>
      </c>
      <c r="K6" s="51"/>
      <c r="L6" s="79">
        <v>170</v>
      </c>
      <c r="M6" s="50" t="str">
        <f>"109,4800"</f>
        <v>109,4800</v>
      </c>
      <c r="N6" s="19" t="s">
        <v>287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spans="2:6" ht="12.75">
      <c r="B15" s="116"/>
      <c r="C15" s="116"/>
      <c r="D15" s="116"/>
      <c r="E15" s="116"/>
      <c r="F15" s="116"/>
    </row>
    <row r="16" spans="2:6" ht="18">
      <c r="B16" s="118"/>
      <c r="C16" s="118"/>
      <c r="D16" s="116"/>
      <c r="E16" s="116"/>
      <c r="F16" s="116"/>
    </row>
    <row r="17" spans="2:6" ht="15">
      <c r="B17" s="119"/>
      <c r="C17" s="119"/>
      <c r="D17" s="116"/>
      <c r="E17" s="116"/>
      <c r="F17" s="116"/>
    </row>
    <row r="18" spans="2:6" ht="14.25">
      <c r="B18" s="120"/>
      <c r="C18" s="121"/>
      <c r="D18" s="116"/>
      <c r="E18" s="116"/>
      <c r="F18" s="116"/>
    </row>
    <row r="19" spans="2:6" ht="15">
      <c r="B19" s="122"/>
      <c r="C19" s="122"/>
      <c r="D19" s="122"/>
      <c r="E19" s="122"/>
      <c r="F19" s="122"/>
    </row>
    <row r="20" spans="2:6" ht="12.75">
      <c r="B20" s="124"/>
      <c r="C20" s="116"/>
      <c r="D20" s="116"/>
      <c r="E20" s="116"/>
      <c r="F20" s="125"/>
    </row>
    <row r="21" spans="2:6" ht="12.75">
      <c r="B21" s="116"/>
      <c r="C21" s="116"/>
      <c r="D21" s="116"/>
      <c r="E21" s="116"/>
      <c r="F21" s="116"/>
    </row>
    <row r="22" spans="2:6" ht="12.75">
      <c r="B22" s="116"/>
      <c r="C22" s="116"/>
      <c r="D22" s="116"/>
      <c r="E22" s="116"/>
      <c r="F22" s="116"/>
    </row>
    <row r="23" spans="2:6" ht="12.75">
      <c r="B23" s="116"/>
      <c r="C23" s="116"/>
      <c r="D23" s="116"/>
      <c r="E23" s="116"/>
      <c r="F23" s="116"/>
    </row>
    <row r="24" spans="2:6" ht="12.75">
      <c r="B24" s="116"/>
      <c r="C24" s="116"/>
      <c r="D24" s="116"/>
      <c r="E24" s="116"/>
      <c r="F24" s="116"/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19" sqref="G19"/>
    </sheetView>
  </sheetViews>
  <sheetFormatPr defaultColWidth="8.75390625" defaultRowHeight="12.75"/>
  <cols>
    <col min="1" max="1" width="6.25390625" style="0" customWidth="1"/>
    <col min="2" max="2" width="17.625" style="16" customWidth="1"/>
    <col min="3" max="3" width="21.375" style="16" bestFit="1" customWidth="1"/>
    <col min="4" max="4" width="10.625" style="16" bestFit="1" customWidth="1"/>
    <col min="5" max="5" width="8.375" style="16" bestFit="1" customWidth="1"/>
    <col min="6" max="6" width="14.875" style="16" customWidth="1"/>
    <col min="7" max="7" width="26.00390625" style="16" bestFit="1" customWidth="1"/>
    <col min="8" max="10" width="5.625" style="58" bestFit="1" customWidth="1"/>
    <col min="11" max="11" width="4.625" style="58" bestFit="1" customWidth="1"/>
    <col min="12" max="12" width="11.375" style="83" customWidth="1"/>
    <col min="13" max="13" width="8.625" style="58" bestFit="1" customWidth="1"/>
    <col min="14" max="14" width="20.125" style="16" bestFit="1" customWidth="1"/>
  </cols>
  <sheetData>
    <row r="1" spans="2:14" s="1" customFormat="1" ht="15" customHeight="1">
      <c r="B1" s="157" t="s">
        <v>523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" customFormat="1" ht="139.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2" customFormat="1" ht="12.75" customHeight="1">
      <c r="A3" s="150" t="s">
        <v>295</v>
      </c>
      <c r="B3" s="170" t="s">
        <v>0</v>
      </c>
      <c r="C3" s="165" t="s">
        <v>296</v>
      </c>
      <c r="D3" s="165" t="s">
        <v>297</v>
      </c>
      <c r="E3" s="150" t="s">
        <v>9</v>
      </c>
      <c r="F3" s="150" t="s">
        <v>7</v>
      </c>
      <c r="G3" s="150" t="s">
        <v>298</v>
      </c>
      <c r="H3" s="150" t="s">
        <v>2</v>
      </c>
      <c r="I3" s="150"/>
      <c r="J3" s="150"/>
      <c r="K3" s="150"/>
      <c r="L3" s="148" t="s">
        <v>299</v>
      </c>
      <c r="M3" s="150" t="s">
        <v>6</v>
      </c>
      <c r="N3" s="154" t="s">
        <v>5</v>
      </c>
    </row>
    <row r="4" spans="1:14" s="2" customFormat="1" ht="21" customHeight="1" thickBot="1">
      <c r="A4" s="151"/>
      <c r="B4" s="171"/>
      <c r="C4" s="151"/>
      <c r="D4" s="166"/>
      <c r="E4" s="151"/>
      <c r="F4" s="151"/>
      <c r="G4" s="151"/>
      <c r="H4" s="29">
        <v>1</v>
      </c>
      <c r="I4" s="29">
        <v>2</v>
      </c>
      <c r="J4" s="29">
        <v>3</v>
      </c>
      <c r="K4" s="29" t="s">
        <v>8</v>
      </c>
      <c r="L4" s="149"/>
      <c r="M4" s="151"/>
      <c r="N4" s="155"/>
    </row>
    <row r="5" spans="2:13" ht="15">
      <c r="B5" s="156" t="s">
        <v>48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64">
        <v>1</v>
      </c>
      <c r="B6" s="19" t="s">
        <v>201</v>
      </c>
      <c r="C6" s="19" t="s">
        <v>202</v>
      </c>
      <c r="D6" s="19" t="s">
        <v>326</v>
      </c>
      <c r="E6" s="19" t="str">
        <f>"0,6186"</f>
        <v>0,6186</v>
      </c>
      <c r="F6" s="19" t="s">
        <v>13</v>
      </c>
      <c r="G6" s="19" t="s">
        <v>14</v>
      </c>
      <c r="H6" s="41" t="s">
        <v>203</v>
      </c>
      <c r="I6" s="41" t="s">
        <v>163</v>
      </c>
      <c r="J6" s="41" t="s">
        <v>53</v>
      </c>
      <c r="K6" s="51"/>
      <c r="L6" s="79">
        <v>200</v>
      </c>
      <c r="M6" s="50" t="str">
        <f>"123,7200"</f>
        <v>123,7200</v>
      </c>
      <c r="N6" s="19" t="s">
        <v>374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spans="2:6" ht="12.75">
      <c r="B15" s="116"/>
      <c r="C15" s="116"/>
      <c r="D15" s="116"/>
      <c r="E15" s="116"/>
      <c r="F15" s="116"/>
    </row>
    <row r="16" spans="2:6" ht="18">
      <c r="B16" s="118"/>
      <c r="C16" s="118"/>
      <c r="D16" s="116"/>
      <c r="E16" s="116"/>
      <c r="F16" s="116"/>
    </row>
    <row r="17" spans="2:6" ht="15">
      <c r="B17" s="119"/>
      <c r="C17" s="119"/>
      <c r="D17" s="116"/>
      <c r="E17" s="116"/>
      <c r="F17" s="116"/>
    </row>
    <row r="18" spans="2:6" ht="14.25">
      <c r="B18" s="120"/>
      <c r="C18" s="121"/>
      <c r="D18" s="116"/>
      <c r="E18" s="116"/>
      <c r="F18" s="116"/>
    </row>
    <row r="19" spans="2:6" ht="15">
      <c r="B19" s="122"/>
      <c r="C19" s="122"/>
      <c r="D19" s="122"/>
      <c r="E19" s="122"/>
      <c r="F19" s="122"/>
    </row>
    <row r="20" spans="2:6" ht="12.75">
      <c r="B20" s="124"/>
      <c r="C20" s="116"/>
      <c r="D20" s="116"/>
      <c r="E20" s="116"/>
      <c r="F20" s="125"/>
    </row>
    <row r="21" spans="2:6" ht="12.75">
      <c r="B21" s="116"/>
      <c r="C21" s="116"/>
      <c r="D21" s="116"/>
      <c r="E21" s="116"/>
      <c r="F21" s="116"/>
    </row>
    <row r="22" spans="2:6" ht="12.75">
      <c r="B22" s="116"/>
      <c r="C22" s="116"/>
      <c r="D22" s="116"/>
      <c r="E22" s="116"/>
      <c r="F22" s="116"/>
    </row>
    <row r="23" spans="2:6" ht="12.75">
      <c r="B23" s="116"/>
      <c r="C23" s="116"/>
      <c r="D23" s="116"/>
      <c r="E23" s="116"/>
      <c r="F23" s="116"/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Леонид</cp:lastModifiedBy>
  <cp:lastPrinted>2015-07-16T19:10:53Z</cp:lastPrinted>
  <dcterms:created xsi:type="dcterms:W3CDTF">2002-06-16T13:36:44Z</dcterms:created>
  <dcterms:modified xsi:type="dcterms:W3CDTF">2017-02-06T08:52:27Z</dcterms:modified>
  <cp:category/>
  <cp:version/>
  <cp:contentType/>
  <cp:contentStatus/>
</cp:coreProperties>
</file>