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tabRatio="763" firstSheet="5" activeTab="5"/>
  </bookViews>
  <sheets>
    <sheet name="Пауэрлифтинг в бинтах ДК" sheetId="1" r:id="rId1"/>
    <sheet name="Пауэрлифтинг в бинтах" sheetId="2" r:id="rId2"/>
    <sheet name="Пауэрлифтинг без экипировки ДК" sheetId="3" r:id="rId3"/>
    <sheet name="Пауэрлифтинг без экипировки" sheetId="4" r:id="rId4"/>
    <sheet name="Присед в бинтах" sheetId="5" r:id="rId5"/>
    <sheet name="Жим лежа без экипировки ДК" sheetId="6" r:id="rId6"/>
    <sheet name="Жим лежа без экипировки" sheetId="7" r:id="rId7"/>
    <sheet name="Становая тяга без экипировки ДК" sheetId="8" r:id="rId8"/>
    <sheet name="Становая тяга без экипировки" sheetId="9" r:id="rId9"/>
    <sheet name="Пауэрспорт ДК" sheetId="10" r:id="rId10"/>
    <sheet name="Пауэрспорт" sheetId="11" r:id="rId11"/>
    <sheet name="Народный жим 1_2 веса ДК" sheetId="12" r:id="rId12"/>
    <sheet name="Народный жим 1 вес ДК" sheetId="13" r:id="rId13"/>
    <sheet name="Народный жим 1 вес" sheetId="14" r:id="rId14"/>
    <sheet name="Командное первенство" sheetId="15" r:id="rId15"/>
    <sheet name="Судейская коллегия" sheetId="16" r:id="rId16"/>
  </sheets>
  <definedNames/>
  <calcPr fullCalcOnLoad="1" refMode="R1C1"/>
</workbook>
</file>

<file path=xl/sharedStrings.xml><?xml version="1.0" encoding="utf-8"?>
<sst xmlns="http://schemas.openxmlformats.org/spreadsheetml/2006/main" count="1501" uniqueCount="499">
  <si>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</si>
  <si>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</si>
  <si>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</si>
  <si>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</si>
  <si>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</si>
  <si>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</si>
  <si>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</si>
  <si>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</si>
  <si>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</si>
  <si>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</si>
  <si>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</si>
  <si>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Радина Ярослава</t>
  </si>
  <si>
    <t>Открытая (03.03.1990)/26</t>
  </si>
  <si>
    <t>62,10</t>
  </si>
  <si>
    <t xml:space="preserve">лично </t>
  </si>
  <si>
    <t>82,5</t>
  </si>
  <si>
    <t>87,5</t>
  </si>
  <si>
    <t>90,0</t>
  </si>
  <si>
    <t xml:space="preserve">Самостоятельно </t>
  </si>
  <si>
    <t>ВЕСОВАЯ КАТЕГОРИЯ   75</t>
  </si>
  <si>
    <t>Кудинова Любовь</t>
  </si>
  <si>
    <t>Открытая (24.11.1983)/33</t>
  </si>
  <si>
    <t>71,20</t>
  </si>
  <si>
    <t xml:space="preserve">Серпухов/Московская область </t>
  </si>
  <si>
    <t>85,0</t>
  </si>
  <si>
    <t>95,0</t>
  </si>
  <si>
    <t xml:space="preserve">Грудев А. </t>
  </si>
  <si>
    <t>ВЕСОВАЯ КАТЕГОРИЯ   60</t>
  </si>
  <si>
    <t>Гребенщиков Иван</t>
  </si>
  <si>
    <t>Юноши 15-19 (22.09.2002)/14</t>
  </si>
  <si>
    <t>58,00</t>
  </si>
  <si>
    <t>35,0</t>
  </si>
  <si>
    <t>37,5</t>
  </si>
  <si>
    <t>40,0</t>
  </si>
  <si>
    <t>Салихов Андрей</t>
  </si>
  <si>
    <t>Мастера 45 - 49 (15.04.1971)/45</t>
  </si>
  <si>
    <t>71,90</t>
  </si>
  <si>
    <t>130,0</t>
  </si>
  <si>
    <t>140,0</t>
  </si>
  <si>
    <t>145,0</t>
  </si>
  <si>
    <t>ВЕСОВАЯ КАТЕГОРИЯ   82.5</t>
  </si>
  <si>
    <t>Калинов Павел</t>
  </si>
  <si>
    <t>Юниоры 20 - 23 (09.08.1995)/21</t>
  </si>
  <si>
    <t>82,00</t>
  </si>
  <si>
    <t xml:space="preserve">Липки/Тульская область </t>
  </si>
  <si>
    <t>137,5</t>
  </si>
  <si>
    <t>142,5</t>
  </si>
  <si>
    <t>Коченков Дмитрий</t>
  </si>
  <si>
    <t>Открытая (18.09.1991)/25</t>
  </si>
  <si>
    <t>77,60</t>
  </si>
  <si>
    <t>152,5</t>
  </si>
  <si>
    <t>165,0</t>
  </si>
  <si>
    <t xml:space="preserve">самостоятельно </t>
  </si>
  <si>
    <t>Кобяков Артем</t>
  </si>
  <si>
    <t>Открытая (20.08.1983)/33</t>
  </si>
  <si>
    <t>78,80</t>
  </si>
  <si>
    <t xml:space="preserve">Окские богатыри </t>
  </si>
  <si>
    <t>135,0</t>
  </si>
  <si>
    <t>Озорнов Роман</t>
  </si>
  <si>
    <t>Открытая (01.07.1982)/34</t>
  </si>
  <si>
    <t>81,20</t>
  </si>
  <si>
    <t>ВЕСОВАЯ КАТЕГОРИЯ   90</t>
  </si>
  <si>
    <t>Сидоров Дмитрий</t>
  </si>
  <si>
    <t>Открытая (23.04.1991)/25</t>
  </si>
  <si>
    <t>89,30</t>
  </si>
  <si>
    <t>175,0</t>
  </si>
  <si>
    <t>185,0</t>
  </si>
  <si>
    <t xml:space="preserve">Архипов Сергей </t>
  </si>
  <si>
    <t>Богоутдинов Рустам</t>
  </si>
  <si>
    <t>Открытая (05.06.1982)/34</t>
  </si>
  <si>
    <t>87,50</t>
  </si>
  <si>
    <t>170,0</t>
  </si>
  <si>
    <t>Волков Александр</t>
  </si>
  <si>
    <t>Открытая (28.11.1989)/27</t>
  </si>
  <si>
    <t>86,40</t>
  </si>
  <si>
    <t xml:space="preserve">Подольск/Московская область </t>
  </si>
  <si>
    <t>160,0</t>
  </si>
  <si>
    <t>ВЕСОВАЯ КАТЕГОРИЯ   100</t>
  </si>
  <si>
    <t>Качан Сергей</t>
  </si>
  <si>
    <t>Открытая (21.03.1992)/24</t>
  </si>
  <si>
    <t>96,50</t>
  </si>
  <si>
    <t>180,0</t>
  </si>
  <si>
    <t>Брагин Денис</t>
  </si>
  <si>
    <t>Открытая (21.02.1987)/29</t>
  </si>
  <si>
    <t>93,10</t>
  </si>
  <si>
    <t>80,0</t>
  </si>
  <si>
    <t>ВЕСОВАЯ КАТЕГОРИЯ   110</t>
  </si>
  <si>
    <t>Жаченков Александр</t>
  </si>
  <si>
    <t>Открытая (30.07.1981)/35</t>
  </si>
  <si>
    <t>105,80</t>
  </si>
  <si>
    <t xml:space="preserve">Протвино/Московская область </t>
  </si>
  <si>
    <t>210,0</t>
  </si>
  <si>
    <t>220,0</t>
  </si>
  <si>
    <t>230,0</t>
  </si>
  <si>
    <t>Пузырев Денис</t>
  </si>
  <si>
    <t>Открытая (31.03.1974)/42</t>
  </si>
  <si>
    <t>108,70</t>
  </si>
  <si>
    <t>187,5</t>
  </si>
  <si>
    <t>192,5</t>
  </si>
  <si>
    <t>195,0</t>
  </si>
  <si>
    <t>Манюшко Дмитрий</t>
  </si>
  <si>
    <t>Открытая (20.11.1979)/37</t>
  </si>
  <si>
    <t>109,80</t>
  </si>
  <si>
    <t>167,5</t>
  </si>
  <si>
    <t>Антонов Павел</t>
  </si>
  <si>
    <t>Открытая (19.06.1988)/28</t>
  </si>
  <si>
    <t>105,40</t>
  </si>
  <si>
    <t xml:space="preserve">Тула/Тульская область </t>
  </si>
  <si>
    <t>Мастера 40 - 44 (31.03.1974)/42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</si>
  <si>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</si>
  <si>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</si>
  <si>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</si>
  <si>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</si>
  <si>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</si>
  <si>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</si>
  <si>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</si>
  <si>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67.5 </t>
  </si>
  <si>
    <t xml:space="preserve">Мужчины </t>
  </si>
  <si>
    <t xml:space="preserve">Юноши </t>
  </si>
  <si>
    <t xml:space="preserve">Юноши 15-19 </t>
  </si>
  <si>
    <t xml:space="preserve">82.5 </t>
  </si>
  <si>
    <t>131,1200</t>
  </si>
  <si>
    <t>113,7097</t>
  </si>
  <si>
    <t>112,1750</t>
  </si>
  <si>
    <t>Мхитарян Игорь</t>
  </si>
  <si>
    <t>Юноши 15-19 (19.02.2002)/14</t>
  </si>
  <si>
    <t>59,60</t>
  </si>
  <si>
    <t xml:space="preserve">Атлетика </t>
  </si>
  <si>
    <t>65,0</t>
  </si>
  <si>
    <t>70,0</t>
  </si>
  <si>
    <t>75,0</t>
  </si>
  <si>
    <t>Проничкин Сергей</t>
  </si>
  <si>
    <t>Открытая (15.08.1989)/27</t>
  </si>
  <si>
    <t>59,30</t>
  </si>
  <si>
    <t>120,0</t>
  </si>
  <si>
    <t>125,0</t>
  </si>
  <si>
    <t xml:space="preserve">Воробьев А </t>
  </si>
  <si>
    <t>Войцеховский Андрей</t>
  </si>
  <si>
    <t>Юниоры 20 - 23 (04.03.1994)/22</t>
  </si>
  <si>
    <t>72,10</t>
  </si>
  <si>
    <t>110,0</t>
  </si>
  <si>
    <t>Константинов Никита</t>
  </si>
  <si>
    <t>Юниоры 20 - 23 (14.12.1996)/20</t>
  </si>
  <si>
    <t>69,40</t>
  </si>
  <si>
    <t xml:space="preserve">Верея/Московская область </t>
  </si>
  <si>
    <t>Юшин Алексей</t>
  </si>
  <si>
    <t>Открытая (09.10.1982)/34</t>
  </si>
  <si>
    <t>73,00</t>
  </si>
  <si>
    <t>147,5</t>
  </si>
  <si>
    <t>Котов Роман</t>
  </si>
  <si>
    <t>Открытая (21.08.1990)/26</t>
  </si>
  <si>
    <t>77,10</t>
  </si>
  <si>
    <t>150,0</t>
  </si>
  <si>
    <t>Младенский Александр</t>
  </si>
  <si>
    <t>Юноши 15-19 (03.09.2002)/14</t>
  </si>
  <si>
    <t>89,60</t>
  </si>
  <si>
    <t>100,0</t>
  </si>
  <si>
    <t>105,0</t>
  </si>
  <si>
    <t>Французов Михаил</t>
  </si>
  <si>
    <t>Юноши 15-19 (28.05.1999)/17</t>
  </si>
  <si>
    <t>88,50</t>
  </si>
  <si>
    <t>92,5</t>
  </si>
  <si>
    <t>102,5</t>
  </si>
  <si>
    <t>Беляков Валерий</t>
  </si>
  <si>
    <t>Открытая (30.06.1991)/25</t>
  </si>
  <si>
    <t>88,00</t>
  </si>
  <si>
    <t>132,5</t>
  </si>
  <si>
    <t>Лебедев Олег</t>
  </si>
  <si>
    <t>Юниоры 20 - 23 (09.02.1995)/22</t>
  </si>
  <si>
    <t>95,30</t>
  </si>
  <si>
    <t>Забоев Сергей</t>
  </si>
  <si>
    <t>Открытая (12.09.1988)/28</t>
  </si>
  <si>
    <t>96,00</t>
  </si>
  <si>
    <t>Зотов Андрей</t>
  </si>
  <si>
    <t>Открытая (22.06.1984)/32</t>
  </si>
  <si>
    <t>94,00</t>
  </si>
  <si>
    <t>Толстов Дмитрий</t>
  </si>
  <si>
    <t>Мастера 40 - 44 (26.10.1973)/43</t>
  </si>
  <si>
    <t>96,90</t>
  </si>
  <si>
    <t xml:space="preserve">Кашира/Московская область </t>
  </si>
  <si>
    <t>Гребнев Евгений</t>
  </si>
  <si>
    <t>Открытая (07.05.1980)/36</t>
  </si>
  <si>
    <t>106,30</t>
  </si>
  <si>
    <t>ВЕСОВАЯ КАТЕГОРИЯ   125</t>
  </si>
  <si>
    <t>Яковлев Артем</t>
  </si>
  <si>
    <t>Открытая (06.12.1979)/37</t>
  </si>
  <si>
    <t>114,40</t>
  </si>
  <si>
    <t>ВЕСОВАЯ КАТЕГОРИЯ   140</t>
  </si>
  <si>
    <t>Филин Михаил</t>
  </si>
  <si>
    <t>Открытая (17.11.1961)/55</t>
  </si>
  <si>
    <t>138,70</t>
  </si>
  <si>
    <t xml:space="preserve">Дмитров/Московская область </t>
  </si>
  <si>
    <t>182,5</t>
  </si>
  <si>
    <t>Мастера 55 - 59 (17.11.1961)/55</t>
  </si>
  <si>
    <t>105,3280</t>
  </si>
  <si>
    <t>103,4520</t>
  </si>
  <si>
    <t>97,9020</t>
  </si>
  <si>
    <t>Машкова Екатерина</t>
  </si>
  <si>
    <t>Открытая (09.09.1985)/31</t>
  </si>
  <si>
    <t>58,20</t>
  </si>
  <si>
    <t>45,0</t>
  </si>
  <si>
    <t>50,0</t>
  </si>
  <si>
    <t>55,0</t>
  </si>
  <si>
    <t>Волошин Артем</t>
  </si>
  <si>
    <t>Юноши 15-19 (31.03.1999)/17</t>
  </si>
  <si>
    <t>65,00</t>
  </si>
  <si>
    <t>107,5</t>
  </si>
  <si>
    <t>115,0</t>
  </si>
  <si>
    <t>77,5</t>
  </si>
  <si>
    <t>Голомбиевский Владимир</t>
  </si>
  <si>
    <t>Юноши 15-19 (29.09.1999)/17</t>
  </si>
  <si>
    <t>68,00</t>
  </si>
  <si>
    <t>Микульчик Дмитрий</t>
  </si>
  <si>
    <t>Открытая (18.07.1989)/27</t>
  </si>
  <si>
    <t>73,80</t>
  </si>
  <si>
    <t>60,0</t>
  </si>
  <si>
    <t>62,5</t>
  </si>
  <si>
    <t>Ходосевич Владислав</t>
  </si>
  <si>
    <t>Юноши 15-19 (28.08.1999)/17</t>
  </si>
  <si>
    <t>87,90</t>
  </si>
  <si>
    <t>155,0</t>
  </si>
  <si>
    <t>190,0</t>
  </si>
  <si>
    <t>205,0</t>
  </si>
  <si>
    <t>Щекунов Алексей</t>
  </si>
  <si>
    <t>Открытая (17.07.1984)/32</t>
  </si>
  <si>
    <t>85,00</t>
  </si>
  <si>
    <t>162,5</t>
  </si>
  <si>
    <t>240,0</t>
  </si>
  <si>
    <t>Савосин Марат</t>
  </si>
  <si>
    <t>Открытая (23.10.1990)/26</t>
  </si>
  <si>
    <t>109,20</t>
  </si>
  <si>
    <t>285,0</t>
  </si>
  <si>
    <t>300,0</t>
  </si>
  <si>
    <t>295,0</t>
  </si>
  <si>
    <t>215,0</t>
  </si>
  <si>
    <t>Дашданова Нигара</t>
  </si>
  <si>
    <t>Открытая (25.12.1989)/27</t>
  </si>
  <si>
    <t>59,10</t>
  </si>
  <si>
    <t>Меркулова Дарья</t>
  </si>
  <si>
    <t>Девушки 15-19 (18.01.2000)/17</t>
  </si>
  <si>
    <t>65,10</t>
  </si>
  <si>
    <t>52,5</t>
  </si>
  <si>
    <t>Леонов Илья</t>
  </si>
  <si>
    <t>Юноши 15-19 (13.07.2001)/15</t>
  </si>
  <si>
    <t>57,50</t>
  </si>
  <si>
    <t>Шурыгин Дмитрий</t>
  </si>
  <si>
    <t>Юноши 15-19 (22.03.1998)/18</t>
  </si>
  <si>
    <t>62,60</t>
  </si>
  <si>
    <t>Юрьев Василий</t>
  </si>
  <si>
    <t>Юноши 15-19 (20.06.2001)/15</t>
  </si>
  <si>
    <t>63,70</t>
  </si>
  <si>
    <t>Веткасов Артем</t>
  </si>
  <si>
    <t>Юноши 15-19 (05.05.1997)/19</t>
  </si>
  <si>
    <t>67,30</t>
  </si>
  <si>
    <t>72,5</t>
  </si>
  <si>
    <t>57,5</t>
  </si>
  <si>
    <t>67,5</t>
  </si>
  <si>
    <t>Карпов Евгений</t>
  </si>
  <si>
    <t>Открытая (26.10.1979)/37</t>
  </si>
  <si>
    <t>65,80</t>
  </si>
  <si>
    <t>Коробов Максим</t>
  </si>
  <si>
    <t>Юноши 15-19 (31.03.2001)/15</t>
  </si>
  <si>
    <t>79,90</t>
  </si>
  <si>
    <t>Феськов Ярослав</t>
  </si>
  <si>
    <t>Юниоры 20 - 23 (20.10.1995)/21</t>
  </si>
  <si>
    <t>85,20</t>
  </si>
  <si>
    <t>225,0</t>
  </si>
  <si>
    <t>Рак Сергей</t>
  </si>
  <si>
    <t>Открытая (01.06.1985)/31</t>
  </si>
  <si>
    <t>84,40</t>
  </si>
  <si>
    <t>200,0</t>
  </si>
  <si>
    <t>227,5</t>
  </si>
  <si>
    <t>Кузнецов Виталий</t>
  </si>
  <si>
    <t>Открытая (03.01.1989)/28</t>
  </si>
  <si>
    <t>85,40</t>
  </si>
  <si>
    <t>Попов Артем</t>
  </si>
  <si>
    <t>Открытая (24.07.1988)/28</t>
  </si>
  <si>
    <t>119,50</t>
  </si>
  <si>
    <t>207,5</t>
  </si>
  <si>
    <t>157,5</t>
  </si>
  <si>
    <t>250,0</t>
  </si>
  <si>
    <t>332,5</t>
  </si>
  <si>
    <t>273,0490</t>
  </si>
  <si>
    <t>370,0</t>
  </si>
  <si>
    <t>252,7840</t>
  </si>
  <si>
    <t>267,5</t>
  </si>
  <si>
    <t>216,3807</t>
  </si>
  <si>
    <t>Шабанова Анастасия</t>
  </si>
  <si>
    <t>Девушки 15-19 (23.07.2000)/16</t>
  </si>
  <si>
    <t>57,80</t>
  </si>
  <si>
    <t>Репин Никита</t>
  </si>
  <si>
    <t>Юниоры 20 - 23 (20.02.1995)/21</t>
  </si>
  <si>
    <t>81,00</t>
  </si>
  <si>
    <t xml:space="preserve">Железнодорожный/Московская область </t>
  </si>
  <si>
    <t>247,5</t>
  </si>
  <si>
    <t>252,5</t>
  </si>
  <si>
    <t>Старов Сергей</t>
  </si>
  <si>
    <t>Открытая (23.04.1986)/30</t>
  </si>
  <si>
    <t>260,0</t>
  </si>
  <si>
    <t>272,5</t>
  </si>
  <si>
    <t>Козлов Александр</t>
  </si>
  <si>
    <t>Открытая (28.08.1994)/22</t>
  </si>
  <si>
    <t>90,00</t>
  </si>
  <si>
    <t xml:space="preserve">Дрезна/Московская область </t>
  </si>
  <si>
    <t>280,0</t>
  </si>
  <si>
    <t>242,5</t>
  </si>
  <si>
    <t>255,0</t>
  </si>
  <si>
    <t>270,0</t>
  </si>
  <si>
    <t>Можаев Сергей</t>
  </si>
  <si>
    <t>Открытая (16.04.1988)/28</t>
  </si>
  <si>
    <t>87,00</t>
  </si>
  <si>
    <t>Ненартович Дмитрий</t>
  </si>
  <si>
    <t>Открытая (21.12.1987)/29</t>
  </si>
  <si>
    <t>110,00</t>
  </si>
  <si>
    <t>Нестерова Маргарита</t>
  </si>
  <si>
    <t>Открытая (07.06.1991)/25</t>
  </si>
  <si>
    <t>59,70</t>
  </si>
  <si>
    <t>97,5</t>
  </si>
  <si>
    <t>47,5</t>
  </si>
  <si>
    <t>112,5</t>
  </si>
  <si>
    <t>Котов Александр</t>
  </si>
  <si>
    <t>Открытая (21.08.1987)/29</t>
  </si>
  <si>
    <t>93,30</t>
  </si>
  <si>
    <t>560,0</t>
  </si>
  <si>
    <t>Открытая (07.12.1985)/31</t>
  </si>
  <si>
    <t>72,60</t>
  </si>
  <si>
    <t>Шпилев Сергей</t>
  </si>
  <si>
    <t>Открытая (15.11.1985)/31</t>
  </si>
  <si>
    <t>77,70</t>
  </si>
  <si>
    <t>Трубицин Александр</t>
  </si>
  <si>
    <t>Юниоры 20 - 23 (25.10.1995)/21</t>
  </si>
  <si>
    <t>Исаев Максим</t>
  </si>
  <si>
    <t>Открытая (07.12.1983)/33</t>
  </si>
  <si>
    <t>88,90</t>
  </si>
  <si>
    <t>ВЕСОВАЯ КАТЕГОРИЯ   48</t>
  </si>
  <si>
    <t>Земерова Елена</t>
  </si>
  <si>
    <t>Открытая (01.01.1980)/37</t>
  </si>
  <si>
    <t>46,90</t>
  </si>
  <si>
    <t xml:space="preserve">Балашиха/Московская область </t>
  </si>
  <si>
    <t>122,5</t>
  </si>
  <si>
    <t>Аветисян Ани</t>
  </si>
  <si>
    <t>Открытая (14.11.1990)/26</t>
  </si>
  <si>
    <t>127,5</t>
  </si>
  <si>
    <t>Плохих Святослав</t>
  </si>
  <si>
    <t>Юноши 15-19 (25.03.1997)/19</t>
  </si>
  <si>
    <t>67,50</t>
  </si>
  <si>
    <t>Яценко Александр</t>
  </si>
  <si>
    <t>Открытая (10.04.1988)/28</t>
  </si>
  <si>
    <t>76,40</t>
  </si>
  <si>
    <t xml:space="preserve">Набережные Челны/Татарстан </t>
  </si>
  <si>
    <t>Еремин Михаил</t>
  </si>
  <si>
    <t>Юноши 15-19 (31.05.1999)/17</t>
  </si>
  <si>
    <t>96,60</t>
  </si>
  <si>
    <t>Рождествин Владимир</t>
  </si>
  <si>
    <t>Открытая (12.02.1984)/32</t>
  </si>
  <si>
    <t>107,70</t>
  </si>
  <si>
    <t xml:space="preserve">Щекунов А. </t>
  </si>
  <si>
    <t xml:space="preserve">Москва/Московская область </t>
  </si>
  <si>
    <t>Гребнев Е.</t>
  </si>
  <si>
    <t>Юшин А.</t>
  </si>
  <si>
    <t xml:space="preserve">Яковенко А. </t>
  </si>
  <si>
    <t xml:space="preserve">Гребнев Е. </t>
  </si>
  <si>
    <t xml:space="preserve">Богданов М. </t>
  </si>
  <si>
    <t xml:space="preserve">75,0 </t>
  </si>
  <si>
    <t xml:space="preserve">60,0 </t>
  </si>
  <si>
    <t xml:space="preserve">82,5 </t>
  </si>
  <si>
    <t xml:space="preserve">110,0 </t>
  </si>
  <si>
    <t xml:space="preserve">90,0 </t>
  </si>
  <si>
    <t xml:space="preserve">Андрюхин А. </t>
  </si>
  <si>
    <t xml:space="preserve">Емельянов А. </t>
  </si>
  <si>
    <t>Радина Я.</t>
  </si>
  <si>
    <t>0</t>
  </si>
  <si>
    <t>Можаев С.</t>
  </si>
  <si>
    <t xml:space="preserve">Москва/Московская область  </t>
  </si>
  <si>
    <t>Хаматдинов Д.</t>
  </si>
  <si>
    <t xml:space="preserve">Ряховский Д. </t>
  </si>
  <si>
    <t xml:space="preserve">Костырев А. </t>
  </si>
  <si>
    <t>Кобанов А.</t>
  </si>
  <si>
    <t>Павлов А.</t>
  </si>
  <si>
    <t>Спудис-Костутис Евгений</t>
  </si>
  <si>
    <t>Емельянов А.</t>
  </si>
  <si>
    <t>Исаев М.</t>
  </si>
  <si>
    <t>1</t>
  </si>
  <si>
    <t>2</t>
  </si>
  <si>
    <t>3</t>
  </si>
  <si>
    <t>Результат</t>
  </si>
  <si>
    <t xml:space="preserve">Хаматдинов Д. </t>
  </si>
  <si>
    <t>Gloss</t>
  </si>
  <si>
    <t>Подъем на бицес</t>
  </si>
  <si>
    <t>Армейский жим</t>
  </si>
  <si>
    <t>ВЕСОВАЯ КАТЕГОРИЯ   52</t>
  </si>
  <si>
    <t>Соловьева Евгения</t>
  </si>
  <si>
    <t>Открытая (20.12.1981)/35</t>
  </si>
  <si>
    <t>51,90</t>
  </si>
  <si>
    <t xml:space="preserve">Мытищи/Московская область </t>
  </si>
  <si>
    <t>27,5</t>
  </si>
  <si>
    <t>32,5</t>
  </si>
  <si>
    <t>ВЕСОВАЯ КАТЕГОРИЯ   56</t>
  </si>
  <si>
    <t>Стрельцова Ольга</t>
  </si>
  <si>
    <t>Открытая (20.07.1986)/30</t>
  </si>
  <si>
    <t>54,40</t>
  </si>
  <si>
    <t>25,0</t>
  </si>
  <si>
    <t>30,0</t>
  </si>
  <si>
    <t>Григорьев Павел</t>
  </si>
  <si>
    <t>Юноши 13 - 19 (17.11.2000)/16</t>
  </si>
  <si>
    <t>62,90</t>
  </si>
  <si>
    <t>Шемякин Максим</t>
  </si>
  <si>
    <t>Юноши 13 - 19 (18.10.2000)/16</t>
  </si>
  <si>
    <t>71,60</t>
  </si>
  <si>
    <t>42,5</t>
  </si>
  <si>
    <t>Аристархов Вячеслав</t>
  </si>
  <si>
    <t>Юноши 13 - 19 (27.08.2000)/16</t>
  </si>
  <si>
    <t>78,50</t>
  </si>
  <si>
    <t>Юноши 13 - 19 (31.03.2001)/15</t>
  </si>
  <si>
    <t>Юноши 13 - 19 (28.05.1999)/17</t>
  </si>
  <si>
    <t>Пашенцев Кирилл</t>
  </si>
  <si>
    <t>Открытая (01.05.1988)/28</t>
  </si>
  <si>
    <t>94,40</t>
  </si>
  <si>
    <t xml:space="preserve">Gloss </t>
  </si>
  <si>
    <t xml:space="preserve">Юноши 13 - 19 </t>
  </si>
  <si>
    <t>71,6895</t>
  </si>
  <si>
    <t>68,3060</t>
  </si>
  <si>
    <t>64,1891</t>
  </si>
  <si>
    <t xml:space="preserve">Карпюк Б. </t>
  </si>
  <si>
    <t xml:space="preserve">Тихонов С. </t>
  </si>
  <si>
    <t>Тихов Сергей</t>
  </si>
  <si>
    <t>Открытая (06.07.1981)/35</t>
  </si>
  <si>
    <t>104,30</t>
  </si>
  <si>
    <t>Юноши 13 - 19 (19.02.2002)/14</t>
  </si>
  <si>
    <t>Попов Алексей</t>
  </si>
  <si>
    <t>Юноши 13 - 19 (17.08.2000)/16</t>
  </si>
  <si>
    <t>Артамонов Станислав</t>
  </si>
  <si>
    <t>Юноши 13 - 19 (24.06.2001)/15</t>
  </si>
  <si>
    <t>68,70</t>
  </si>
  <si>
    <t>Костин Сергей</t>
  </si>
  <si>
    <t>Юноши 13 - 19 (22.11.2001)/15</t>
  </si>
  <si>
    <t>73,20</t>
  </si>
  <si>
    <t>Вес</t>
  </si>
  <si>
    <t>Повторы</t>
  </si>
  <si>
    <t>53</t>
  </si>
  <si>
    <t>51</t>
  </si>
  <si>
    <t>61</t>
  </si>
  <si>
    <t>44</t>
  </si>
  <si>
    <t>Букаткин Максим</t>
  </si>
  <si>
    <t>Открытая (12.01.1992)/25</t>
  </si>
  <si>
    <t>Харин Сергей</t>
  </si>
  <si>
    <t>Открытая (02.05.1984)/32</t>
  </si>
  <si>
    <t>Полежаев Александр</t>
  </si>
  <si>
    <t>Открытая (05.07.1987)/29</t>
  </si>
  <si>
    <t>90,40</t>
  </si>
  <si>
    <t>Лебедев Игорь</t>
  </si>
  <si>
    <t>Открытая (01.09.1967)/49</t>
  </si>
  <si>
    <t>93,80</t>
  </si>
  <si>
    <t>Мастера 40 - 49 (01.09.1967)/49</t>
  </si>
  <si>
    <t>2682,5</t>
  </si>
  <si>
    <t>1637,3981</t>
  </si>
  <si>
    <t xml:space="preserve">100,0 </t>
  </si>
  <si>
    <t>30</t>
  </si>
  <si>
    <t>15</t>
  </si>
  <si>
    <t>21</t>
  </si>
  <si>
    <t>29</t>
  </si>
  <si>
    <t>20</t>
  </si>
  <si>
    <t>22</t>
  </si>
  <si>
    <t>Чернышов Игорь</t>
  </si>
  <si>
    <t>Мастера 40 - 49 (14.07.1969)/47</t>
  </si>
  <si>
    <t>89,40</t>
  </si>
  <si>
    <t>Харыбин Денис</t>
  </si>
  <si>
    <t>Открытая (12.07.1980)/36</t>
  </si>
  <si>
    <t>95,70</t>
  </si>
  <si>
    <t>2827,5</t>
  </si>
  <si>
    <t>1732,5</t>
  </si>
  <si>
    <t>2160,0</t>
  </si>
  <si>
    <t>24</t>
  </si>
  <si>
    <t>Тоннаж</t>
  </si>
  <si>
    <t>Место</t>
  </si>
  <si>
    <t>Весовая категория               Дата рождения/возраст</t>
  </si>
  <si>
    <t>Собств. вес</t>
  </si>
  <si>
    <t>Город/ область</t>
  </si>
  <si>
    <t xml:space="preserve">Команда </t>
  </si>
  <si>
    <t>Атлетика</t>
  </si>
  <si>
    <t>Окские богатыри</t>
  </si>
  <si>
    <t xml:space="preserve">Судьи на помосте: Емельянов Алексей/НК г.Серпухов, Туманов Александр/НК г. Серпухов, Копытцев Денис/РК г. Серпухов, Трапезникова Наталья/РК г. Москва, </t>
  </si>
  <si>
    <t>Председатель апеляционного жюри: Длужневская Эльвира/МК г. Вологда</t>
  </si>
  <si>
    <t>Секретарь соревнований: Емельянова Анастасия</t>
  </si>
  <si>
    <t>Жигулина Екатерина/РК г. Курск, Шашков Алексей/РК, г. Курск, Константинов Роман/РК г. Курск.</t>
  </si>
  <si>
    <t>Чемпионат Московской области IPL/СПР 2017
Пауэрспорт
г. Серпухов, 10 - 12 февраля 2017 г.</t>
  </si>
  <si>
    <t>Чемпионат Московской области IPL/СПР 2017
Пауэрлифтинг в бинтах ДК
г. Серпухов 10 - 12 февраля 2017 г.</t>
  </si>
  <si>
    <t>Чемпионат Московской области IPL/СПР 2017
Пауэрлифтинг в бинтах
г. Серпухов 10 - 12 февраля 2017 г.</t>
  </si>
  <si>
    <t>Чемпионат Московской области IPL/СПР 2017
Пауэрлифтинг без экипировки ДК
г. Серпухов 10 - 12 февраля 2017 г.</t>
  </si>
  <si>
    <t>Чемпионат Московской области IPL/СПР 2017
Пауэрлифтинг без экипировки
г. Серпухов 10 - 12 февраля 2017 г.</t>
  </si>
  <si>
    <t>Чемпионат Московской области IPL/СПР 2017
Жим лежа без экипировки ДК
г. Серпухов 10 - 12 февраля 2017 г.</t>
  </si>
  <si>
    <t>Чемпионат Московской области IPL/СПР 2017
Жим лежа без экипировки
г. Серпухов 10 - 12 февраля 2017 г.</t>
  </si>
  <si>
    <t>Чемпионат Московской области IPL/СПР 2017
Становая тяга без экипировки ДК
г. Серпухов, 10 - 12 февраля 2017 г.</t>
  </si>
  <si>
    <t>Чемпионат Московской области IPL/СПР 2017
Становая тяга без экипировки
г. Серпухов, 10 - 12 февраля 2017 г.</t>
  </si>
  <si>
    <t>Чемпионат Московской области IPL/СПР 2017
Присед в бинтах
г. Серпухов, 10 - 12 февраля 2017 г.</t>
  </si>
  <si>
    <t>Чемпионат Московской области IPL/СПР 2017
Пауэрспорт ДК
г. Серпухов, 10 - 12 февраля 2017 г.</t>
  </si>
  <si>
    <t>Чемпионат Московской области IPL/СПР 2017 
Народный жим (1/2 вес) ДК
г. Серпухов, 10 - 12 февраля 2017 г.</t>
  </si>
  <si>
    <t>Чемпионат Московской области IPL/СПР 2017 
Народный жим (1 вес) ДК
г. Серпухов, 10 - 12 февраля 2017 г.</t>
  </si>
  <si>
    <t>Чемпионат Московской области IPL/СПР 2017 
Народный жим (1 вес)
г. Серпухов,10 - 12 февраля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</si>
</sst>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0"/>
      <name val="a_Assu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5" fillId="0" borderId="13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72" fontId="3" fillId="0" borderId="28" xfId="0" applyNumberFormat="1" applyFont="1" applyFill="1" applyBorder="1" applyAlignment="1">
      <alignment horizontal="center" vertical="center"/>
    </xf>
    <xf numFmtId="172" fontId="3" fillId="0" borderId="29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D26" sqref="D26"/>
    </sheetView>
  </sheetViews>
  <sheetFormatPr defaultColWidth="8.75390625" defaultRowHeight="12.75"/>
  <cols>
    <col min="1" max="1" width="8.25390625" style="63" customWidth="1"/>
    <col min="2" max="2" width="20.625" style="10" customWidth="1"/>
    <col min="3" max="3" width="24.375" style="10" customWidth="1"/>
    <col min="4" max="4" width="9.25390625" style="10" customWidth="1"/>
    <col min="5" max="5" width="8.375" style="10" bestFit="1" customWidth="1"/>
    <col min="6" max="6" width="11.375" style="10" customWidth="1"/>
    <col min="7" max="7" width="26.75390625" style="10" customWidth="1"/>
    <col min="8" max="10" width="5.625" style="22" bestFit="1" customWidth="1"/>
    <col min="11" max="11" width="4.625" style="22" bestFit="1" customWidth="1"/>
    <col min="12" max="14" width="5.625" style="22" bestFit="1" customWidth="1"/>
    <col min="15" max="15" width="4.625" style="22" bestFit="1" customWidth="1"/>
    <col min="16" max="18" width="5.625" style="22" bestFit="1" customWidth="1"/>
    <col min="19" max="19" width="4.625" style="22" bestFit="1" customWidth="1"/>
    <col min="20" max="20" width="7.875" style="22" bestFit="1" customWidth="1"/>
    <col min="21" max="21" width="8.625" style="22" bestFit="1" customWidth="1"/>
    <col min="22" max="22" width="15.75390625" style="10" bestFit="1" customWidth="1"/>
  </cols>
  <sheetData>
    <row r="1" spans="1:22" s="1" customFormat="1" ht="15" customHeight="1">
      <c r="A1" s="46"/>
      <c r="B1" s="85" t="s">
        <v>486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s="1" customFormat="1" ht="87.75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1</v>
      </c>
      <c r="I3" s="79"/>
      <c r="J3" s="79"/>
      <c r="K3" s="79"/>
      <c r="L3" s="79" t="s">
        <v>2</v>
      </c>
      <c r="M3" s="79"/>
      <c r="N3" s="79"/>
      <c r="O3" s="79"/>
      <c r="P3" s="79" t="s">
        <v>3</v>
      </c>
      <c r="Q3" s="79"/>
      <c r="R3" s="79"/>
      <c r="S3" s="79"/>
      <c r="T3" s="79" t="s">
        <v>4</v>
      </c>
      <c r="U3" s="79" t="s">
        <v>6</v>
      </c>
      <c r="V3" s="81" t="s">
        <v>5</v>
      </c>
    </row>
    <row r="4" spans="1:22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80"/>
      <c r="U4" s="80"/>
      <c r="V4" s="82"/>
    </row>
    <row r="5" spans="2:21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2" ht="12.75">
      <c r="A6" s="63">
        <v>1</v>
      </c>
      <c r="B6" s="14" t="s">
        <v>314</v>
      </c>
      <c r="C6" s="14" t="s">
        <v>315</v>
      </c>
      <c r="D6" s="14" t="s">
        <v>316</v>
      </c>
      <c r="E6" s="14" t="str">
        <f>"1,1192"</f>
        <v>1,1192</v>
      </c>
      <c r="F6" s="14" t="s">
        <v>14</v>
      </c>
      <c r="G6" s="14" t="s">
        <v>357</v>
      </c>
      <c r="H6" s="57" t="s">
        <v>161</v>
      </c>
      <c r="I6" s="57" t="s">
        <v>25</v>
      </c>
      <c r="J6" s="60" t="s">
        <v>317</v>
      </c>
      <c r="K6" s="34"/>
      <c r="L6" s="57" t="s">
        <v>200</v>
      </c>
      <c r="M6" s="57" t="s">
        <v>318</v>
      </c>
      <c r="N6" s="60" t="s">
        <v>201</v>
      </c>
      <c r="O6" s="34"/>
      <c r="P6" s="57" t="s">
        <v>156</v>
      </c>
      <c r="Q6" s="60" t="s">
        <v>319</v>
      </c>
      <c r="R6" s="60" t="s">
        <v>134</v>
      </c>
      <c r="S6" s="34"/>
      <c r="T6" s="35">
        <v>242.5</v>
      </c>
      <c r="U6" s="35" t="str">
        <f>"271,4060"</f>
        <v>271,4060</v>
      </c>
      <c r="V6" s="14" t="s">
        <v>376</v>
      </c>
    </row>
    <row r="8" spans="2:21" ht="15.75">
      <c r="B8" s="84" t="s">
        <v>77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2" ht="12.75">
      <c r="A9" s="63">
        <v>1</v>
      </c>
      <c r="B9" s="14" t="s">
        <v>320</v>
      </c>
      <c r="C9" s="14" t="s">
        <v>321</v>
      </c>
      <c r="D9" s="14" t="s">
        <v>322</v>
      </c>
      <c r="E9" s="14" t="str">
        <f>"0,6272"</f>
        <v>0,6272</v>
      </c>
      <c r="F9" s="14" t="s">
        <v>14</v>
      </c>
      <c r="G9" s="14" t="s">
        <v>357</v>
      </c>
      <c r="H9" s="60" t="s">
        <v>91</v>
      </c>
      <c r="I9" s="57" t="s">
        <v>91</v>
      </c>
      <c r="J9" s="57" t="s">
        <v>92</v>
      </c>
      <c r="K9" s="34"/>
      <c r="L9" s="60" t="s">
        <v>37</v>
      </c>
      <c r="M9" s="57" t="s">
        <v>37</v>
      </c>
      <c r="N9" s="60" t="s">
        <v>57</v>
      </c>
      <c r="O9" s="34"/>
      <c r="P9" s="57" t="s">
        <v>91</v>
      </c>
      <c r="Q9" s="60" t="s">
        <v>93</v>
      </c>
      <c r="R9" s="60" t="s">
        <v>93</v>
      </c>
      <c r="S9" s="34"/>
      <c r="T9" s="35" t="s">
        <v>323</v>
      </c>
      <c r="U9" s="35" t="str">
        <f>"351,2320"</f>
        <v>351,2320</v>
      </c>
      <c r="V9" s="14" t="s">
        <v>18</v>
      </c>
    </row>
  </sheetData>
  <sheetProtection/>
  <mergeCells count="16">
    <mergeCell ref="F3:F4"/>
    <mergeCell ref="G3:G4"/>
    <mergeCell ref="H3:K3"/>
    <mergeCell ref="L3:O3"/>
    <mergeCell ref="P3:S3"/>
    <mergeCell ref="A3:A4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B1">
      <selection activeCell="G30" sqref="G30"/>
    </sheetView>
  </sheetViews>
  <sheetFormatPr defaultColWidth="9.125" defaultRowHeight="12.75"/>
  <cols>
    <col min="1" max="1" width="9.125" style="63" customWidth="1"/>
    <col min="2" max="2" width="21.00390625" style="10" customWidth="1"/>
    <col min="3" max="3" width="27.75390625" style="10" bestFit="1" customWidth="1"/>
    <col min="4" max="4" width="10.625" style="10" bestFit="1" customWidth="1"/>
    <col min="5" max="5" width="8.375" style="10" bestFit="1" customWidth="1"/>
    <col min="6" max="6" width="16.625" style="10" customWidth="1"/>
    <col min="7" max="7" width="28.625" style="10" bestFit="1" customWidth="1"/>
    <col min="8" max="15" width="4.625" style="22" bestFit="1" customWidth="1"/>
    <col min="16" max="16" width="7.875" style="27" bestFit="1" customWidth="1"/>
    <col min="17" max="17" width="7.625" style="10" bestFit="1" customWidth="1"/>
    <col min="18" max="18" width="13.375" style="10" customWidth="1"/>
  </cols>
  <sheetData>
    <row r="1" spans="1:18" s="1" customFormat="1" ht="15" customHeight="1">
      <c r="A1" s="46"/>
      <c r="B1" s="85" t="s">
        <v>495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s="1" customFormat="1" ht="90.75" customHeight="1" thickBot="1">
      <c r="A2" s="46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387</v>
      </c>
      <c r="F3" s="79" t="s">
        <v>7</v>
      </c>
      <c r="G3" s="96" t="s">
        <v>477</v>
      </c>
      <c r="H3" s="96" t="s">
        <v>389</v>
      </c>
      <c r="I3" s="115"/>
      <c r="J3" s="115"/>
      <c r="K3" s="98"/>
      <c r="L3" s="96" t="s">
        <v>388</v>
      </c>
      <c r="M3" s="115"/>
      <c r="N3" s="115"/>
      <c r="O3" s="98"/>
      <c r="P3" s="104" t="s">
        <v>4</v>
      </c>
      <c r="Q3" s="116" t="s">
        <v>6</v>
      </c>
      <c r="R3" s="106" t="s">
        <v>5</v>
      </c>
    </row>
    <row r="4" spans="1:18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05"/>
      <c r="Q4" s="95"/>
      <c r="R4" s="107"/>
    </row>
    <row r="5" spans="2:17" ht="15.75">
      <c r="B5" s="108" t="s">
        <v>390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8" ht="12.75">
      <c r="A6" s="63">
        <v>1</v>
      </c>
      <c r="B6" s="14" t="s">
        <v>391</v>
      </c>
      <c r="C6" s="14" t="s">
        <v>392</v>
      </c>
      <c r="D6" s="14" t="s">
        <v>393</v>
      </c>
      <c r="E6" s="14" t="str">
        <f>"1,1093"</f>
        <v>1,1093</v>
      </c>
      <c r="F6" s="14" t="s">
        <v>14</v>
      </c>
      <c r="G6" s="14" t="s">
        <v>394</v>
      </c>
      <c r="H6" s="57" t="s">
        <v>395</v>
      </c>
      <c r="I6" s="60" t="s">
        <v>396</v>
      </c>
      <c r="J6" s="60" t="s">
        <v>396</v>
      </c>
      <c r="K6" s="34"/>
      <c r="L6" s="57" t="s">
        <v>395</v>
      </c>
      <c r="M6" s="60" t="s">
        <v>396</v>
      </c>
      <c r="N6" s="60" t="s">
        <v>396</v>
      </c>
      <c r="O6" s="34"/>
      <c r="P6" s="26">
        <v>55</v>
      </c>
      <c r="Q6" s="14" t="str">
        <f>"61,0115"</f>
        <v>61,0115</v>
      </c>
      <c r="R6" s="14" t="s">
        <v>423</v>
      </c>
    </row>
    <row r="8" spans="2:17" ht="15.75">
      <c r="B8" s="109" t="s">
        <v>397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8" ht="12.75">
      <c r="A9" s="63">
        <v>1</v>
      </c>
      <c r="B9" s="14" t="s">
        <v>398</v>
      </c>
      <c r="C9" s="14" t="s">
        <v>399</v>
      </c>
      <c r="D9" s="14" t="s">
        <v>400</v>
      </c>
      <c r="E9" s="14" t="str">
        <f>"1,0684"</f>
        <v>1,0684</v>
      </c>
      <c r="F9" s="14" t="s">
        <v>14</v>
      </c>
      <c r="G9" s="14" t="s">
        <v>394</v>
      </c>
      <c r="H9" s="57" t="s">
        <v>396</v>
      </c>
      <c r="I9" s="57" t="s">
        <v>31</v>
      </c>
      <c r="J9" s="60" t="s">
        <v>32</v>
      </c>
      <c r="K9" s="34"/>
      <c r="L9" s="57" t="s">
        <v>401</v>
      </c>
      <c r="M9" s="57" t="s">
        <v>402</v>
      </c>
      <c r="N9" s="60" t="s">
        <v>396</v>
      </c>
      <c r="O9" s="34"/>
      <c r="P9" s="26">
        <v>65</v>
      </c>
      <c r="Q9" s="14" t="str">
        <f>"69,4460"</f>
        <v>69,4460</v>
      </c>
      <c r="R9" s="14" t="s">
        <v>424</v>
      </c>
    </row>
    <row r="11" spans="2:17" ht="15.75">
      <c r="B11" s="109" t="s">
        <v>10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8" ht="12.75">
      <c r="A12" s="63">
        <v>1</v>
      </c>
      <c r="B12" s="14" t="s">
        <v>403</v>
      </c>
      <c r="C12" s="14" t="s">
        <v>404</v>
      </c>
      <c r="D12" s="14" t="s">
        <v>405</v>
      </c>
      <c r="E12" s="14" t="str">
        <f>"0,7965"</f>
        <v>0,7965</v>
      </c>
      <c r="F12" s="14" t="s">
        <v>127</v>
      </c>
      <c r="G12" s="14" t="s">
        <v>23</v>
      </c>
      <c r="H12" s="57" t="s">
        <v>32</v>
      </c>
      <c r="I12" s="57" t="s">
        <v>33</v>
      </c>
      <c r="J12" s="57" t="s">
        <v>201</v>
      </c>
      <c r="K12" s="34"/>
      <c r="L12" s="57" t="s">
        <v>31</v>
      </c>
      <c r="M12" s="57" t="s">
        <v>32</v>
      </c>
      <c r="N12" s="57" t="s">
        <v>33</v>
      </c>
      <c r="O12" s="34"/>
      <c r="P12" s="26">
        <v>90</v>
      </c>
      <c r="Q12" s="14" t="str">
        <f>"71,6895"</f>
        <v>71,6895</v>
      </c>
      <c r="R12" s="14" t="s">
        <v>361</v>
      </c>
    </row>
    <row r="14" spans="2:17" ht="15.75">
      <c r="B14" s="109" t="s">
        <v>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8" ht="12.75">
      <c r="A15" s="63">
        <v>1</v>
      </c>
      <c r="B15" s="14" t="s">
        <v>406</v>
      </c>
      <c r="C15" s="14" t="s">
        <v>407</v>
      </c>
      <c r="D15" s="14" t="s">
        <v>408</v>
      </c>
      <c r="E15" s="14" t="str">
        <f>"0,7132"</f>
        <v>0,7132</v>
      </c>
      <c r="F15" s="14" t="s">
        <v>127</v>
      </c>
      <c r="G15" s="14" t="s">
        <v>23</v>
      </c>
      <c r="H15" s="57" t="s">
        <v>33</v>
      </c>
      <c r="I15" s="57" t="s">
        <v>409</v>
      </c>
      <c r="J15" s="60" t="s">
        <v>318</v>
      </c>
      <c r="K15" s="34"/>
      <c r="L15" s="57" t="s">
        <v>396</v>
      </c>
      <c r="M15" s="57" t="s">
        <v>31</v>
      </c>
      <c r="N15" s="57" t="s">
        <v>33</v>
      </c>
      <c r="O15" s="34"/>
      <c r="P15" s="26">
        <v>82.5</v>
      </c>
      <c r="Q15" s="14" t="str">
        <f>"58,8431"</f>
        <v>58,8431</v>
      </c>
      <c r="R15" s="14" t="s">
        <v>361</v>
      </c>
    </row>
    <row r="17" spans="2:17" ht="15.75">
      <c r="B17" s="109" t="s">
        <v>40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8" ht="12.75">
      <c r="A18" s="63">
        <v>1</v>
      </c>
      <c r="B18" s="11" t="s">
        <v>410</v>
      </c>
      <c r="C18" s="11" t="s">
        <v>411</v>
      </c>
      <c r="D18" s="11" t="s">
        <v>412</v>
      </c>
      <c r="E18" s="11" t="str">
        <f>"0,6664"</f>
        <v>0,6664</v>
      </c>
      <c r="F18" s="11" t="s">
        <v>127</v>
      </c>
      <c r="G18" s="11" t="s">
        <v>23</v>
      </c>
      <c r="H18" s="58" t="s">
        <v>202</v>
      </c>
      <c r="I18" s="58" t="s">
        <v>216</v>
      </c>
      <c r="J18" s="61" t="s">
        <v>256</v>
      </c>
      <c r="K18" s="29"/>
      <c r="L18" s="58" t="s">
        <v>31</v>
      </c>
      <c r="M18" s="58" t="s">
        <v>33</v>
      </c>
      <c r="N18" s="61" t="s">
        <v>318</v>
      </c>
      <c r="O18" s="29"/>
      <c r="P18" s="23">
        <v>102.5</v>
      </c>
      <c r="Q18" s="11" t="str">
        <f>"68,3060"</f>
        <v>68,3060</v>
      </c>
      <c r="R18" s="11" t="s">
        <v>361</v>
      </c>
    </row>
    <row r="19" spans="1:18" ht="12.75">
      <c r="A19" s="63">
        <v>2</v>
      </c>
      <c r="B19" s="12" t="s">
        <v>260</v>
      </c>
      <c r="C19" s="12" t="s">
        <v>413</v>
      </c>
      <c r="D19" s="12" t="s">
        <v>262</v>
      </c>
      <c r="E19" s="12" t="str">
        <f>"0,6583"</f>
        <v>0,6583</v>
      </c>
      <c r="F19" s="12" t="s">
        <v>127</v>
      </c>
      <c r="G19" s="12" t="s">
        <v>23</v>
      </c>
      <c r="H19" s="59" t="s">
        <v>202</v>
      </c>
      <c r="I19" s="62" t="s">
        <v>215</v>
      </c>
      <c r="J19" s="62" t="s">
        <v>215</v>
      </c>
      <c r="K19" s="31"/>
      <c r="L19" s="59" t="s">
        <v>32</v>
      </c>
      <c r="M19" s="59" t="s">
        <v>409</v>
      </c>
      <c r="N19" s="62" t="s">
        <v>200</v>
      </c>
      <c r="O19" s="31"/>
      <c r="P19" s="24">
        <v>97.5</v>
      </c>
      <c r="Q19" s="12" t="str">
        <f>"64,1891"</f>
        <v>64,1891</v>
      </c>
      <c r="R19" s="12" t="s">
        <v>361</v>
      </c>
    </row>
    <row r="21" spans="2:17" ht="15.75">
      <c r="B21" s="109" t="s">
        <v>61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8" ht="12.75">
      <c r="A22" s="63">
        <v>1</v>
      </c>
      <c r="B22" s="11" t="s">
        <v>158</v>
      </c>
      <c r="C22" s="11" t="s">
        <v>414</v>
      </c>
      <c r="D22" s="11" t="s">
        <v>160</v>
      </c>
      <c r="E22" s="11" t="str">
        <f>"0,6177"</f>
        <v>0,6177</v>
      </c>
      <c r="F22" s="11" t="s">
        <v>127</v>
      </c>
      <c r="G22" s="11" t="s">
        <v>23</v>
      </c>
      <c r="H22" s="58" t="s">
        <v>201</v>
      </c>
      <c r="I22" s="61" t="s">
        <v>215</v>
      </c>
      <c r="J22" s="61" t="s">
        <v>215</v>
      </c>
      <c r="K22" s="29"/>
      <c r="L22" s="58" t="s">
        <v>33</v>
      </c>
      <c r="M22" s="58" t="s">
        <v>200</v>
      </c>
      <c r="N22" s="58" t="s">
        <v>318</v>
      </c>
      <c r="O22" s="29"/>
      <c r="P22" s="23">
        <v>97.5</v>
      </c>
      <c r="Q22" s="11" t="str">
        <f>"60,2257"</f>
        <v>60,2257</v>
      </c>
      <c r="R22" s="11" t="s">
        <v>361</v>
      </c>
    </row>
    <row r="23" spans="1:18" ht="12.75">
      <c r="A23" s="63">
        <v>1</v>
      </c>
      <c r="B23" s="12" t="s">
        <v>267</v>
      </c>
      <c r="C23" s="12" t="s">
        <v>268</v>
      </c>
      <c r="D23" s="12" t="s">
        <v>269</v>
      </c>
      <c r="E23" s="12" t="str">
        <f>"0,6354"</f>
        <v>0,6354</v>
      </c>
      <c r="F23" s="12" t="s">
        <v>127</v>
      </c>
      <c r="G23" s="12" t="s">
        <v>23</v>
      </c>
      <c r="H23" s="59" t="s">
        <v>85</v>
      </c>
      <c r="I23" s="59" t="s">
        <v>24</v>
      </c>
      <c r="J23" s="62" t="s">
        <v>17</v>
      </c>
      <c r="K23" s="31"/>
      <c r="L23" s="59" t="s">
        <v>202</v>
      </c>
      <c r="M23" s="59" t="s">
        <v>215</v>
      </c>
      <c r="N23" s="62" t="s">
        <v>128</v>
      </c>
      <c r="O23" s="31"/>
      <c r="P23" s="24">
        <v>145</v>
      </c>
      <c r="Q23" s="12" t="str">
        <f>"92,1330"</f>
        <v>92,1330</v>
      </c>
      <c r="R23" s="12" t="s">
        <v>361</v>
      </c>
    </row>
    <row r="25" spans="2:17" ht="15.75">
      <c r="B25" s="109" t="s">
        <v>77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8" ht="12.75">
      <c r="A26" s="63">
        <v>1</v>
      </c>
      <c r="B26" s="14" t="s">
        <v>415</v>
      </c>
      <c r="C26" s="14" t="s">
        <v>416</v>
      </c>
      <c r="D26" s="14" t="s">
        <v>417</v>
      </c>
      <c r="E26" s="14" t="str">
        <f>"0,5968"</f>
        <v>0,5968</v>
      </c>
      <c r="F26" s="14" t="s">
        <v>56</v>
      </c>
      <c r="G26" s="14" t="s">
        <v>23</v>
      </c>
      <c r="H26" s="57" t="s">
        <v>128</v>
      </c>
      <c r="I26" s="60" t="s">
        <v>129</v>
      </c>
      <c r="J26" s="60" t="s">
        <v>129</v>
      </c>
      <c r="K26" s="34"/>
      <c r="L26" s="57" t="s">
        <v>200</v>
      </c>
      <c r="M26" s="57" t="s">
        <v>201</v>
      </c>
      <c r="N26" s="57" t="s">
        <v>202</v>
      </c>
      <c r="O26" s="34"/>
      <c r="P26" s="26">
        <v>120</v>
      </c>
      <c r="Q26" s="14" t="str">
        <f>"71,6100"</f>
        <v>71,6100</v>
      </c>
      <c r="R26" s="14" t="s">
        <v>381</v>
      </c>
    </row>
    <row r="28" ht="13.5" thickBot="1"/>
    <row r="29" spans="2:12" ht="18">
      <c r="B29" s="15" t="s">
        <v>109</v>
      </c>
      <c r="C29" s="15"/>
      <c r="I29" s="96"/>
      <c r="J29" s="115"/>
      <c r="K29" s="115"/>
      <c r="L29" s="98"/>
    </row>
    <row r="30" spans="2:3" ht="13.5">
      <c r="B30" s="18"/>
      <c r="C30" s="19" t="s">
        <v>118</v>
      </c>
    </row>
    <row r="31" spans="2:6" ht="13.5">
      <c r="B31" s="20" t="s">
        <v>111</v>
      </c>
      <c r="C31" s="20" t="s">
        <v>112</v>
      </c>
      <c r="D31" s="20" t="s">
        <v>113</v>
      </c>
      <c r="E31" s="20" t="s">
        <v>114</v>
      </c>
      <c r="F31" s="20" t="s">
        <v>418</v>
      </c>
    </row>
    <row r="32" spans="1:6" ht="12.75">
      <c r="A32" s="63">
        <v>1</v>
      </c>
      <c r="B32" s="17" t="s">
        <v>403</v>
      </c>
      <c r="C32" s="21" t="s">
        <v>419</v>
      </c>
      <c r="D32" s="22" t="s">
        <v>116</v>
      </c>
      <c r="E32" s="22" t="s">
        <v>17</v>
      </c>
      <c r="F32" s="22" t="s">
        <v>420</v>
      </c>
    </row>
    <row r="33" spans="1:6" ht="12.75">
      <c r="A33" s="63">
        <v>2</v>
      </c>
      <c r="B33" s="17" t="s">
        <v>410</v>
      </c>
      <c r="C33" s="21" t="s">
        <v>419</v>
      </c>
      <c r="D33" s="22" t="s">
        <v>120</v>
      </c>
      <c r="E33" s="22" t="s">
        <v>162</v>
      </c>
      <c r="F33" s="22" t="s">
        <v>421</v>
      </c>
    </row>
    <row r="34" spans="1:6" ht="12.75">
      <c r="A34" s="63">
        <v>3</v>
      </c>
      <c r="B34" s="17" t="s">
        <v>260</v>
      </c>
      <c r="C34" s="21" t="s">
        <v>419</v>
      </c>
      <c r="D34" s="22" t="s">
        <v>120</v>
      </c>
      <c r="E34" s="22" t="s">
        <v>317</v>
      </c>
      <c r="F34" s="22" t="s">
        <v>422</v>
      </c>
    </row>
  </sheetData>
  <sheetProtection/>
  <mergeCells count="21">
    <mergeCell ref="B21:Q21"/>
    <mergeCell ref="B25:Q25"/>
    <mergeCell ref="A3:A4"/>
    <mergeCell ref="I29:L29"/>
    <mergeCell ref="Q3:Q4"/>
    <mergeCell ref="F3:F4"/>
    <mergeCell ref="G3:G4"/>
    <mergeCell ref="H3:K3"/>
    <mergeCell ref="L3:O3"/>
    <mergeCell ref="B1:R2"/>
    <mergeCell ref="B3:B4"/>
    <mergeCell ref="C3:C4"/>
    <mergeCell ref="D3:D4"/>
    <mergeCell ref="E3:E4"/>
    <mergeCell ref="B17:Q17"/>
    <mergeCell ref="P3:P4"/>
    <mergeCell ref="R3:R4"/>
    <mergeCell ref="B5:Q5"/>
    <mergeCell ref="B8:Q8"/>
    <mergeCell ref="B11:Q11"/>
    <mergeCell ref="B14:Q1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D15" sqref="D15"/>
    </sheetView>
  </sheetViews>
  <sheetFormatPr defaultColWidth="9.125" defaultRowHeight="12.75"/>
  <cols>
    <col min="1" max="1" width="9.125" style="46" customWidth="1"/>
    <col min="2" max="2" width="15.25390625" style="71" customWidth="1"/>
    <col min="3" max="3" width="27.375" style="1" customWidth="1"/>
    <col min="4" max="4" width="10.625" style="1" bestFit="1" customWidth="1"/>
    <col min="5" max="5" width="8.375" style="1" bestFit="1" customWidth="1"/>
    <col min="6" max="6" width="16.00390625" style="4" bestFit="1" customWidth="1"/>
    <col min="7" max="7" width="28.625" style="4" bestFit="1" customWidth="1"/>
    <col min="8" max="10" width="5.625" style="46" bestFit="1" customWidth="1"/>
    <col min="11" max="14" width="4.625" style="46" bestFit="1" customWidth="1"/>
    <col min="15" max="15" width="5.75390625" style="46" customWidth="1"/>
    <col min="16" max="16" width="7.875" style="46" bestFit="1" customWidth="1"/>
    <col min="17" max="17" width="8.625" style="46" bestFit="1" customWidth="1"/>
    <col min="18" max="18" width="19.125" style="4" bestFit="1" customWidth="1"/>
    <col min="19" max="16384" width="9.125" style="1" customWidth="1"/>
  </cols>
  <sheetData>
    <row r="1" spans="2:18" ht="15" customHeight="1">
      <c r="B1" s="85" t="s">
        <v>485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2:18" ht="96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1:18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387</v>
      </c>
      <c r="F3" s="79" t="s">
        <v>7</v>
      </c>
      <c r="G3" s="96" t="s">
        <v>477</v>
      </c>
      <c r="H3" s="79" t="s">
        <v>389</v>
      </c>
      <c r="I3" s="79"/>
      <c r="J3" s="79"/>
      <c r="K3" s="79"/>
      <c r="L3" s="79" t="s">
        <v>388</v>
      </c>
      <c r="M3" s="79"/>
      <c r="N3" s="79"/>
      <c r="O3" s="79"/>
      <c r="P3" s="79" t="s">
        <v>4</v>
      </c>
      <c r="Q3" s="79" t="s">
        <v>6</v>
      </c>
      <c r="R3" s="81" t="s">
        <v>5</v>
      </c>
    </row>
    <row r="4" spans="1:18" s="2" customFormat="1" ht="21" customHeight="1" thickBot="1">
      <c r="A4" s="99"/>
      <c r="B4" s="92"/>
      <c r="C4" s="80"/>
      <c r="D4" s="95"/>
      <c r="E4" s="80"/>
      <c r="F4" s="80"/>
      <c r="G4" s="97"/>
      <c r="H4" s="56">
        <v>1</v>
      </c>
      <c r="I4" s="56">
        <v>2</v>
      </c>
      <c r="J4" s="56">
        <v>3</v>
      </c>
      <c r="K4" s="56" t="s">
        <v>8</v>
      </c>
      <c r="L4" s="56">
        <v>1</v>
      </c>
      <c r="M4" s="56">
        <v>2</v>
      </c>
      <c r="N4" s="56">
        <v>3</v>
      </c>
      <c r="O4" s="56" t="s">
        <v>8</v>
      </c>
      <c r="P4" s="80"/>
      <c r="Q4" s="80"/>
      <c r="R4" s="82"/>
    </row>
    <row r="5" spans="2:17" ht="15.75">
      <c r="B5" s="103" t="s">
        <v>40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8" ht="12.75">
      <c r="A6" s="46" t="s">
        <v>382</v>
      </c>
      <c r="B6" s="36" t="s">
        <v>58</v>
      </c>
      <c r="C6" s="5" t="s">
        <v>59</v>
      </c>
      <c r="D6" s="5" t="s">
        <v>60</v>
      </c>
      <c r="E6" s="5" t="str">
        <f>"0,6513"</f>
        <v>0,6513</v>
      </c>
      <c r="F6" s="14" t="s">
        <v>56</v>
      </c>
      <c r="G6" s="5" t="s">
        <v>23</v>
      </c>
      <c r="H6" s="57" t="s">
        <v>215</v>
      </c>
      <c r="I6" s="57" t="s">
        <v>128</v>
      </c>
      <c r="J6" s="57" t="s">
        <v>129</v>
      </c>
      <c r="K6" s="48"/>
      <c r="L6" s="57" t="s">
        <v>201</v>
      </c>
      <c r="M6" s="72" t="s">
        <v>202</v>
      </c>
      <c r="N6" s="57" t="s">
        <v>202</v>
      </c>
      <c r="O6" s="48"/>
      <c r="P6" s="47" t="s">
        <v>135</v>
      </c>
      <c r="Q6" s="47" t="str">
        <f>"81,4125"</f>
        <v>81,4125</v>
      </c>
      <c r="R6" s="5" t="s">
        <v>369</v>
      </c>
    </row>
    <row r="8" spans="2:17" ht="15.75">
      <c r="B8" s="102" t="s">
        <v>86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8" ht="12.75">
      <c r="A9" s="46" t="s">
        <v>382</v>
      </c>
      <c r="B9" s="36" t="s">
        <v>425</v>
      </c>
      <c r="C9" s="5" t="s">
        <v>426</v>
      </c>
      <c r="D9" s="5" t="s">
        <v>427</v>
      </c>
      <c r="E9" s="5" t="str">
        <f>"0,5720"</f>
        <v>0,5720</v>
      </c>
      <c r="F9" s="5" t="s">
        <v>14</v>
      </c>
      <c r="G9" s="5" t="s">
        <v>394</v>
      </c>
      <c r="H9" s="72" t="s">
        <v>140</v>
      </c>
      <c r="I9" s="57" t="s">
        <v>140</v>
      </c>
      <c r="J9" s="57" t="s">
        <v>134</v>
      </c>
      <c r="K9" s="48"/>
      <c r="L9" s="57" t="s">
        <v>85</v>
      </c>
      <c r="M9" s="72" t="s">
        <v>17</v>
      </c>
      <c r="N9" s="72" t="s">
        <v>161</v>
      </c>
      <c r="O9" s="48"/>
      <c r="P9" s="47" t="s">
        <v>270</v>
      </c>
      <c r="Q9" s="47" t="str">
        <f>"114,4000"</f>
        <v>114,4000</v>
      </c>
      <c r="R9" s="5" t="s">
        <v>18</v>
      </c>
    </row>
    <row r="10" ht="12.75">
      <c r="B10" s="45"/>
    </row>
    <row r="13" spans="7:10" ht="13.5">
      <c r="G13" s="117"/>
      <c r="H13" s="117"/>
      <c r="I13" s="117"/>
      <c r="J13" s="117"/>
    </row>
    <row r="14" ht="12.75">
      <c r="K14" s="73"/>
    </row>
  </sheetData>
  <sheetProtection/>
  <mergeCells count="16">
    <mergeCell ref="Q3:Q4"/>
    <mergeCell ref="R3:R4"/>
    <mergeCell ref="B5:Q5"/>
    <mergeCell ref="B8:Q8"/>
    <mergeCell ref="A3:A4"/>
    <mergeCell ref="G13:J13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6" sqref="E26"/>
    </sheetView>
  </sheetViews>
  <sheetFormatPr defaultColWidth="8.75390625" defaultRowHeight="12.75"/>
  <cols>
    <col min="1" max="1" width="8.75390625" style="0" customWidth="1"/>
    <col min="2" max="2" width="26.00390625" style="10" bestFit="1" customWidth="1"/>
    <col min="3" max="3" width="27.75390625" style="10" bestFit="1" customWidth="1"/>
    <col min="4" max="4" width="10.625" style="10" bestFit="1" customWidth="1"/>
    <col min="5" max="5" width="8.375" style="10" bestFit="1" customWidth="1"/>
    <col min="6" max="6" width="14.25390625" style="10" customWidth="1"/>
    <col min="7" max="7" width="28.625" style="10" bestFit="1" customWidth="1"/>
    <col min="8" max="8" width="5.625" style="22" customWidth="1"/>
    <col min="9" max="9" width="9.75390625" style="22" customWidth="1"/>
    <col min="10" max="10" width="9.75390625" style="27" customWidth="1"/>
    <col min="11" max="11" width="9.625" style="22" bestFit="1" customWidth="1"/>
    <col min="12" max="12" width="16.25390625" style="10" bestFit="1" customWidth="1"/>
  </cols>
  <sheetData>
    <row r="1" spans="2:12" s="1" customFormat="1" ht="15" customHeight="1">
      <c r="B1" s="85" t="s">
        <v>496</v>
      </c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2:12" s="1" customFormat="1" ht="87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387</v>
      </c>
      <c r="F3" s="79" t="s">
        <v>7</v>
      </c>
      <c r="G3" s="96" t="s">
        <v>477</v>
      </c>
      <c r="H3" s="79" t="s">
        <v>2</v>
      </c>
      <c r="I3" s="79"/>
      <c r="J3" s="79" t="s">
        <v>473</v>
      </c>
      <c r="K3" s="79" t="s">
        <v>6</v>
      </c>
      <c r="L3" s="81" t="s">
        <v>5</v>
      </c>
    </row>
    <row r="4" spans="1:12" s="2" customFormat="1" ht="21" customHeight="1" thickBot="1">
      <c r="A4" s="99"/>
      <c r="B4" s="92"/>
      <c r="C4" s="80"/>
      <c r="D4" s="95"/>
      <c r="E4" s="80"/>
      <c r="F4" s="80"/>
      <c r="G4" s="97"/>
      <c r="H4" s="3" t="s">
        <v>437</v>
      </c>
      <c r="I4" s="3" t="s">
        <v>438</v>
      </c>
      <c r="J4" s="80"/>
      <c r="K4" s="80"/>
      <c r="L4" s="82"/>
    </row>
    <row r="5" spans="2:11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</row>
    <row r="6" spans="1:12" ht="12.75">
      <c r="A6" s="78">
        <v>1</v>
      </c>
      <c r="B6" s="11" t="s">
        <v>124</v>
      </c>
      <c r="C6" s="11" t="s">
        <v>428</v>
      </c>
      <c r="D6" s="11" t="s">
        <v>126</v>
      </c>
      <c r="E6" s="11" t="str">
        <f>"0,8383"</f>
        <v>0,8383</v>
      </c>
      <c r="F6" s="11" t="s">
        <v>127</v>
      </c>
      <c r="G6" s="11" t="s">
        <v>23</v>
      </c>
      <c r="H6" s="28" t="s">
        <v>402</v>
      </c>
      <c r="I6" s="28" t="s">
        <v>439</v>
      </c>
      <c r="J6" s="23">
        <v>1590</v>
      </c>
      <c r="K6" s="28" t="str">
        <f>"1332,8970"</f>
        <v>1332,8970</v>
      </c>
      <c r="L6" s="11" t="s">
        <v>361</v>
      </c>
    </row>
    <row r="7" spans="1:12" ht="12.75">
      <c r="A7" s="78">
        <v>2</v>
      </c>
      <c r="B7" s="12" t="s">
        <v>429</v>
      </c>
      <c r="C7" s="12" t="s">
        <v>430</v>
      </c>
      <c r="D7" s="12" t="s">
        <v>199</v>
      </c>
      <c r="E7" s="12" t="str">
        <f>"0,8582"</f>
        <v>0,8582</v>
      </c>
      <c r="F7" s="12" t="s">
        <v>127</v>
      </c>
      <c r="G7" s="12" t="s">
        <v>23</v>
      </c>
      <c r="H7" s="30" t="s">
        <v>402</v>
      </c>
      <c r="I7" s="30" t="s">
        <v>440</v>
      </c>
      <c r="J7" s="24">
        <v>1530</v>
      </c>
      <c r="K7" s="30" t="str">
        <f>"1313,0460"</f>
        <v>1313,0460</v>
      </c>
      <c r="L7" s="12" t="s">
        <v>361</v>
      </c>
    </row>
    <row r="8" ht="12.75">
      <c r="A8" s="78"/>
    </row>
    <row r="9" spans="1:11" ht="15.75">
      <c r="A9" s="78"/>
      <c r="B9" s="84" t="s">
        <v>19</v>
      </c>
      <c r="C9" s="84"/>
      <c r="D9" s="84"/>
      <c r="E9" s="84"/>
      <c r="F9" s="84"/>
      <c r="G9" s="84"/>
      <c r="H9" s="84"/>
      <c r="I9" s="84"/>
      <c r="J9" s="84"/>
      <c r="K9" s="84"/>
    </row>
    <row r="10" spans="1:12" ht="12.75">
      <c r="A10" s="78">
        <v>1</v>
      </c>
      <c r="B10" s="11" t="s">
        <v>431</v>
      </c>
      <c r="C10" s="11" t="s">
        <v>432</v>
      </c>
      <c r="D10" s="11" t="s">
        <v>433</v>
      </c>
      <c r="E10" s="11" t="str">
        <f>"0,7375"</f>
        <v>0,7375</v>
      </c>
      <c r="F10" s="11" t="s">
        <v>127</v>
      </c>
      <c r="G10" s="11" t="s">
        <v>23</v>
      </c>
      <c r="H10" s="28" t="s">
        <v>31</v>
      </c>
      <c r="I10" s="28" t="s">
        <v>441</v>
      </c>
      <c r="J10" s="23">
        <v>2135</v>
      </c>
      <c r="K10" s="28" t="str">
        <f>"1574,4558"</f>
        <v>1574,4558</v>
      </c>
      <c r="L10" s="11" t="s">
        <v>361</v>
      </c>
    </row>
    <row r="11" spans="1:12" ht="12.75">
      <c r="A11" s="78">
        <v>2</v>
      </c>
      <c r="B11" s="12" t="s">
        <v>434</v>
      </c>
      <c r="C11" s="12" t="s">
        <v>435</v>
      </c>
      <c r="D11" s="12" t="s">
        <v>436</v>
      </c>
      <c r="E11" s="12" t="str">
        <f>"0,7012"</f>
        <v>0,7012</v>
      </c>
      <c r="F11" s="12" t="s">
        <v>127</v>
      </c>
      <c r="G11" s="12" t="s">
        <v>23</v>
      </c>
      <c r="H11" s="30" t="s">
        <v>32</v>
      </c>
      <c r="I11" s="30" t="s">
        <v>442</v>
      </c>
      <c r="J11" s="24">
        <v>1650</v>
      </c>
      <c r="K11" s="30" t="str">
        <f>"1156,8975"</f>
        <v>1156,8975</v>
      </c>
      <c r="L11" s="12" t="s">
        <v>361</v>
      </c>
    </row>
    <row r="12" ht="12.75">
      <c r="A12" s="78"/>
    </row>
  </sheetData>
  <sheetProtection/>
  <mergeCells count="14">
    <mergeCell ref="B9:K9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28" sqref="F28"/>
    </sheetView>
  </sheetViews>
  <sheetFormatPr defaultColWidth="8.75390625" defaultRowHeight="12.75"/>
  <cols>
    <col min="1" max="1" width="8.75390625" style="0" customWidth="1"/>
    <col min="2" max="2" width="26.00390625" style="10" bestFit="1" customWidth="1"/>
    <col min="3" max="3" width="26.625" style="10" customWidth="1"/>
    <col min="4" max="4" width="10.625" style="10" bestFit="1" customWidth="1"/>
    <col min="5" max="5" width="8.375" style="10" bestFit="1" customWidth="1"/>
    <col min="6" max="6" width="22.75390625" style="10" bestFit="1" customWidth="1"/>
    <col min="7" max="7" width="28.625" style="10" bestFit="1" customWidth="1"/>
    <col min="8" max="8" width="5.625" style="22" bestFit="1" customWidth="1"/>
    <col min="9" max="9" width="11.125" style="22" customWidth="1"/>
    <col min="10" max="10" width="10.375" style="27" customWidth="1"/>
    <col min="11" max="11" width="9.625" style="22" bestFit="1" customWidth="1"/>
    <col min="12" max="12" width="16.25390625" style="10" bestFit="1" customWidth="1"/>
  </cols>
  <sheetData>
    <row r="1" spans="2:12" s="1" customFormat="1" ht="15" customHeight="1">
      <c r="B1" s="85" t="s">
        <v>497</v>
      </c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2:12" s="1" customFormat="1" ht="79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387</v>
      </c>
      <c r="F3" s="79" t="s">
        <v>7</v>
      </c>
      <c r="G3" s="96" t="s">
        <v>477</v>
      </c>
      <c r="H3" s="79" t="s">
        <v>2</v>
      </c>
      <c r="I3" s="79"/>
      <c r="J3" s="79" t="s">
        <v>473</v>
      </c>
      <c r="K3" s="79" t="s">
        <v>6</v>
      </c>
      <c r="L3" s="81" t="s">
        <v>5</v>
      </c>
    </row>
    <row r="4" spans="1:12" s="2" customFormat="1" ht="21" customHeight="1" thickBot="1">
      <c r="A4" s="99"/>
      <c r="B4" s="92"/>
      <c r="C4" s="80"/>
      <c r="D4" s="95"/>
      <c r="E4" s="80"/>
      <c r="F4" s="80"/>
      <c r="G4" s="97"/>
      <c r="H4" s="3" t="s">
        <v>437</v>
      </c>
      <c r="I4" s="3" t="s">
        <v>438</v>
      </c>
      <c r="J4" s="80"/>
      <c r="K4" s="80"/>
      <c r="L4" s="82"/>
    </row>
    <row r="5" spans="2:11" ht="15.75">
      <c r="B5" s="83" t="s">
        <v>19</v>
      </c>
      <c r="C5" s="83"/>
      <c r="D5" s="83"/>
      <c r="E5" s="83"/>
      <c r="F5" s="83"/>
      <c r="G5" s="83"/>
      <c r="H5" s="83"/>
      <c r="I5" s="83"/>
      <c r="J5" s="83"/>
      <c r="K5" s="83"/>
    </row>
    <row r="6" spans="1:12" ht="12.75">
      <c r="A6" s="78">
        <v>1</v>
      </c>
      <c r="B6" s="11" t="s">
        <v>443</v>
      </c>
      <c r="C6" s="11" t="s">
        <v>444</v>
      </c>
      <c r="D6" s="11" t="s">
        <v>22</v>
      </c>
      <c r="E6" s="11" t="str">
        <f>"0,7164"</f>
        <v>0,7164</v>
      </c>
      <c r="F6" s="14" t="s">
        <v>56</v>
      </c>
      <c r="G6" s="11" t="s">
        <v>144</v>
      </c>
      <c r="H6" s="28" t="s">
        <v>254</v>
      </c>
      <c r="I6" s="28" t="s">
        <v>457</v>
      </c>
      <c r="J6" s="23">
        <v>2175</v>
      </c>
      <c r="K6" s="28" t="str">
        <f>"1558,2787"</f>
        <v>1558,2787</v>
      </c>
      <c r="L6" s="11" t="s">
        <v>359</v>
      </c>
    </row>
    <row r="7" spans="1:12" ht="12.75">
      <c r="A7" s="78">
        <v>2</v>
      </c>
      <c r="B7" s="12" t="s">
        <v>445</v>
      </c>
      <c r="C7" s="12" t="s">
        <v>446</v>
      </c>
      <c r="D7" s="12" t="s">
        <v>139</v>
      </c>
      <c r="E7" s="12" t="str">
        <f>"0,7095"</f>
        <v>0,7095</v>
      </c>
      <c r="F7" s="12" t="s">
        <v>14</v>
      </c>
      <c r="G7" s="12" t="s">
        <v>107</v>
      </c>
      <c r="H7" s="30" t="s">
        <v>254</v>
      </c>
      <c r="I7" s="30" t="s">
        <v>458</v>
      </c>
      <c r="J7" s="24">
        <v>1087.5</v>
      </c>
      <c r="K7" s="30" t="str">
        <f>"771,5269"</f>
        <v>771,5269</v>
      </c>
      <c r="L7" s="12" t="s">
        <v>18</v>
      </c>
    </row>
    <row r="8" ht="12.75">
      <c r="A8" s="78"/>
    </row>
    <row r="9" spans="1:11" ht="15.75">
      <c r="A9" s="78"/>
      <c r="B9" s="84" t="s">
        <v>61</v>
      </c>
      <c r="C9" s="84"/>
      <c r="D9" s="84"/>
      <c r="E9" s="84"/>
      <c r="F9" s="84"/>
      <c r="G9" s="84"/>
      <c r="H9" s="84"/>
      <c r="I9" s="84"/>
      <c r="J9" s="84"/>
      <c r="K9" s="84"/>
    </row>
    <row r="10" spans="1:12" ht="12.75">
      <c r="A10" s="78">
        <v>1</v>
      </c>
      <c r="B10" s="14" t="s">
        <v>267</v>
      </c>
      <c r="C10" s="14" t="s">
        <v>268</v>
      </c>
      <c r="D10" s="14" t="s">
        <v>269</v>
      </c>
      <c r="E10" s="14" t="str">
        <f>"0,6354"</f>
        <v>0,6354</v>
      </c>
      <c r="F10" s="14" t="s">
        <v>127</v>
      </c>
      <c r="G10" s="14" t="s">
        <v>23</v>
      </c>
      <c r="H10" s="35" t="s">
        <v>24</v>
      </c>
      <c r="I10" s="35" t="s">
        <v>459</v>
      </c>
      <c r="J10" s="26">
        <v>1785</v>
      </c>
      <c r="K10" s="35" t="str">
        <f>"1134,1890"</f>
        <v>1134,1890</v>
      </c>
      <c r="L10" s="14" t="s">
        <v>361</v>
      </c>
    </row>
    <row r="11" ht="12.75">
      <c r="A11" s="78"/>
    </row>
    <row r="12" spans="1:11" ht="15.75">
      <c r="A12" s="78"/>
      <c r="B12" s="84" t="s">
        <v>77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1:12" ht="12.75">
      <c r="A13" s="78">
        <v>1</v>
      </c>
      <c r="B13" s="11" t="s">
        <v>447</v>
      </c>
      <c r="C13" s="11" t="s">
        <v>448</v>
      </c>
      <c r="D13" s="11" t="s">
        <v>449</v>
      </c>
      <c r="E13" s="11" t="str">
        <f>"0,6104"</f>
        <v>0,6104</v>
      </c>
      <c r="F13" s="11" t="s">
        <v>56</v>
      </c>
      <c r="G13" s="11" t="s">
        <v>23</v>
      </c>
      <c r="H13" s="28" t="s">
        <v>161</v>
      </c>
      <c r="I13" s="28" t="s">
        <v>460</v>
      </c>
      <c r="J13" s="23">
        <v>2682.5</v>
      </c>
      <c r="K13" s="28" t="str">
        <f>"1637,3981"</f>
        <v>1637,3981</v>
      </c>
      <c r="L13" s="11" t="s">
        <v>18</v>
      </c>
    </row>
    <row r="14" spans="1:12" ht="12.75">
      <c r="A14" s="78">
        <v>2</v>
      </c>
      <c r="B14" s="13" t="s">
        <v>450</v>
      </c>
      <c r="C14" s="13" t="s">
        <v>451</v>
      </c>
      <c r="D14" s="13" t="s">
        <v>452</v>
      </c>
      <c r="E14" s="13" t="str">
        <f>"0,5987"</f>
        <v>0,5987</v>
      </c>
      <c r="F14" s="13" t="s">
        <v>14</v>
      </c>
      <c r="G14" s="13" t="s">
        <v>23</v>
      </c>
      <c r="H14" s="74" t="s">
        <v>25</v>
      </c>
      <c r="I14" s="32" t="s">
        <v>461</v>
      </c>
      <c r="J14" s="25">
        <v>1900</v>
      </c>
      <c r="K14" s="76" t="str">
        <f>"1266,0709"</f>
        <v>1266,0709</v>
      </c>
      <c r="L14" s="75" t="s">
        <v>26</v>
      </c>
    </row>
    <row r="15" spans="1:12" ht="12.75">
      <c r="A15" s="78">
        <v>1</v>
      </c>
      <c r="B15" s="12" t="s">
        <v>450</v>
      </c>
      <c r="C15" s="12" t="s">
        <v>453</v>
      </c>
      <c r="D15" s="12" t="s">
        <v>452</v>
      </c>
      <c r="E15" s="12" t="str">
        <f>"0,5987"</f>
        <v>0,5987</v>
      </c>
      <c r="F15" s="12" t="s">
        <v>14</v>
      </c>
      <c r="G15" s="12" t="s">
        <v>23</v>
      </c>
      <c r="H15" s="30" t="s">
        <v>25</v>
      </c>
      <c r="I15" s="30" t="s">
        <v>461</v>
      </c>
      <c r="J15" s="24">
        <v>1900</v>
      </c>
      <c r="K15" s="30" t="str">
        <f>"1266,0709"</f>
        <v>1266,0709</v>
      </c>
      <c r="L15" s="12" t="s">
        <v>26</v>
      </c>
    </row>
    <row r="16" ht="12.75">
      <c r="A16" s="78"/>
    </row>
    <row r="17" spans="1:11" ht="15.75">
      <c r="A17" s="78"/>
      <c r="B17" s="84" t="s">
        <v>86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1:12" ht="12.75">
      <c r="A18" s="78">
        <v>1</v>
      </c>
      <c r="B18" s="14" t="s">
        <v>180</v>
      </c>
      <c r="C18" s="14" t="s">
        <v>181</v>
      </c>
      <c r="D18" s="14" t="s">
        <v>182</v>
      </c>
      <c r="E18" s="14" t="str">
        <f>"0,5683"</f>
        <v>0,5683</v>
      </c>
      <c r="F18" s="14" t="s">
        <v>127</v>
      </c>
      <c r="G18" s="14" t="s">
        <v>23</v>
      </c>
      <c r="H18" s="35" t="s">
        <v>206</v>
      </c>
      <c r="I18" s="35" t="s">
        <v>462</v>
      </c>
      <c r="J18" s="26">
        <v>2365</v>
      </c>
      <c r="K18" s="35" t="str">
        <f>"1344,0295"</f>
        <v>1344,0295</v>
      </c>
      <c r="L18" s="14" t="s">
        <v>18</v>
      </c>
    </row>
    <row r="21" spans="2:3" ht="18">
      <c r="B21" s="15" t="s">
        <v>109</v>
      </c>
      <c r="C21" s="15"/>
    </row>
    <row r="22" spans="2:3" ht="13.5">
      <c r="B22" s="18"/>
      <c r="C22" s="19" t="s">
        <v>110</v>
      </c>
    </row>
    <row r="23" spans="2:6" ht="13.5">
      <c r="B23" s="20" t="s">
        <v>111</v>
      </c>
      <c r="C23" s="20" t="s">
        <v>112</v>
      </c>
      <c r="D23" s="20" t="s">
        <v>113</v>
      </c>
      <c r="E23" s="20" t="s">
        <v>114</v>
      </c>
      <c r="F23" s="20" t="s">
        <v>418</v>
      </c>
    </row>
    <row r="24" spans="2:6" ht="12.75">
      <c r="B24" s="17" t="s">
        <v>447</v>
      </c>
      <c r="C24" s="21" t="s">
        <v>110</v>
      </c>
      <c r="D24" s="22" t="s">
        <v>456</v>
      </c>
      <c r="E24" s="22" t="s">
        <v>454</v>
      </c>
      <c r="F24" s="22" t="s">
        <v>455</v>
      </c>
    </row>
  </sheetData>
  <sheetProtection/>
  <mergeCells count="16">
    <mergeCell ref="L3:L4"/>
    <mergeCell ref="B5:K5"/>
    <mergeCell ref="B9:K9"/>
    <mergeCell ref="B12:K12"/>
    <mergeCell ref="B17:K17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8" sqref="G28"/>
    </sheetView>
  </sheetViews>
  <sheetFormatPr defaultColWidth="9.125" defaultRowHeight="12.75"/>
  <cols>
    <col min="1" max="1" width="9.125" style="46" customWidth="1"/>
    <col min="2" max="2" width="17.625" style="45" customWidth="1"/>
    <col min="3" max="3" width="25.875" style="4" customWidth="1"/>
    <col min="4" max="4" width="10.625" style="4" bestFit="1" customWidth="1"/>
    <col min="5" max="5" width="8.375" style="4" bestFit="1" customWidth="1"/>
    <col min="6" max="6" width="18.00390625" style="4" customWidth="1"/>
    <col min="7" max="7" width="28.625" style="4" bestFit="1" customWidth="1"/>
    <col min="8" max="8" width="6.75390625" style="46" customWidth="1"/>
    <col min="9" max="10" width="10.00390625" style="46" customWidth="1"/>
    <col min="11" max="11" width="9.625" style="46" bestFit="1" customWidth="1"/>
    <col min="12" max="12" width="19.125" style="4" bestFit="1" customWidth="1"/>
    <col min="13" max="16384" width="9.125" style="1" customWidth="1"/>
  </cols>
  <sheetData>
    <row r="1" spans="2:12" ht="15" customHeight="1">
      <c r="B1" s="85" t="s">
        <v>498</v>
      </c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2:12" ht="85.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387</v>
      </c>
      <c r="F3" s="79" t="s">
        <v>7</v>
      </c>
      <c r="G3" s="96" t="s">
        <v>477</v>
      </c>
      <c r="H3" s="79" t="s">
        <v>2</v>
      </c>
      <c r="I3" s="79"/>
      <c r="J3" s="79" t="s">
        <v>473</v>
      </c>
      <c r="K3" s="79" t="s">
        <v>6</v>
      </c>
      <c r="L3" s="81" t="s">
        <v>5</v>
      </c>
    </row>
    <row r="4" spans="1:12" s="2" customFormat="1" ht="21" customHeight="1" thickBot="1">
      <c r="A4" s="99"/>
      <c r="B4" s="92"/>
      <c r="C4" s="80"/>
      <c r="D4" s="95"/>
      <c r="E4" s="80"/>
      <c r="F4" s="80"/>
      <c r="G4" s="97"/>
      <c r="H4" s="3" t="s">
        <v>437</v>
      </c>
      <c r="I4" s="3" t="s">
        <v>438</v>
      </c>
      <c r="J4" s="80"/>
      <c r="K4" s="80"/>
      <c r="L4" s="82"/>
    </row>
    <row r="5" spans="2:11" ht="15.75">
      <c r="B5" s="103" t="s">
        <v>40</v>
      </c>
      <c r="C5" s="83"/>
      <c r="D5" s="83"/>
      <c r="E5" s="83"/>
      <c r="F5" s="83"/>
      <c r="G5" s="83"/>
      <c r="H5" s="83"/>
      <c r="I5" s="83"/>
      <c r="J5" s="83"/>
      <c r="K5" s="83"/>
    </row>
    <row r="6" spans="1:12" ht="12.75">
      <c r="A6" s="46" t="s">
        <v>382</v>
      </c>
      <c r="B6" s="36" t="s">
        <v>58</v>
      </c>
      <c r="C6" s="5" t="s">
        <v>59</v>
      </c>
      <c r="D6" s="5" t="s">
        <v>60</v>
      </c>
      <c r="E6" s="5" t="str">
        <f>"0,6513"</f>
        <v>0,6513</v>
      </c>
      <c r="F6" s="5" t="s">
        <v>56</v>
      </c>
      <c r="G6" s="5" t="s">
        <v>23</v>
      </c>
      <c r="H6" s="47" t="s">
        <v>15</v>
      </c>
      <c r="I6" s="47" t="s">
        <v>459</v>
      </c>
      <c r="J6" s="47" t="s">
        <v>470</v>
      </c>
      <c r="K6" s="47" t="str">
        <f>"1128,3773"</f>
        <v>1128,3773</v>
      </c>
      <c r="L6" s="5" t="s">
        <v>369</v>
      </c>
    </row>
    <row r="8" spans="2:11" ht="15.75">
      <c r="B8" s="102" t="s">
        <v>61</v>
      </c>
      <c r="C8" s="84"/>
      <c r="D8" s="84"/>
      <c r="E8" s="84"/>
      <c r="F8" s="84"/>
      <c r="G8" s="84"/>
      <c r="H8" s="84"/>
      <c r="I8" s="84"/>
      <c r="J8" s="84"/>
      <c r="K8" s="84"/>
    </row>
    <row r="9" spans="1:12" ht="12.75">
      <c r="A9" s="46" t="s">
        <v>382</v>
      </c>
      <c r="B9" s="36" t="s">
        <v>463</v>
      </c>
      <c r="C9" s="5" t="s">
        <v>464</v>
      </c>
      <c r="D9" s="5" t="s">
        <v>465</v>
      </c>
      <c r="E9" s="5" t="str">
        <f>"0,6141"</f>
        <v>0,6141</v>
      </c>
      <c r="F9" s="5" t="s">
        <v>56</v>
      </c>
      <c r="G9" s="5" t="s">
        <v>23</v>
      </c>
      <c r="H9" s="47" t="s">
        <v>17</v>
      </c>
      <c r="I9" s="47" t="s">
        <v>472</v>
      </c>
      <c r="J9" s="47" t="s">
        <v>471</v>
      </c>
      <c r="K9" s="47" t="str">
        <f>"1435,3422"</f>
        <v>1435,3422</v>
      </c>
      <c r="L9" s="5" t="s">
        <v>369</v>
      </c>
    </row>
    <row r="11" spans="2:11" ht="15.75">
      <c r="B11" s="102" t="s">
        <v>77</v>
      </c>
      <c r="C11" s="84"/>
      <c r="D11" s="84"/>
      <c r="E11" s="84"/>
      <c r="F11" s="84"/>
      <c r="G11" s="84"/>
      <c r="H11" s="84"/>
      <c r="I11" s="84"/>
      <c r="J11" s="84"/>
      <c r="K11" s="84"/>
    </row>
    <row r="12" spans="1:12" ht="12.75">
      <c r="A12" s="46" t="s">
        <v>382</v>
      </c>
      <c r="B12" s="36" t="s">
        <v>466</v>
      </c>
      <c r="C12" s="5" t="s">
        <v>467</v>
      </c>
      <c r="D12" s="5" t="s">
        <v>468</v>
      </c>
      <c r="E12" s="5" t="str">
        <f>"0,5929"</f>
        <v>0,5929</v>
      </c>
      <c r="F12" s="5" t="s">
        <v>14</v>
      </c>
      <c r="G12" s="5" t="s">
        <v>107</v>
      </c>
      <c r="H12" s="47" t="s">
        <v>317</v>
      </c>
      <c r="I12" s="47" t="s">
        <v>460</v>
      </c>
      <c r="J12" s="47" t="s">
        <v>469</v>
      </c>
      <c r="K12" s="47" t="str">
        <f>"1676,2835"</f>
        <v>1676,2835</v>
      </c>
      <c r="L12" s="5" t="s">
        <v>18</v>
      </c>
    </row>
  </sheetData>
  <sheetProtection/>
  <mergeCells count="15">
    <mergeCell ref="B5:K5"/>
    <mergeCell ref="B8:K8"/>
    <mergeCell ref="B11:K11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12" sqref="B12"/>
    </sheetView>
  </sheetViews>
  <sheetFormatPr defaultColWidth="8.75390625" defaultRowHeight="12.75"/>
  <cols>
    <col min="1" max="1" width="10.25390625" style="0" customWidth="1"/>
    <col min="2" max="2" width="28.25390625" style="0" customWidth="1"/>
  </cols>
  <sheetData>
    <row r="1" spans="1:2" ht="12.75">
      <c r="A1" s="118" t="s">
        <v>474</v>
      </c>
      <c r="B1" s="118" t="s">
        <v>478</v>
      </c>
    </row>
    <row r="2" spans="1:2" ht="12.75">
      <c r="A2" s="118">
        <v>1</v>
      </c>
      <c r="B2" s="5" t="s">
        <v>479</v>
      </c>
    </row>
    <row r="3" spans="1:2" ht="12.75">
      <c r="A3" s="118">
        <v>2</v>
      </c>
      <c r="B3" s="5" t="s">
        <v>480</v>
      </c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J14" sqref="J14"/>
    </sheetView>
  </sheetViews>
  <sheetFormatPr defaultColWidth="8.75390625" defaultRowHeight="12.75"/>
  <sheetData>
    <row r="2" ht="12.75">
      <c r="A2" s="77" t="s">
        <v>481</v>
      </c>
    </row>
    <row r="3" ht="12.75">
      <c r="A3" s="77" t="s">
        <v>484</v>
      </c>
    </row>
    <row r="4" ht="12.75">
      <c r="A4" s="77" t="s">
        <v>482</v>
      </c>
    </row>
    <row r="5" ht="12.75">
      <c r="A5" s="77" t="s">
        <v>483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C33" sqref="C33"/>
    </sheetView>
  </sheetViews>
  <sheetFormatPr defaultColWidth="8.75390625" defaultRowHeight="12.75"/>
  <cols>
    <col min="1" max="1" width="9.125" style="63" customWidth="1"/>
    <col min="2" max="2" width="22.25390625" style="10" customWidth="1"/>
    <col min="3" max="3" width="25.375" style="10" customWidth="1"/>
    <col min="4" max="4" width="10.625" style="10" bestFit="1" customWidth="1"/>
    <col min="5" max="5" width="8.375" style="10" bestFit="1" customWidth="1"/>
    <col min="6" max="6" width="13.125" style="10" customWidth="1"/>
    <col min="7" max="7" width="36.75390625" style="10" bestFit="1" customWidth="1"/>
    <col min="8" max="10" width="5.625" style="22" bestFit="1" customWidth="1"/>
    <col min="11" max="11" width="4.625" style="22" bestFit="1" customWidth="1"/>
    <col min="12" max="14" width="5.625" style="22" bestFit="1" customWidth="1"/>
    <col min="15" max="15" width="4.625" style="22" bestFit="1" customWidth="1"/>
    <col min="16" max="18" width="5.625" style="22" bestFit="1" customWidth="1"/>
    <col min="19" max="19" width="4.625" style="22" bestFit="1" customWidth="1"/>
    <col min="20" max="20" width="7.875" style="27" bestFit="1" customWidth="1"/>
    <col min="21" max="21" width="8.625" style="22" bestFit="1" customWidth="1"/>
    <col min="22" max="22" width="18.875" style="10" bestFit="1" customWidth="1"/>
  </cols>
  <sheetData>
    <row r="1" spans="1:22" s="1" customFormat="1" ht="15" customHeight="1">
      <c r="A1" s="46"/>
      <c r="B1" s="85" t="s">
        <v>487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s="1" customFormat="1" ht="87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1</v>
      </c>
      <c r="I3" s="79"/>
      <c r="J3" s="79"/>
      <c r="K3" s="79"/>
      <c r="L3" s="79" t="s">
        <v>2</v>
      </c>
      <c r="M3" s="79"/>
      <c r="N3" s="79"/>
      <c r="O3" s="79"/>
      <c r="P3" s="79" t="s">
        <v>3</v>
      </c>
      <c r="Q3" s="79"/>
      <c r="R3" s="79"/>
      <c r="S3" s="79"/>
      <c r="T3" s="100" t="s">
        <v>4</v>
      </c>
      <c r="U3" s="79" t="s">
        <v>6</v>
      </c>
      <c r="V3" s="81" t="s">
        <v>5</v>
      </c>
    </row>
    <row r="4" spans="1:22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1"/>
      <c r="U4" s="80"/>
      <c r="V4" s="82"/>
    </row>
    <row r="5" spans="2:21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2" ht="12.75">
      <c r="A6" s="63">
        <v>1</v>
      </c>
      <c r="B6" s="14" t="s">
        <v>287</v>
      </c>
      <c r="C6" s="14" t="s">
        <v>288</v>
      </c>
      <c r="D6" s="14" t="s">
        <v>289</v>
      </c>
      <c r="E6" s="14" t="str">
        <f>"1,1478"</f>
        <v>1,1478</v>
      </c>
      <c r="F6" s="14" t="s">
        <v>14</v>
      </c>
      <c r="G6" s="14" t="s">
        <v>373</v>
      </c>
      <c r="H6" s="57" t="s">
        <v>156</v>
      </c>
      <c r="I6" s="57" t="s">
        <v>140</v>
      </c>
      <c r="J6" s="57" t="s">
        <v>134</v>
      </c>
      <c r="K6" s="34"/>
      <c r="L6" s="57" t="s">
        <v>241</v>
      </c>
      <c r="M6" s="60" t="s">
        <v>202</v>
      </c>
      <c r="N6" s="60" t="s">
        <v>202</v>
      </c>
      <c r="O6" s="34"/>
      <c r="P6" s="57" t="s">
        <v>161</v>
      </c>
      <c r="Q6" s="57" t="s">
        <v>157</v>
      </c>
      <c r="R6" s="57" t="s">
        <v>207</v>
      </c>
      <c r="S6" s="34"/>
      <c r="T6" s="26">
        <v>287.5</v>
      </c>
      <c r="U6" s="35" t="str">
        <f>"329,9925"</f>
        <v>329,9925</v>
      </c>
      <c r="V6" s="14" t="s">
        <v>374</v>
      </c>
    </row>
    <row r="8" spans="2:21" ht="15.75">
      <c r="B8" s="84" t="s">
        <v>40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2" ht="12.75">
      <c r="B9" s="14" t="s">
        <v>290</v>
      </c>
      <c r="C9" s="14" t="s">
        <v>291</v>
      </c>
      <c r="D9" s="14" t="s">
        <v>292</v>
      </c>
      <c r="E9" s="14" t="str">
        <f>"0,6774"</f>
        <v>0,6774</v>
      </c>
      <c r="F9" s="14" t="s">
        <v>14</v>
      </c>
      <c r="G9" s="14" t="s">
        <v>293</v>
      </c>
      <c r="H9" s="57" t="s">
        <v>227</v>
      </c>
      <c r="I9" s="57" t="s">
        <v>294</v>
      </c>
      <c r="J9" s="60" t="s">
        <v>295</v>
      </c>
      <c r="K9" s="34"/>
      <c r="L9" s="60" t="s">
        <v>38</v>
      </c>
      <c r="M9" s="57" t="s">
        <v>38</v>
      </c>
      <c r="N9" s="60" t="s">
        <v>39</v>
      </c>
      <c r="O9" s="34"/>
      <c r="P9" s="60" t="s">
        <v>234</v>
      </c>
      <c r="Q9" s="60" t="s">
        <v>234</v>
      </c>
      <c r="R9" s="60" t="s">
        <v>234</v>
      </c>
      <c r="S9" s="34"/>
      <c r="T9" s="55">
        <v>0</v>
      </c>
      <c r="U9" s="35" t="s">
        <v>371</v>
      </c>
      <c r="V9" s="14" t="s">
        <v>375</v>
      </c>
    </row>
    <row r="11" spans="2:21" ht="15.75">
      <c r="B11" s="84" t="s">
        <v>61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2" ht="12.75">
      <c r="A12" s="63">
        <v>1</v>
      </c>
      <c r="B12" s="11" t="s">
        <v>296</v>
      </c>
      <c r="C12" s="11" t="s">
        <v>297</v>
      </c>
      <c r="D12" s="11" t="s">
        <v>74</v>
      </c>
      <c r="E12" s="11" t="str">
        <f>"0,6523"</f>
        <v>0,6523</v>
      </c>
      <c r="F12" s="11" t="s">
        <v>14</v>
      </c>
      <c r="G12" s="11" t="s">
        <v>373</v>
      </c>
      <c r="H12" s="58" t="s">
        <v>227</v>
      </c>
      <c r="I12" s="58" t="s">
        <v>280</v>
      </c>
      <c r="J12" s="58" t="s">
        <v>298</v>
      </c>
      <c r="K12" s="29"/>
      <c r="L12" s="58" t="s">
        <v>76</v>
      </c>
      <c r="M12" s="58" t="s">
        <v>71</v>
      </c>
      <c r="N12" s="61" t="s">
        <v>65</v>
      </c>
      <c r="O12" s="29"/>
      <c r="P12" s="58" t="s">
        <v>280</v>
      </c>
      <c r="Q12" s="58" t="s">
        <v>298</v>
      </c>
      <c r="R12" s="61" t="s">
        <v>299</v>
      </c>
      <c r="S12" s="29"/>
      <c r="T12" s="23">
        <v>690</v>
      </c>
      <c r="U12" s="28" t="str">
        <f>"450,0870"</f>
        <v>450,0870</v>
      </c>
      <c r="V12" s="11" t="s">
        <v>18</v>
      </c>
    </row>
    <row r="13" spans="1:22" ht="12.75">
      <c r="A13" s="63">
        <v>2</v>
      </c>
      <c r="B13" s="13" t="s">
        <v>300</v>
      </c>
      <c r="C13" s="13" t="s">
        <v>301</v>
      </c>
      <c r="D13" s="13" t="s">
        <v>302</v>
      </c>
      <c r="E13" s="13" t="str">
        <f>"0,6384"</f>
        <v>0,6384</v>
      </c>
      <c r="F13" s="13" t="s">
        <v>14</v>
      </c>
      <c r="G13" s="13" t="s">
        <v>303</v>
      </c>
      <c r="H13" s="64" t="s">
        <v>298</v>
      </c>
      <c r="I13" s="64" t="s">
        <v>299</v>
      </c>
      <c r="J13" s="64" t="s">
        <v>304</v>
      </c>
      <c r="K13" s="33"/>
      <c r="L13" s="64" t="s">
        <v>39</v>
      </c>
      <c r="M13" s="64" t="s">
        <v>220</v>
      </c>
      <c r="N13" s="65" t="s">
        <v>76</v>
      </c>
      <c r="O13" s="33"/>
      <c r="P13" s="64" t="s">
        <v>305</v>
      </c>
      <c r="Q13" s="64" t="s">
        <v>306</v>
      </c>
      <c r="R13" s="65" t="s">
        <v>307</v>
      </c>
      <c r="S13" s="33"/>
      <c r="T13" s="25">
        <v>690</v>
      </c>
      <c r="U13" s="32" t="str">
        <f>"440,4960"</f>
        <v>440,4960</v>
      </c>
      <c r="V13" s="13" t="s">
        <v>18</v>
      </c>
    </row>
    <row r="14" spans="1:22" ht="12.75">
      <c r="A14" s="63">
        <v>3</v>
      </c>
      <c r="B14" s="12" t="s">
        <v>308</v>
      </c>
      <c r="C14" s="12" t="s">
        <v>309</v>
      </c>
      <c r="D14" s="12" t="s">
        <v>310</v>
      </c>
      <c r="E14" s="12" t="str">
        <f>"0,6499"</f>
        <v>0,6499</v>
      </c>
      <c r="F14" s="12" t="s">
        <v>14</v>
      </c>
      <c r="G14" s="12" t="s">
        <v>373</v>
      </c>
      <c r="H14" s="59" t="s">
        <v>234</v>
      </c>
      <c r="I14" s="62" t="s">
        <v>266</v>
      </c>
      <c r="J14" s="62" t="s">
        <v>266</v>
      </c>
      <c r="K14" s="31"/>
      <c r="L14" s="59" t="s">
        <v>46</v>
      </c>
      <c r="M14" s="62" t="s">
        <v>148</v>
      </c>
      <c r="N14" s="62" t="s">
        <v>152</v>
      </c>
      <c r="O14" s="31"/>
      <c r="P14" s="59" t="s">
        <v>92</v>
      </c>
      <c r="Q14" s="62" t="s">
        <v>93</v>
      </c>
      <c r="R14" s="62" t="s">
        <v>93</v>
      </c>
      <c r="S14" s="31"/>
      <c r="T14" s="24">
        <v>577.5</v>
      </c>
      <c r="U14" s="30" t="str">
        <f>"375,3173"</f>
        <v>375,3173</v>
      </c>
      <c r="V14" s="12" t="s">
        <v>18</v>
      </c>
    </row>
    <row r="16" spans="2:21" ht="15.75">
      <c r="B16" s="84" t="s">
        <v>86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2" ht="12.75">
      <c r="A17" s="63">
        <v>1</v>
      </c>
      <c r="B17" s="14" t="s">
        <v>311</v>
      </c>
      <c r="C17" s="14" t="s">
        <v>312</v>
      </c>
      <c r="D17" s="14" t="s">
        <v>313</v>
      </c>
      <c r="E17" s="14" t="str">
        <f>"0,5885"</f>
        <v>0,5885</v>
      </c>
      <c r="F17" s="14" t="s">
        <v>14</v>
      </c>
      <c r="G17" s="14" t="s">
        <v>373</v>
      </c>
      <c r="H17" s="57" t="s">
        <v>93</v>
      </c>
      <c r="I17" s="57" t="s">
        <v>227</v>
      </c>
      <c r="J17" s="60" t="s">
        <v>294</v>
      </c>
      <c r="K17" s="34"/>
      <c r="L17" s="60" t="s">
        <v>81</v>
      </c>
      <c r="M17" s="57" t="s">
        <v>81</v>
      </c>
      <c r="N17" s="57" t="s">
        <v>221</v>
      </c>
      <c r="O17" s="34"/>
      <c r="P17" s="60" t="s">
        <v>280</v>
      </c>
      <c r="Q17" s="60" t="s">
        <v>280</v>
      </c>
      <c r="R17" s="57" t="s">
        <v>280</v>
      </c>
      <c r="S17" s="34"/>
      <c r="T17" s="26">
        <v>680</v>
      </c>
      <c r="U17" s="35" t="str">
        <f>"400,1800"</f>
        <v>400,1800</v>
      </c>
      <c r="V17" s="14" t="s">
        <v>18</v>
      </c>
    </row>
  </sheetData>
  <sheetProtection/>
  <mergeCells count="18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6:U16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G34" sqref="G34"/>
    </sheetView>
  </sheetViews>
  <sheetFormatPr defaultColWidth="8.75390625" defaultRowHeight="12.75"/>
  <cols>
    <col min="1" max="1" width="9.125" style="63" customWidth="1"/>
    <col min="2" max="2" width="19.625" style="10" customWidth="1"/>
    <col min="3" max="3" width="26.75390625" style="10" customWidth="1"/>
    <col min="4" max="4" width="10.625" style="10" bestFit="1" customWidth="1"/>
    <col min="5" max="5" width="8.375" style="10" bestFit="1" customWidth="1"/>
    <col min="6" max="6" width="14.625" style="10" customWidth="1"/>
    <col min="7" max="7" width="28.625" style="10" bestFit="1" customWidth="1"/>
    <col min="8" max="10" width="5.625" style="22" bestFit="1" customWidth="1"/>
    <col min="11" max="11" width="4.625" style="22" bestFit="1" customWidth="1"/>
    <col min="12" max="14" width="5.625" style="22" bestFit="1" customWidth="1"/>
    <col min="15" max="15" width="4.625" style="22" bestFit="1" customWidth="1"/>
    <col min="16" max="18" width="5.625" style="22" bestFit="1" customWidth="1"/>
    <col min="19" max="19" width="4.625" style="22" bestFit="1" customWidth="1"/>
    <col min="20" max="20" width="7.875" style="27" bestFit="1" customWidth="1"/>
    <col min="21" max="21" width="8.625" style="22" bestFit="1" customWidth="1"/>
    <col min="22" max="22" width="16.25390625" style="10" bestFit="1" customWidth="1"/>
  </cols>
  <sheetData>
    <row r="1" spans="1:22" s="1" customFormat="1" ht="15" customHeight="1">
      <c r="A1" s="46"/>
      <c r="B1" s="85" t="s">
        <v>488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s="1" customFormat="1" ht="90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1</v>
      </c>
      <c r="I3" s="79"/>
      <c r="J3" s="79"/>
      <c r="K3" s="79"/>
      <c r="L3" s="79" t="s">
        <v>2</v>
      </c>
      <c r="M3" s="79"/>
      <c r="N3" s="79"/>
      <c r="O3" s="79"/>
      <c r="P3" s="79" t="s">
        <v>3</v>
      </c>
      <c r="Q3" s="79"/>
      <c r="R3" s="79"/>
      <c r="S3" s="79"/>
      <c r="T3" s="100" t="s">
        <v>4</v>
      </c>
      <c r="U3" s="79" t="s">
        <v>6</v>
      </c>
      <c r="V3" s="81" t="s">
        <v>5</v>
      </c>
    </row>
    <row r="4" spans="1:22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1"/>
      <c r="U4" s="80"/>
      <c r="V4" s="82"/>
    </row>
    <row r="5" spans="2:21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2:22" ht="12.75">
      <c r="B6" s="14" t="s">
        <v>235</v>
      </c>
      <c r="C6" s="14" t="s">
        <v>236</v>
      </c>
      <c r="D6" s="14" t="s">
        <v>237</v>
      </c>
      <c r="E6" s="14" t="str">
        <f>"1,1281"</f>
        <v>1,1281</v>
      </c>
      <c r="F6" s="14" t="s">
        <v>127</v>
      </c>
      <c r="G6" s="14" t="s">
        <v>23</v>
      </c>
      <c r="H6" s="60" t="s">
        <v>129</v>
      </c>
      <c r="I6" s="60" t="s">
        <v>130</v>
      </c>
      <c r="J6" s="60" t="s">
        <v>130</v>
      </c>
      <c r="K6" s="34"/>
      <c r="L6" s="34"/>
      <c r="M6" s="34"/>
      <c r="N6" s="34"/>
      <c r="O6" s="34"/>
      <c r="P6" s="34"/>
      <c r="Q6" s="34"/>
      <c r="R6" s="34"/>
      <c r="S6" s="34"/>
      <c r="T6" s="55">
        <v>0</v>
      </c>
      <c r="U6" s="35" t="s">
        <v>371</v>
      </c>
      <c r="V6" s="14" t="s">
        <v>361</v>
      </c>
    </row>
    <row r="8" spans="2:21" ht="15.75">
      <c r="B8" s="84" t="s">
        <v>10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2" ht="12.75">
      <c r="A9" s="63">
        <v>1</v>
      </c>
      <c r="B9" s="14" t="s">
        <v>238</v>
      </c>
      <c r="C9" s="14" t="s">
        <v>239</v>
      </c>
      <c r="D9" s="14" t="s">
        <v>240</v>
      </c>
      <c r="E9" s="14" t="str">
        <f>"1,0479"</f>
        <v>1,0479</v>
      </c>
      <c r="F9" s="14" t="s">
        <v>127</v>
      </c>
      <c r="G9" s="14" t="s">
        <v>23</v>
      </c>
      <c r="H9" s="60" t="s">
        <v>129</v>
      </c>
      <c r="I9" s="57" t="s">
        <v>85</v>
      </c>
      <c r="J9" s="57" t="s">
        <v>17</v>
      </c>
      <c r="K9" s="34"/>
      <c r="L9" s="57" t="s">
        <v>31</v>
      </c>
      <c r="M9" s="57" t="s">
        <v>200</v>
      </c>
      <c r="N9" s="60" t="s">
        <v>241</v>
      </c>
      <c r="O9" s="34"/>
      <c r="P9" s="57" t="s">
        <v>85</v>
      </c>
      <c r="Q9" s="57" t="s">
        <v>156</v>
      </c>
      <c r="R9" s="57" t="s">
        <v>207</v>
      </c>
      <c r="S9" s="34"/>
      <c r="T9" s="26">
        <v>250</v>
      </c>
      <c r="U9" s="35" t="str">
        <f>"261,9750"</f>
        <v>261,9750</v>
      </c>
      <c r="V9" s="14" t="s">
        <v>361</v>
      </c>
    </row>
    <row r="11" spans="2:21" ht="15.75">
      <c r="B11" s="84" t="s">
        <v>27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2" ht="12.75">
      <c r="A12" s="63">
        <v>1</v>
      </c>
      <c r="B12" s="14" t="s">
        <v>242</v>
      </c>
      <c r="C12" s="14" t="s">
        <v>243</v>
      </c>
      <c r="D12" s="14" t="s">
        <v>244</v>
      </c>
      <c r="E12" s="14" t="str">
        <f>"0,8874"</f>
        <v>0,8874</v>
      </c>
      <c r="F12" s="14" t="s">
        <v>14</v>
      </c>
      <c r="G12" s="14" t="s">
        <v>357</v>
      </c>
      <c r="H12" s="57" t="s">
        <v>202</v>
      </c>
      <c r="I12" s="60" t="s">
        <v>128</v>
      </c>
      <c r="J12" s="57" t="s">
        <v>128</v>
      </c>
      <c r="K12" s="34"/>
      <c r="L12" s="57" t="s">
        <v>200</v>
      </c>
      <c r="M12" s="60" t="s">
        <v>202</v>
      </c>
      <c r="N12" s="60" t="s">
        <v>202</v>
      </c>
      <c r="O12" s="34"/>
      <c r="P12" s="57" t="s">
        <v>130</v>
      </c>
      <c r="Q12" s="57" t="s">
        <v>24</v>
      </c>
      <c r="R12" s="60" t="s">
        <v>156</v>
      </c>
      <c r="S12" s="34"/>
      <c r="T12" s="26">
        <v>195</v>
      </c>
      <c r="U12" s="35" t="str">
        <f>"173,0430"</f>
        <v>173,0430</v>
      </c>
      <c r="V12" s="14" t="s">
        <v>18</v>
      </c>
    </row>
    <row r="14" spans="2:21" ht="15.75">
      <c r="B14" s="84" t="s">
        <v>10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2" ht="12.75">
      <c r="A15" s="63">
        <v>1</v>
      </c>
      <c r="B15" s="11" t="s">
        <v>245</v>
      </c>
      <c r="C15" s="11" t="s">
        <v>246</v>
      </c>
      <c r="D15" s="11" t="s">
        <v>247</v>
      </c>
      <c r="E15" s="11" t="str">
        <f>"0,8212"</f>
        <v>0,8212</v>
      </c>
      <c r="F15" s="12" t="s">
        <v>14</v>
      </c>
      <c r="G15" s="11" t="s">
        <v>357</v>
      </c>
      <c r="H15" s="58" t="s">
        <v>24</v>
      </c>
      <c r="I15" s="58" t="s">
        <v>25</v>
      </c>
      <c r="J15" s="61" t="s">
        <v>157</v>
      </c>
      <c r="K15" s="29"/>
      <c r="L15" s="58" t="s">
        <v>130</v>
      </c>
      <c r="M15" s="58" t="s">
        <v>15</v>
      </c>
      <c r="N15" s="61" t="s">
        <v>16</v>
      </c>
      <c r="O15" s="29"/>
      <c r="P15" s="58" t="s">
        <v>38</v>
      </c>
      <c r="Q15" s="58" t="s">
        <v>220</v>
      </c>
      <c r="R15" s="61" t="s">
        <v>71</v>
      </c>
      <c r="S15" s="29"/>
      <c r="T15" s="23">
        <v>332.5</v>
      </c>
      <c r="U15" s="28" t="str">
        <f>"273,0490"</f>
        <v>273,0490</v>
      </c>
      <c r="V15" s="11" t="s">
        <v>372</v>
      </c>
    </row>
    <row r="16" spans="1:22" ht="12.75">
      <c r="A16" s="63">
        <v>2</v>
      </c>
      <c r="B16" s="13" t="s">
        <v>248</v>
      </c>
      <c r="C16" s="13" t="s">
        <v>249</v>
      </c>
      <c r="D16" s="13" t="s">
        <v>250</v>
      </c>
      <c r="E16" s="13" t="str">
        <f>"0,8089"</f>
        <v>0,8089</v>
      </c>
      <c r="F16" s="13" t="s">
        <v>127</v>
      </c>
      <c r="G16" s="13" t="s">
        <v>23</v>
      </c>
      <c r="H16" s="64" t="s">
        <v>130</v>
      </c>
      <c r="I16" s="64" t="s">
        <v>208</v>
      </c>
      <c r="J16" s="64" t="s">
        <v>24</v>
      </c>
      <c r="K16" s="33"/>
      <c r="L16" s="64" t="s">
        <v>241</v>
      </c>
      <c r="M16" s="64" t="s">
        <v>216</v>
      </c>
      <c r="N16" s="65" t="s">
        <v>129</v>
      </c>
      <c r="O16" s="33"/>
      <c r="P16" s="64" t="s">
        <v>85</v>
      </c>
      <c r="Q16" s="64" t="s">
        <v>156</v>
      </c>
      <c r="R16" s="64" t="s">
        <v>134</v>
      </c>
      <c r="S16" s="33"/>
      <c r="T16" s="25">
        <v>267.5</v>
      </c>
      <c r="U16" s="32" t="str">
        <f>"216,3807"</f>
        <v>216,3807</v>
      </c>
      <c r="V16" s="13" t="s">
        <v>361</v>
      </c>
    </row>
    <row r="17" spans="1:22" ht="12.75">
      <c r="A17" s="63">
        <v>3</v>
      </c>
      <c r="B17" s="13" t="s">
        <v>251</v>
      </c>
      <c r="C17" s="13" t="s">
        <v>252</v>
      </c>
      <c r="D17" s="13" t="s">
        <v>253</v>
      </c>
      <c r="E17" s="13" t="str">
        <f>"0,7729"</f>
        <v>0,7729</v>
      </c>
      <c r="F17" s="13" t="s">
        <v>127</v>
      </c>
      <c r="G17" s="13" t="s">
        <v>23</v>
      </c>
      <c r="H17" s="65" t="s">
        <v>254</v>
      </c>
      <c r="I17" s="65" t="s">
        <v>254</v>
      </c>
      <c r="J17" s="64" t="s">
        <v>254</v>
      </c>
      <c r="K17" s="33"/>
      <c r="L17" s="64" t="s">
        <v>255</v>
      </c>
      <c r="M17" s="64" t="s">
        <v>256</v>
      </c>
      <c r="N17" s="65" t="s">
        <v>254</v>
      </c>
      <c r="O17" s="33"/>
      <c r="P17" s="64" t="s">
        <v>17</v>
      </c>
      <c r="Q17" s="64" t="s">
        <v>156</v>
      </c>
      <c r="R17" s="65" t="s">
        <v>134</v>
      </c>
      <c r="S17" s="33"/>
      <c r="T17" s="25">
        <v>240</v>
      </c>
      <c r="U17" s="32" t="str">
        <f>"185,4960"</f>
        <v>185,4960</v>
      </c>
      <c r="V17" s="13" t="s">
        <v>361</v>
      </c>
    </row>
    <row r="18" spans="1:22" ht="12.75">
      <c r="A18" s="63">
        <v>1</v>
      </c>
      <c r="B18" s="12" t="s">
        <v>257</v>
      </c>
      <c r="C18" s="12" t="s">
        <v>258</v>
      </c>
      <c r="D18" s="12" t="s">
        <v>259</v>
      </c>
      <c r="E18" s="12" t="str">
        <f>"0,7872"</f>
        <v>0,7872</v>
      </c>
      <c r="F18" s="12" t="s">
        <v>14</v>
      </c>
      <c r="G18" s="12" t="s">
        <v>357</v>
      </c>
      <c r="H18" s="59" t="s">
        <v>71</v>
      </c>
      <c r="I18" s="59" t="s">
        <v>65</v>
      </c>
      <c r="J18" s="62" t="s">
        <v>81</v>
      </c>
      <c r="K18" s="31"/>
      <c r="L18" s="59" t="s">
        <v>135</v>
      </c>
      <c r="M18" s="62" t="s">
        <v>37</v>
      </c>
      <c r="N18" s="62" t="s">
        <v>37</v>
      </c>
      <c r="O18" s="31"/>
      <c r="P18" s="59" t="s">
        <v>71</v>
      </c>
      <c r="Q18" s="59" t="s">
        <v>65</v>
      </c>
      <c r="R18" s="62" t="s">
        <v>81</v>
      </c>
      <c r="S18" s="31"/>
      <c r="T18" s="24">
        <v>475</v>
      </c>
      <c r="U18" s="30" t="str">
        <f>"373,9200"</f>
        <v>373,9200</v>
      </c>
      <c r="V18" s="12" t="s">
        <v>18</v>
      </c>
    </row>
    <row r="20" spans="2:21" ht="15.75">
      <c r="B20" s="84" t="s">
        <v>40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2" ht="12.75">
      <c r="A21" s="63">
        <v>1</v>
      </c>
      <c r="B21" s="14" t="s">
        <v>260</v>
      </c>
      <c r="C21" s="14" t="s">
        <v>261</v>
      </c>
      <c r="D21" s="14" t="s">
        <v>262</v>
      </c>
      <c r="E21" s="14" t="str">
        <f>"0,6832"</f>
        <v>0,6832</v>
      </c>
      <c r="F21" s="14" t="s">
        <v>127</v>
      </c>
      <c r="G21" s="14" t="s">
        <v>23</v>
      </c>
      <c r="H21" s="57" t="s">
        <v>134</v>
      </c>
      <c r="I21" s="57" t="s">
        <v>37</v>
      </c>
      <c r="J21" s="57" t="s">
        <v>38</v>
      </c>
      <c r="K21" s="34"/>
      <c r="L21" s="57" t="s">
        <v>130</v>
      </c>
      <c r="M21" s="60" t="s">
        <v>85</v>
      </c>
      <c r="N21" s="60" t="s">
        <v>85</v>
      </c>
      <c r="O21" s="34"/>
      <c r="P21" s="57" t="s">
        <v>38</v>
      </c>
      <c r="Q21" s="57" t="s">
        <v>148</v>
      </c>
      <c r="R21" s="57" t="s">
        <v>220</v>
      </c>
      <c r="S21" s="34"/>
      <c r="T21" s="26">
        <v>370</v>
      </c>
      <c r="U21" s="35" t="str">
        <f>"252,7840"</f>
        <v>252,7840</v>
      </c>
      <c r="V21" s="14" t="s">
        <v>361</v>
      </c>
    </row>
    <row r="23" spans="2:21" ht="15.75">
      <c r="B23" s="84" t="s">
        <v>61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2" ht="12.75">
      <c r="A24" s="63">
        <v>1</v>
      </c>
      <c r="B24" s="11" t="s">
        <v>263</v>
      </c>
      <c r="C24" s="11" t="s">
        <v>264</v>
      </c>
      <c r="D24" s="11" t="s">
        <v>265</v>
      </c>
      <c r="E24" s="11" t="str">
        <f>"0,6575"</f>
        <v>0,6575</v>
      </c>
      <c r="F24" s="11" t="s">
        <v>14</v>
      </c>
      <c r="G24" s="11" t="s">
        <v>23</v>
      </c>
      <c r="H24" s="58" t="s">
        <v>152</v>
      </c>
      <c r="I24" s="58" t="s">
        <v>76</v>
      </c>
      <c r="J24" s="61" t="s">
        <v>71</v>
      </c>
      <c r="K24" s="29"/>
      <c r="L24" s="58" t="s">
        <v>37</v>
      </c>
      <c r="M24" s="58" t="s">
        <v>45</v>
      </c>
      <c r="N24" s="61" t="s">
        <v>46</v>
      </c>
      <c r="O24" s="29"/>
      <c r="P24" s="58" t="s">
        <v>91</v>
      </c>
      <c r="Q24" s="58" t="s">
        <v>266</v>
      </c>
      <c r="R24" s="61" t="s">
        <v>227</v>
      </c>
      <c r="S24" s="29"/>
      <c r="T24" s="23">
        <v>522.5</v>
      </c>
      <c r="U24" s="28" t="str">
        <f>"343,5438"</f>
        <v>343,5438</v>
      </c>
      <c r="V24" s="11" t="s">
        <v>18</v>
      </c>
    </row>
    <row r="25" spans="1:22" ht="12.75">
      <c r="A25" s="63">
        <v>1</v>
      </c>
      <c r="B25" s="13" t="s">
        <v>267</v>
      </c>
      <c r="C25" s="13" t="s">
        <v>268</v>
      </c>
      <c r="D25" s="13" t="s">
        <v>269</v>
      </c>
      <c r="E25" s="13" t="str">
        <f>"0,6610"</f>
        <v>0,6610</v>
      </c>
      <c r="F25" s="13" t="s">
        <v>127</v>
      </c>
      <c r="G25" s="13" t="s">
        <v>23</v>
      </c>
      <c r="H25" s="65" t="s">
        <v>76</v>
      </c>
      <c r="I25" s="65" t="s">
        <v>76</v>
      </c>
      <c r="J25" s="64" t="s">
        <v>76</v>
      </c>
      <c r="K25" s="33"/>
      <c r="L25" s="64" t="s">
        <v>166</v>
      </c>
      <c r="M25" s="64" t="s">
        <v>38</v>
      </c>
      <c r="N25" s="64" t="s">
        <v>152</v>
      </c>
      <c r="O25" s="33"/>
      <c r="P25" s="64" t="s">
        <v>81</v>
      </c>
      <c r="Q25" s="64" t="s">
        <v>270</v>
      </c>
      <c r="R25" s="64" t="s">
        <v>271</v>
      </c>
      <c r="S25" s="33"/>
      <c r="T25" s="25">
        <v>537.5</v>
      </c>
      <c r="U25" s="32" t="str">
        <f>"355,2875"</f>
        <v>355,2875</v>
      </c>
      <c r="V25" s="13" t="s">
        <v>361</v>
      </c>
    </row>
    <row r="26" spans="1:22" ht="12.75">
      <c r="A26" s="63">
        <v>2</v>
      </c>
      <c r="B26" s="12" t="s">
        <v>272</v>
      </c>
      <c r="C26" s="12" t="s">
        <v>273</v>
      </c>
      <c r="D26" s="12" t="s">
        <v>274</v>
      </c>
      <c r="E26" s="12" t="str">
        <f>"0,6566"</f>
        <v>0,6566</v>
      </c>
      <c r="F26" s="12" t="s">
        <v>14</v>
      </c>
      <c r="G26" s="12" t="s">
        <v>357</v>
      </c>
      <c r="H26" s="59" t="s">
        <v>134</v>
      </c>
      <c r="I26" s="59" t="s">
        <v>57</v>
      </c>
      <c r="J26" s="62" t="s">
        <v>39</v>
      </c>
      <c r="K26" s="31"/>
      <c r="L26" s="59" t="s">
        <v>25</v>
      </c>
      <c r="M26" s="59" t="s">
        <v>156</v>
      </c>
      <c r="N26" s="59" t="s">
        <v>157</v>
      </c>
      <c r="O26" s="31"/>
      <c r="P26" s="59" t="s">
        <v>38</v>
      </c>
      <c r="Q26" s="59" t="s">
        <v>51</v>
      </c>
      <c r="R26" s="62" t="s">
        <v>71</v>
      </c>
      <c r="S26" s="31"/>
      <c r="T26" s="24">
        <v>405</v>
      </c>
      <c r="U26" s="30" t="str">
        <f>"265,9230"</f>
        <v>265,9230</v>
      </c>
      <c r="V26" s="12" t="s">
        <v>18</v>
      </c>
    </row>
    <row r="28" spans="2:21" ht="15.75">
      <c r="B28" s="84" t="s">
        <v>183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2" ht="12.75">
      <c r="A29" s="63">
        <v>1</v>
      </c>
      <c r="B29" s="14" t="s">
        <v>275</v>
      </c>
      <c r="C29" s="14" t="s">
        <v>276</v>
      </c>
      <c r="D29" s="14" t="s">
        <v>277</v>
      </c>
      <c r="E29" s="14" t="str">
        <f>"0,5755"</f>
        <v>0,5755</v>
      </c>
      <c r="F29" s="14" t="s">
        <v>14</v>
      </c>
      <c r="G29" s="14" t="s">
        <v>357</v>
      </c>
      <c r="H29" s="57" t="s">
        <v>221</v>
      </c>
      <c r="I29" s="60" t="s">
        <v>278</v>
      </c>
      <c r="J29" s="57" t="s">
        <v>278</v>
      </c>
      <c r="K29" s="34"/>
      <c r="L29" s="57" t="s">
        <v>152</v>
      </c>
      <c r="M29" s="57" t="s">
        <v>279</v>
      </c>
      <c r="N29" s="57" t="s">
        <v>226</v>
      </c>
      <c r="O29" s="34"/>
      <c r="P29" s="57" t="s">
        <v>221</v>
      </c>
      <c r="Q29" s="57" t="s">
        <v>222</v>
      </c>
      <c r="R29" s="57" t="s">
        <v>92</v>
      </c>
      <c r="S29" s="34"/>
      <c r="T29" s="26">
        <v>590</v>
      </c>
      <c r="U29" s="35" t="str">
        <f>"339,5450"</f>
        <v>339,5450</v>
      </c>
      <c r="V29" s="14" t="s">
        <v>18</v>
      </c>
    </row>
    <row r="31" spans="2:3" ht="18">
      <c r="B31" s="15" t="s">
        <v>109</v>
      </c>
      <c r="C31" s="15"/>
    </row>
    <row r="32" spans="2:3" ht="15.75">
      <c r="B32" s="16" t="s">
        <v>117</v>
      </c>
      <c r="C32" s="16"/>
    </row>
    <row r="33" spans="2:3" ht="13.5">
      <c r="B33" s="18"/>
      <c r="C33" s="19" t="s">
        <v>118</v>
      </c>
    </row>
    <row r="34" spans="2:6" ht="13.5">
      <c r="B34" s="20" t="s">
        <v>111</v>
      </c>
      <c r="C34" s="20" t="s">
        <v>112</v>
      </c>
      <c r="D34" s="20" t="s">
        <v>113</v>
      </c>
      <c r="E34" s="20" t="s">
        <v>114</v>
      </c>
      <c r="F34" s="20" t="s">
        <v>115</v>
      </c>
    </row>
    <row r="35" spans="1:6" ht="12.75">
      <c r="A35" s="63">
        <v>1</v>
      </c>
      <c r="B35" s="17" t="s">
        <v>245</v>
      </c>
      <c r="C35" s="21" t="s">
        <v>119</v>
      </c>
      <c r="D35" s="22" t="s">
        <v>116</v>
      </c>
      <c r="E35" s="22" t="s">
        <v>281</v>
      </c>
      <c r="F35" s="22" t="s">
        <v>282</v>
      </c>
    </row>
    <row r="36" spans="1:6" ht="12.75">
      <c r="A36" s="63">
        <v>2</v>
      </c>
      <c r="B36" s="17" t="s">
        <v>260</v>
      </c>
      <c r="C36" s="21" t="s">
        <v>119</v>
      </c>
      <c r="D36" s="22" t="s">
        <v>120</v>
      </c>
      <c r="E36" s="22" t="s">
        <v>283</v>
      </c>
      <c r="F36" s="22" t="s">
        <v>284</v>
      </c>
    </row>
    <row r="37" spans="1:6" ht="12.75">
      <c r="A37" s="63">
        <v>3</v>
      </c>
      <c r="B37" s="17" t="s">
        <v>248</v>
      </c>
      <c r="C37" s="21" t="s">
        <v>119</v>
      </c>
      <c r="D37" s="22" t="s">
        <v>116</v>
      </c>
      <c r="E37" s="22" t="s">
        <v>285</v>
      </c>
      <c r="F37" s="22" t="s">
        <v>286</v>
      </c>
    </row>
  </sheetData>
  <sheetProtection/>
  <mergeCells count="21">
    <mergeCell ref="B1:V2"/>
    <mergeCell ref="B3:B4"/>
    <mergeCell ref="C3:C4"/>
    <mergeCell ref="D3:D4"/>
    <mergeCell ref="E3:E4"/>
    <mergeCell ref="L3:O3"/>
    <mergeCell ref="A3:A4"/>
    <mergeCell ref="V3:V4"/>
    <mergeCell ref="B5:U5"/>
    <mergeCell ref="B8:U8"/>
    <mergeCell ref="B11:U11"/>
    <mergeCell ref="P3:S3"/>
    <mergeCell ref="F3:F4"/>
    <mergeCell ref="B14:U14"/>
    <mergeCell ref="B20:U20"/>
    <mergeCell ref="B23:U23"/>
    <mergeCell ref="B28:U28"/>
    <mergeCell ref="T3:T4"/>
    <mergeCell ref="U3:U4"/>
    <mergeCell ref="G3:G4"/>
    <mergeCell ref="H3:K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C33" sqref="C33"/>
    </sheetView>
  </sheetViews>
  <sheetFormatPr defaultColWidth="8.75390625" defaultRowHeight="12.75"/>
  <cols>
    <col min="1" max="1" width="9.125" style="63" customWidth="1"/>
    <col min="2" max="2" width="26.00390625" style="10" bestFit="1" customWidth="1"/>
    <col min="3" max="3" width="26.625" style="10" bestFit="1" customWidth="1"/>
    <col min="4" max="4" width="10.625" style="10" bestFit="1" customWidth="1"/>
    <col min="5" max="5" width="8.375" style="10" bestFit="1" customWidth="1"/>
    <col min="6" max="6" width="12.875" style="10" customWidth="1"/>
    <col min="7" max="7" width="28.625" style="10" bestFit="1" customWidth="1"/>
    <col min="8" max="10" width="5.625" style="22" bestFit="1" customWidth="1"/>
    <col min="11" max="11" width="4.625" style="22" bestFit="1" customWidth="1"/>
    <col min="12" max="14" width="5.625" style="22" bestFit="1" customWidth="1"/>
    <col min="15" max="15" width="4.625" style="22" bestFit="1" customWidth="1"/>
    <col min="16" max="18" width="5.625" style="22" bestFit="1" customWidth="1"/>
    <col min="19" max="19" width="4.625" style="22" bestFit="1" customWidth="1"/>
    <col min="20" max="20" width="7.875" style="27" bestFit="1" customWidth="1"/>
    <col min="21" max="21" width="8.625" style="22" bestFit="1" customWidth="1"/>
    <col min="22" max="22" width="20.625" style="10" bestFit="1" customWidth="1"/>
  </cols>
  <sheetData>
    <row r="1" spans="1:22" s="1" customFormat="1" ht="15" customHeight="1">
      <c r="A1" s="46"/>
      <c r="B1" s="85" t="s">
        <v>489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s="1" customFormat="1" ht="87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1</v>
      </c>
      <c r="I3" s="79"/>
      <c r="J3" s="79"/>
      <c r="K3" s="79"/>
      <c r="L3" s="79" t="s">
        <v>2</v>
      </c>
      <c r="M3" s="79"/>
      <c r="N3" s="79"/>
      <c r="O3" s="79"/>
      <c r="P3" s="79" t="s">
        <v>3</v>
      </c>
      <c r="Q3" s="79"/>
      <c r="R3" s="79"/>
      <c r="S3" s="79"/>
      <c r="T3" s="100" t="s">
        <v>4</v>
      </c>
      <c r="U3" s="79" t="s">
        <v>6</v>
      </c>
      <c r="V3" s="81" t="s">
        <v>5</v>
      </c>
    </row>
    <row r="4" spans="1:22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1"/>
      <c r="U4" s="80"/>
      <c r="V4" s="82"/>
    </row>
    <row r="5" spans="2:21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2" ht="12.75">
      <c r="A6" s="63">
        <v>1</v>
      </c>
      <c r="B6" s="14" t="s">
        <v>197</v>
      </c>
      <c r="C6" s="14" t="s">
        <v>198</v>
      </c>
      <c r="D6" s="14" t="s">
        <v>199</v>
      </c>
      <c r="E6" s="14" t="str">
        <f>"1,1416"</f>
        <v>1,1416</v>
      </c>
      <c r="F6" s="14" t="s">
        <v>14</v>
      </c>
      <c r="G6" s="14" t="s">
        <v>357</v>
      </c>
      <c r="H6" s="60" t="s">
        <v>130</v>
      </c>
      <c r="I6" s="57" t="s">
        <v>130</v>
      </c>
      <c r="J6" s="60" t="s">
        <v>85</v>
      </c>
      <c r="K6" s="34"/>
      <c r="L6" s="57" t="s">
        <v>200</v>
      </c>
      <c r="M6" s="57" t="s">
        <v>201</v>
      </c>
      <c r="N6" s="57" t="s">
        <v>202</v>
      </c>
      <c r="O6" s="34"/>
      <c r="P6" s="57" t="s">
        <v>129</v>
      </c>
      <c r="Q6" s="57" t="s">
        <v>24</v>
      </c>
      <c r="R6" s="34"/>
      <c r="S6" s="34"/>
      <c r="T6" s="26">
        <v>215</v>
      </c>
      <c r="U6" s="35" t="str">
        <f>"245,4440"</f>
        <v>245,4440</v>
      </c>
      <c r="V6" s="14" t="s">
        <v>18</v>
      </c>
    </row>
    <row r="8" spans="2:21" ht="15.75">
      <c r="B8" s="84" t="s">
        <v>10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2" ht="12.75">
      <c r="A9" s="63">
        <v>1</v>
      </c>
      <c r="B9" s="14" t="s">
        <v>203</v>
      </c>
      <c r="C9" s="14" t="s">
        <v>204</v>
      </c>
      <c r="D9" s="14" t="s">
        <v>205</v>
      </c>
      <c r="E9" s="14" t="str">
        <f>"0,7952"</f>
        <v>0,7952</v>
      </c>
      <c r="F9" s="14" t="s">
        <v>14</v>
      </c>
      <c r="G9" s="14" t="s">
        <v>23</v>
      </c>
      <c r="H9" s="57" t="s">
        <v>156</v>
      </c>
      <c r="I9" s="57" t="s">
        <v>206</v>
      </c>
      <c r="J9" s="57" t="s">
        <v>207</v>
      </c>
      <c r="K9" s="34"/>
      <c r="L9" s="57" t="s">
        <v>129</v>
      </c>
      <c r="M9" s="57" t="s">
        <v>130</v>
      </c>
      <c r="N9" s="60" t="s">
        <v>208</v>
      </c>
      <c r="O9" s="34"/>
      <c r="P9" s="60" t="s">
        <v>134</v>
      </c>
      <c r="Q9" s="57" t="s">
        <v>37</v>
      </c>
      <c r="R9" s="60" t="s">
        <v>38</v>
      </c>
      <c r="S9" s="34"/>
      <c r="T9" s="26">
        <v>320</v>
      </c>
      <c r="U9" s="35" t="str">
        <f>"254,4640"</f>
        <v>254,4640</v>
      </c>
      <c r="V9" s="14" t="s">
        <v>368</v>
      </c>
    </row>
    <row r="11" spans="2:21" ht="15.75">
      <c r="B11" s="84" t="s">
        <v>19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2" ht="12.75">
      <c r="A12" s="63">
        <v>1</v>
      </c>
      <c r="B12" s="11" t="s">
        <v>209</v>
      </c>
      <c r="C12" s="11" t="s">
        <v>210</v>
      </c>
      <c r="D12" s="11" t="s">
        <v>211</v>
      </c>
      <c r="E12" s="11" t="str">
        <f>"0,7665"</f>
        <v>0,7665</v>
      </c>
      <c r="F12" s="11" t="s">
        <v>14</v>
      </c>
      <c r="G12" s="11" t="s">
        <v>23</v>
      </c>
      <c r="H12" s="58" t="s">
        <v>156</v>
      </c>
      <c r="I12" s="61" t="s">
        <v>206</v>
      </c>
      <c r="J12" s="61" t="s">
        <v>140</v>
      </c>
      <c r="K12" s="29"/>
      <c r="L12" s="58" t="s">
        <v>130</v>
      </c>
      <c r="M12" s="58" t="s">
        <v>85</v>
      </c>
      <c r="N12" s="61" t="s">
        <v>24</v>
      </c>
      <c r="O12" s="29"/>
      <c r="P12" s="58" t="s">
        <v>156</v>
      </c>
      <c r="Q12" s="58" t="s">
        <v>140</v>
      </c>
      <c r="R12" s="61" t="s">
        <v>134</v>
      </c>
      <c r="S12" s="29"/>
      <c r="T12" s="23">
        <v>290</v>
      </c>
      <c r="U12" s="28" t="str">
        <f>"222,2850"</f>
        <v>222,2850</v>
      </c>
      <c r="V12" s="11" t="s">
        <v>368</v>
      </c>
    </row>
    <row r="13" spans="1:22" ht="12.75">
      <c r="A13" s="63">
        <v>1</v>
      </c>
      <c r="B13" s="12" t="s">
        <v>212</v>
      </c>
      <c r="C13" s="12" t="s">
        <v>213</v>
      </c>
      <c r="D13" s="12" t="s">
        <v>214</v>
      </c>
      <c r="E13" s="12" t="str">
        <f>"0,7207"</f>
        <v>0,7207</v>
      </c>
      <c r="F13" s="12" t="s">
        <v>14</v>
      </c>
      <c r="G13" s="12" t="s">
        <v>23</v>
      </c>
      <c r="H13" s="59" t="s">
        <v>17</v>
      </c>
      <c r="I13" s="62" t="s">
        <v>25</v>
      </c>
      <c r="J13" s="59" t="s">
        <v>25</v>
      </c>
      <c r="K13" s="31"/>
      <c r="L13" s="59" t="s">
        <v>202</v>
      </c>
      <c r="M13" s="62" t="s">
        <v>215</v>
      </c>
      <c r="N13" s="62" t="s">
        <v>216</v>
      </c>
      <c r="O13" s="31"/>
      <c r="P13" s="59" t="s">
        <v>134</v>
      </c>
      <c r="Q13" s="62" t="s">
        <v>37</v>
      </c>
      <c r="R13" s="59" t="s">
        <v>57</v>
      </c>
      <c r="S13" s="31"/>
      <c r="T13" s="24">
        <v>285</v>
      </c>
      <c r="U13" s="30" t="str">
        <f>"205,3995"</f>
        <v>205,3995</v>
      </c>
      <c r="V13" s="12" t="s">
        <v>368</v>
      </c>
    </row>
    <row r="15" spans="2:21" ht="15.75">
      <c r="B15" s="84" t="s">
        <v>61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2" ht="12.75">
      <c r="A16" s="63">
        <v>1</v>
      </c>
      <c r="B16" s="11" t="s">
        <v>217</v>
      </c>
      <c r="C16" s="11" t="s">
        <v>218</v>
      </c>
      <c r="D16" s="11" t="s">
        <v>219</v>
      </c>
      <c r="E16" s="11" t="str">
        <f>"0,6463"</f>
        <v>0,6463</v>
      </c>
      <c r="F16" s="11" t="s">
        <v>127</v>
      </c>
      <c r="G16" s="11" t="s">
        <v>23</v>
      </c>
      <c r="H16" s="58" t="s">
        <v>220</v>
      </c>
      <c r="I16" s="58" t="s">
        <v>103</v>
      </c>
      <c r="J16" s="58" t="s">
        <v>81</v>
      </c>
      <c r="K16" s="29"/>
      <c r="L16" s="61" t="s">
        <v>134</v>
      </c>
      <c r="M16" s="58" t="s">
        <v>134</v>
      </c>
      <c r="N16" s="61" t="s">
        <v>37</v>
      </c>
      <c r="O16" s="29"/>
      <c r="P16" s="58" t="s">
        <v>65</v>
      </c>
      <c r="Q16" s="58" t="s">
        <v>221</v>
      </c>
      <c r="R16" s="61" t="s">
        <v>222</v>
      </c>
      <c r="S16" s="29"/>
      <c r="T16" s="23">
        <v>490</v>
      </c>
      <c r="U16" s="28" t="str">
        <f>"316,6870"</f>
        <v>316,6870</v>
      </c>
      <c r="V16" s="11" t="s">
        <v>358</v>
      </c>
    </row>
    <row r="17" spans="1:22" ht="12.75">
      <c r="A17" s="63">
        <v>1</v>
      </c>
      <c r="B17" s="12" t="s">
        <v>223</v>
      </c>
      <c r="C17" s="12" t="s">
        <v>224</v>
      </c>
      <c r="D17" s="12" t="s">
        <v>225</v>
      </c>
      <c r="E17" s="12" t="str">
        <f>"0,6583"</f>
        <v>0,6583</v>
      </c>
      <c r="F17" s="12" t="s">
        <v>14</v>
      </c>
      <c r="G17" s="12" t="s">
        <v>357</v>
      </c>
      <c r="H17" s="59" t="s">
        <v>221</v>
      </c>
      <c r="I17" s="62" t="s">
        <v>222</v>
      </c>
      <c r="J17" s="31"/>
      <c r="K17" s="31"/>
      <c r="L17" s="59" t="s">
        <v>220</v>
      </c>
      <c r="M17" s="59" t="s">
        <v>226</v>
      </c>
      <c r="N17" s="62" t="s">
        <v>71</v>
      </c>
      <c r="O17" s="31"/>
      <c r="P17" s="62" t="s">
        <v>227</v>
      </c>
      <c r="Q17" s="59" t="s">
        <v>227</v>
      </c>
      <c r="R17" s="31"/>
      <c r="S17" s="31"/>
      <c r="T17" s="24">
        <v>592.5</v>
      </c>
      <c r="U17" s="30" t="str">
        <f>"390,0427"</f>
        <v>390,0427</v>
      </c>
      <c r="V17" s="12" t="s">
        <v>18</v>
      </c>
    </row>
    <row r="19" spans="2:21" ht="15.75">
      <c r="B19" s="84" t="s">
        <v>86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2" ht="12.75">
      <c r="A20" s="63">
        <v>1</v>
      </c>
      <c r="B20" s="14" t="s">
        <v>228</v>
      </c>
      <c r="C20" s="14" t="s">
        <v>229</v>
      </c>
      <c r="D20" s="14" t="s">
        <v>230</v>
      </c>
      <c r="E20" s="14" t="str">
        <f>"0,5898"</f>
        <v>0,5898</v>
      </c>
      <c r="F20" s="14" t="s">
        <v>14</v>
      </c>
      <c r="G20" s="14" t="s">
        <v>75</v>
      </c>
      <c r="H20" s="57" t="s">
        <v>231</v>
      </c>
      <c r="I20" s="57" t="s">
        <v>232</v>
      </c>
      <c r="J20" s="34"/>
      <c r="K20" s="34"/>
      <c r="L20" s="57" t="s">
        <v>99</v>
      </c>
      <c r="M20" s="57" t="s">
        <v>222</v>
      </c>
      <c r="N20" s="34"/>
      <c r="O20" s="34"/>
      <c r="P20" s="57" t="s">
        <v>233</v>
      </c>
      <c r="Q20" s="34"/>
      <c r="R20" s="34"/>
      <c r="S20" s="34"/>
      <c r="T20" s="26">
        <v>800</v>
      </c>
      <c r="U20" s="35" t="str">
        <f>"471,8400"</f>
        <v>471,8400</v>
      </c>
      <c r="V20" s="14" t="s">
        <v>18</v>
      </c>
    </row>
  </sheetData>
  <sheetProtection/>
  <mergeCells count="19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5:U15"/>
    <mergeCell ref="B19:U19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22" sqref="D22"/>
    </sheetView>
  </sheetViews>
  <sheetFormatPr defaultColWidth="9.125" defaultRowHeight="12.75"/>
  <cols>
    <col min="1" max="1" width="9.125" style="1" customWidth="1"/>
    <col min="2" max="2" width="20.75390625" style="71" customWidth="1"/>
    <col min="3" max="3" width="27.875" style="1" bestFit="1" customWidth="1"/>
    <col min="4" max="4" width="10.625" style="1" bestFit="1" customWidth="1"/>
    <col min="5" max="5" width="8.375" style="1" bestFit="1" customWidth="1"/>
    <col min="6" max="6" width="12.875" style="4" customWidth="1"/>
    <col min="7" max="7" width="27.25390625" style="4" customWidth="1"/>
    <col min="8" max="10" width="5.625" style="1" bestFit="1" customWidth="1"/>
    <col min="11" max="11" width="4.625" style="1" bestFit="1" customWidth="1"/>
    <col min="12" max="12" width="11.75390625" style="71" customWidth="1"/>
    <col min="13" max="13" width="8.625" style="1" bestFit="1" customWidth="1"/>
    <col min="14" max="14" width="18.875" style="4" bestFit="1" customWidth="1"/>
    <col min="15" max="16384" width="9.125" style="1" customWidth="1"/>
  </cols>
  <sheetData>
    <row r="1" spans="2:14" ht="15" customHeight="1">
      <c r="B1" s="85" t="s">
        <v>494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2:14" ht="87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1</v>
      </c>
      <c r="I3" s="79"/>
      <c r="J3" s="79"/>
      <c r="K3" s="79"/>
      <c r="L3" s="79" t="s">
        <v>385</v>
      </c>
      <c r="M3" s="79" t="s">
        <v>6</v>
      </c>
      <c r="N3" s="81" t="s">
        <v>5</v>
      </c>
    </row>
    <row r="4" spans="1:14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80"/>
      <c r="M4" s="80"/>
      <c r="N4" s="82"/>
    </row>
    <row r="5" spans="2:13" ht="15.75">
      <c r="B5" s="10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2.75">
      <c r="A6" s="46" t="s">
        <v>382</v>
      </c>
      <c r="B6" s="36" t="s">
        <v>287</v>
      </c>
      <c r="C6" s="5" t="s">
        <v>288</v>
      </c>
      <c r="D6" s="5" t="s">
        <v>289</v>
      </c>
      <c r="E6" s="5" t="str">
        <f>"1,1478"</f>
        <v>1,1478</v>
      </c>
      <c r="F6" s="5" t="s">
        <v>14</v>
      </c>
      <c r="G6" s="5" t="s">
        <v>357</v>
      </c>
      <c r="H6" s="57" t="s">
        <v>156</v>
      </c>
      <c r="I6" s="57" t="s">
        <v>140</v>
      </c>
      <c r="J6" s="57" t="s">
        <v>134</v>
      </c>
      <c r="K6" s="48"/>
      <c r="L6" s="47" t="s">
        <v>134</v>
      </c>
      <c r="M6" s="47" t="str">
        <f>"137,7360"</f>
        <v>137,7360</v>
      </c>
      <c r="N6" s="5" t="s">
        <v>386</v>
      </c>
    </row>
  </sheetData>
  <sheetProtection/>
  <mergeCells count="13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A3:A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B22" sqref="B22:M22"/>
    </sheetView>
  </sheetViews>
  <sheetFormatPr defaultColWidth="8.75390625" defaultRowHeight="12.75"/>
  <cols>
    <col min="1" max="1" width="9.125" style="63" customWidth="1"/>
    <col min="2" max="2" width="23.875" style="10" customWidth="1"/>
    <col min="3" max="3" width="26.125" style="10" customWidth="1"/>
    <col min="4" max="4" width="10.625" style="10" bestFit="1" customWidth="1"/>
    <col min="5" max="5" width="8.375" style="10" bestFit="1" customWidth="1"/>
    <col min="6" max="6" width="14.00390625" style="10" customWidth="1"/>
    <col min="7" max="7" width="27.75390625" style="10" customWidth="1"/>
    <col min="8" max="10" width="5.625" style="22" bestFit="1" customWidth="1"/>
    <col min="11" max="11" width="4.625" style="22" bestFit="1" customWidth="1"/>
    <col min="12" max="12" width="10.875" style="27" customWidth="1"/>
    <col min="13" max="13" width="8.625" style="22" bestFit="1" customWidth="1"/>
    <col min="14" max="14" width="19.75390625" style="10" bestFit="1" customWidth="1"/>
  </cols>
  <sheetData>
    <row r="1" spans="1:14" s="1" customFormat="1" ht="15" customHeight="1">
      <c r="A1" s="46"/>
      <c r="B1" s="85" t="s">
        <v>490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83.25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2</v>
      </c>
      <c r="I3" s="79"/>
      <c r="J3" s="79"/>
      <c r="K3" s="79"/>
      <c r="L3" s="79" t="s">
        <v>385</v>
      </c>
      <c r="M3" s="79" t="s">
        <v>6</v>
      </c>
      <c r="N3" s="81" t="s">
        <v>5</v>
      </c>
    </row>
    <row r="4" spans="1:14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80"/>
      <c r="M4" s="80"/>
      <c r="N4" s="82"/>
    </row>
    <row r="5" spans="2:13" ht="15.75"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2.75">
      <c r="A6" s="63">
        <v>1</v>
      </c>
      <c r="B6" s="11" t="s">
        <v>124</v>
      </c>
      <c r="C6" s="11" t="s">
        <v>125</v>
      </c>
      <c r="D6" s="11" t="s">
        <v>126</v>
      </c>
      <c r="E6" s="11" t="str">
        <f>"0,8581"</f>
        <v>0,8581</v>
      </c>
      <c r="F6" s="11" t="s">
        <v>127</v>
      </c>
      <c r="G6" s="11" t="s">
        <v>23</v>
      </c>
      <c r="H6" s="58" t="s">
        <v>128</v>
      </c>
      <c r="I6" s="58" t="s">
        <v>129</v>
      </c>
      <c r="J6" s="58" t="s">
        <v>130</v>
      </c>
      <c r="K6" s="29"/>
      <c r="L6" s="23">
        <v>75</v>
      </c>
      <c r="M6" s="28" t="str">
        <f>"64,3575"</f>
        <v>64,3575</v>
      </c>
      <c r="N6" s="11" t="s">
        <v>358</v>
      </c>
    </row>
    <row r="7" spans="1:14" ht="12.75">
      <c r="A7" s="63">
        <v>1</v>
      </c>
      <c r="B7" s="12" t="s">
        <v>131</v>
      </c>
      <c r="C7" s="12" t="s">
        <v>132</v>
      </c>
      <c r="D7" s="12" t="s">
        <v>133</v>
      </c>
      <c r="E7" s="12" t="str">
        <f>"0,8621"</f>
        <v>0,8621</v>
      </c>
      <c r="F7" s="12" t="s">
        <v>14</v>
      </c>
      <c r="G7" s="12" t="s">
        <v>23</v>
      </c>
      <c r="H7" s="59" t="s">
        <v>134</v>
      </c>
      <c r="I7" s="62" t="s">
        <v>135</v>
      </c>
      <c r="J7" s="62" t="s">
        <v>135</v>
      </c>
      <c r="K7" s="31"/>
      <c r="L7" s="24">
        <v>120</v>
      </c>
      <c r="M7" s="30" t="str">
        <f>"103,4520"</f>
        <v>103,4520</v>
      </c>
      <c r="N7" s="12" t="s">
        <v>136</v>
      </c>
    </row>
    <row r="9" spans="2:13" ht="15.75">
      <c r="B9" s="84" t="s">
        <v>19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4" ht="12.75">
      <c r="A10" s="63">
        <v>1</v>
      </c>
      <c r="B10" s="11" t="s">
        <v>137</v>
      </c>
      <c r="C10" s="11" t="s">
        <v>138</v>
      </c>
      <c r="D10" s="11" t="s">
        <v>139</v>
      </c>
      <c r="E10" s="11" t="str">
        <f>"0,7330"</f>
        <v>0,7330</v>
      </c>
      <c r="F10" s="11" t="s">
        <v>14</v>
      </c>
      <c r="G10" s="11" t="s">
        <v>23</v>
      </c>
      <c r="H10" s="61" t="s">
        <v>140</v>
      </c>
      <c r="I10" s="61" t="s">
        <v>134</v>
      </c>
      <c r="J10" s="58" t="s">
        <v>134</v>
      </c>
      <c r="K10" s="29"/>
      <c r="L10" s="23">
        <v>120</v>
      </c>
      <c r="M10" s="28" t="str">
        <f>"87,9600"</f>
        <v>87,9600</v>
      </c>
      <c r="N10" s="11" t="s">
        <v>18</v>
      </c>
    </row>
    <row r="11" spans="1:14" ht="12.75">
      <c r="A11" s="63">
        <v>2</v>
      </c>
      <c r="B11" s="13" t="s">
        <v>141</v>
      </c>
      <c r="C11" s="13" t="s">
        <v>142</v>
      </c>
      <c r="D11" s="13" t="s">
        <v>143</v>
      </c>
      <c r="E11" s="13" t="str">
        <f>"0,7544"</f>
        <v>0,7544</v>
      </c>
      <c r="F11" s="13" t="s">
        <v>14</v>
      </c>
      <c r="G11" s="13" t="s">
        <v>144</v>
      </c>
      <c r="H11" s="64" t="s">
        <v>24</v>
      </c>
      <c r="I11" s="65" t="s">
        <v>17</v>
      </c>
      <c r="J11" s="65" t="s">
        <v>17</v>
      </c>
      <c r="K11" s="33"/>
      <c r="L11" s="25">
        <v>85</v>
      </c>
      <c r="M11" s="32" t="str">
        <f>"64,1240"</f>
        <v>64,1240</v>
      </c>
      <c r="N11" s="13" t="s">
        <v>359</v>
      </c>
    </row>
    <row r="12" spans="1:14" ht="12.75">
      <c r="A12" s="63">
        <v>1</v>
      </c>
      <c r="B12" s="12" t="s">
        <v>145</v>
      </c>
      <c r="C12" s="12" t="s">
        <v>146</v>
      </c>
      <c r="D12" s="12" t="s">
        <v>147</v>
      </c>
      <c r="E12" s="12" t="str">
        <f>"0,7264"</f>
        <v>0,7264</v>
      </c>
      <c r="F12" s="12" t="s">
        <v>14</v>
      </c>
      <c r="G12" s="12" t="s">
        <v>144</v>
      </c>
      <c r="H12" s="59" t="s">
        <v>38</v>
      </c>
      <c r="I12" s="59" t="s">
        <v>39</v>
      </c>
      <c r="J12" s="62" t="s">
        <v>148</v>
      </c>
      <c r="K12" s="31"/>
      <c r="L12" s="24">
        <v>145</v>
      </c>
      <c r="M12" s="30" t="str">
        <f>"105,3280"</f>
        <v>105,3280</v>
      </c>
      <c r="N12" s="12" t="s">
        <v>18</v>
      </c>
    </row>
    <row r="14" spans="2:13" ht="15.75">
      <c r="B14" s="84" t="s">
        <v>40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4" ht="12.75">
      <c r="A15" s="63">
        <v>1</v>
      </c>
      <c r="B15" s="14" t="s">
        <v>149</v>
      </c>
      <c r="C15" s="14" t="s">
        <v>150</v>
      </c>
      <c r="D15" s="14" t="s">
        <v>151</v>
      </c>
      <c r="E15" s="14" t="str">
        <f>"0,6993"</f>
        <v>0,6993</v>
      </c>
      <c r="F15" s="14" t="s">
        <v>127</v>
      </c>
      <c r="G15" s="14" t="s">
        <v>23</v>
      </c>
      <c r="H15" s="60" t="s">
        <v>38</v>
      </c>
      <c r="I15" s="57" t="s">
        <v>38</v>
      </c>
      <c r="J15" s="60" t="s">
        <v>152</v>
      </c>
      <c r="K15" s="34"/>
      <c r="L15" s="26">
        <v>140</v>
      </c>
      <c r="M15" s="35" t="str">
        <f>"97,9020"</f>
        <v>97,9020</v>
      </c>
      <c r="N15" s="14" t="s">
        <v>360</v>
      </c>
    </row>
    <row r="17" spans="2:13" ht="15.75">
      <c r="B17" s="84" t="s">
        <v>61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4" ht="12.75">
      <c r="A18" s="63">
        <v>1</v>
      </c>
      <c r="B18" s="11" t="s">
        <v>153</v>
      </c>
      <c r="C18" s="11" t="s">
        <v>154</v>
      </c>
      <c r="D18" s="11" t="s">
        <v>155</v>
      </c>
      <c r="E18" s="11" t="str">
        <f>"0,6398"</f>
        <v>0,6398</v>
      </c>
      <c r="F18" s="11" t="s">
        <v>127</v>
      </c>
      <c r="G18" s="11" t="s">
        <v>23</v>
      </c>
      <c r="H18" s="58" t="s">
        <v>156</v>
      </c>
      <c r="I18" s="58" t="s">
        <v>157</v>
      </c>
      <c r="J18" s="61" t="s">
        <v>140</v>
      </c>
      <c r="K18" s="29"/>
      <c r="L18" s="23">
        <v>105</v>
      </c>
      <c r="M18" s="28" t="str">
        <f>"67,1790"</f>
        <v>67,1790</v>
      </c>
      <c r="N18" s="11" t="s">
        <v>358</v>
      </c>
    </row>
    <row r="19" spans="1:14" ht="12.75">
      <c r="A19" s="63">
        <v>2</v>
      </c>
      <c r="B19" s="13" t="s">
        <v>158</v>
      </c>
      <c r="C19" s="13" t="s">
        <v>159</v>
      </c>
      <c r="D19" s="13" t="s">
        <v>160</v>
      </c>
      <c r="E19" s="13" t="str">
        <f>"0,6440"</f>
        <v>0,6440</v>
      </c>
      <c r="F19" s="13" t="s">
        <v>127</v>
      </c>
      <c r="G19" s="13" t="s">
        <v>23</v>
      </c>
      <c r="H19" s="64" t="s">
        <v>161</v>
      </c>
      <c r="I19" s="64" t="s">
        <v>156</v>
      </c>
      <c r="J19" s="64" t="s">
        <v>162</v>
      </c>
      <c r="K19" s="33"/>
      <c r="L19" s="25">
        <v>102.5</v>
      </c>
      <c r="M19" s="32" t="str">
        <f>"66,0100"</f>
        <v>66,0100</v>
      </c>
      <c r="N19" s="13" t="s">
        <v>358</v>
      </c>
    </row>
    <row r="20" spans="1:14" ht="12.75">
      <c r="A20" s="63">
        <v>1</v>
      </c>
      <c r="B20" s="12" t="s">
        <v>163</v>
      </c>
      <c r="C20" s="12" t="s">
        <v>164</v>
      </c>
      <c r="D20" s="12" t="s">
        <v>165</v>
      </c>
      <c r="E20" s="12" t="str">
        <f>"0,6459"</f>
        <v>0,6459</v>
      </c>
      <c r="F20" s="12" t="s">
        <v>127</v>
      </c>
      <c r="G20" s="12" t="s">
        <v>23</v>
      </c>
      <c r="H20" s="59" t="s">
        <v>166</v>
      </c>
      <c r="I20" s="59" t="s">
        <v>38</v>
      </c>
      <c r="J20" s="59" t="s">
        <v>152</v>
      </c>
      <c r="K20" s="31"/>
      <c r="L20" s="24">
        <v>150</v>
      </c>
      <c r="M20" s="30" t="str">
        <f>"96,8850"</f>
        <v>96,8850</v>
      </c>
      <c r="N20" s="12" t="s">
        <v>361</v>
      </c>
    </row>
    <row r="22" spans="2:13" ht="15.75">
      <c r="B22" s="84" t="s">
        <v>77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4" ht="12.75">
      <c r="A23" s="63">
        <v>1</v>
      </c>
      <c r="B23" s="11" t="s">
        <v>167</v>
      </c>
      <c r="C23" s="11" t="s">
        <v>168</v>
      </c>
      <c r="D23" s="11" t="s">
        <v>169</v>
      </c>
      <c r="E23" s="11" t="str">
        <f>"0,6211"</f>
        <v>0,6211</v>
      </c>
      <c r="F23" s="11" t="s">
        <v>14</v>
      </c>
      <c r="G23" s="11" t="s">
        <v>23</v>
      </c>
      <c r="H23" s="58" t="s">
        <v>39</v>
      </c>
      <c r="I23" s="61" t="s">
        <v>152</v>
      </c>
      <c r="J23" s="61" t="s">
        <v>152</v>
      </c>
      <c r="K23" s="29"/>
      <c r="L23" s="23">
        <v>145</v>
      </c>
      <c r="M23" s="28" t="str">
        <f>"90,0595"</f>
        <v>90,0595</v>
      </c>
      <c r="N23" s="11" t="s">
        <v>18</v>
      </c>
    </row>
    <row r="24" spans="1:14" ht="12.75">
      <c r="A24" s="63">
        <v>1</v>
      </c>
      <c r="B24" s="13" t="s">
        <v>170</v>
      </c>
      <c r="C24" s="13" t="s">
        <v>171</v>
      </c>
      <c r="D24" s="13" t="s">
        <v>172</v>
      </c>
      <c r="E24" s="13" t="str">
        <f>"0,6191"</f>
        <v>0,6191</v>
      </c>
      <c r="F24" s="13" t="s">
        <v>14</v>
      </c>
      <c r="G24" s="13" t="s">
        <v>90</v>
      </c>
      <c r="H24" s="64" t="s">
        <v>38</v>
      </c>
      <c r="I24" s="64" t="s">
        <v>46</v>
      </c>
      <c r="J24" s="65" t="s">
        <v>39</v>
      </c>
      <c r="K24" s="33"/>
      <c r="L24" s="25">
        <v>142.5</v>
      </c>
      <c r="M24" s="32" t="str">
        <f>"88,2217"</f>
        <v>88,2217</v>
      </c>
      <c r="N24" s="13" t="s">
        <v>18</v>
      </c>
    </row>
    <row r="25" spans="1:14" ht="12.75">
      <c r="A25" s="63">
        <v>2</v>
      </c>
      <c r="B25" s="13" t="s">
        <v>173</v>
      </c>
      <c r="C25" s="13" t="s">
        <v>174</v>
      </c>
      <c r="D25" s="13" t="s">
        <v>175</v>
      </c>
      <c r="E25" s="13" t="str">
        <f>"0,6250"</f>
        <v>0,6250</v>
      </c>
      <c r="F25" s="13" t="s">
        <v>14</v>
      </c>
      <c r="G25" s="13" t="s">
        <v>23</v>
      </c>
      <c r="H25" s="65" t="s">
        <v>57</v>
      </c>
      <c r="I25" s="64" t="s">
        <v>38</v>
      </c>
      <c r="J25" s="65" t="s">
        <v>46</v>
      </c>
      <c r="K25" s="33"/>
      <c r="L25" s="25">
        <v>140</v>
      </c>
      <c r="M25" s="32" t="str">
        <f>"87,5000"</f>
        <v>87,5000</v>
      </c>
      <c r="N25" s="13" t="s">
        <v>18</v>
      </c>
    </row>
    <row r="26" spans="1:14" ht="12.75">
      <c r="A26" s="63">
        <v>1</v>
      </c>
      <c r="B26" s="12" t="s">
        <v>176</v>
      </c>
      <c r="C26" s="12" t="s">
        <v>177</v>
      </c>
      <c r="D26" s="12" t="s">
        <v>178</v>
      </c>
      <c r="E26" s="12" t="str">
        <f>"0,6166"</f>
        <v>0,6166</v>
      </c>
      <c r="F26" s="12" t="s">
        <v>14</v>
      </c>
      <c r="G26" s="12" t="s">
        <v>179</v>
      </c>
      <c r="H26" s="62" t="s">
        <v>57</v>
      </c>
      <c r="I26" s="59" t="s">
        <v>45</v>
      </c>
      <c r="J26" s="59" t="s">
        <v>38</v>
      </c>
      <c r="K26" s="31"/>
      <c r="L26" s="24">
        <v>140</v>
      </c>
      <c r="M26" s="30" t="str">
        <f>"88,7411"</f>
        <v>88,7411</v>
      </c>
      <c r="N26" s="12" t="s">
        <v>18</v>
      </c>
    </row>
    <row r="28" spans="2:13" ht="15.75">
      <c r="B28" s="84" t="s">
        <v>86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4" ht="12.75">
      <c r="A29" s="63">
        <v>1</v>
      </c>
      <c r="B29" s="14" t="s">
        <v>180</v>
      </c>
      <c r="C29" s="14" t="s">
        <v>181</v>
      </c>
      <c r="D29" s="14" t="s">
        <v>182</v>
      </c>
      <c r="E29" s="14" t="str">
        <f>"0,5950"</f>
        <v>0,5950</v>
      </c>
      <c r="F29" s="14" t="s">
        <v>127</v>
      </c>
      <c r="G29" s="14" t="s">
        <v>23</v>
      </c>
      <c r="H29" s="57" t="s">
        <v>152</v>
      </c>
      <c r="I29" s="34"/>
      <c r="J29" s="34"/>
      <c r="K29" s="34"/>
      <c r="L29" s="26">
        <v>150</v>
      </c>
      <c r="M29" s="35" t="str">
        <f>"89,2500"</f>
        <v>89,2500</v>
      </c>
      <c r="N29" s="14" t="s">
        <v>18</v>
      </c>
    </row>
    <row r="31" spans="2:13" ht="15.75">
      <c r="B31" s="84" t="s">
        <v>183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4" ht="12.75">
      <c r="A32" s="63">
        <v>1</v>
      </c>
      <c r="B32" s="14" t="s">
        <v>184</v>
      </c>
      <c r="C32" s="14" t="s">
        <v>185</v>
      </c>
      <c r="D32" s="14" t="s">
        <v>186</v>
      </c>
      <c r="E32" s="14" t="str">
        <f>"0,5819"</f>
        <v>0,5819</v>
      </c>
      <c r="F32" s="14" t="s">
        <v>14</v>
      </c>
      <c r="G32" s="14" t="s">
        <v>357</v>
      </c>
      <c r="H32" s="57" t="s">
        <v>50</v>
      </c>
      <c r="I32" s="34"/>
      <c r="J32" s="34"/>
      <c r="K32" s="34"/>
      <c r="L32" s="26">
        <v>152.5</v>
      </c>
      <c r="M32" s="35" t="str">
        <f>"88,7398"</f>
        <v>88,7398</v>
      </c>
      <c r="N32" s="14" t="s">
        <v>362</v>
      </c>
    </row>
    <row r="34" spans="2:13" ht="15.75">
      <c r="B34" s="84" t="s">
        <v>187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4" ht="12.75">
      <c r="A35" s="63">
        <v>1</v>
      </c>
      <c r="B35" s="11" t="s">
        <v>188</v>
      </c>
      <c r="C35" s="11" t="s">
        <v>189</v>
      </c>
      <c r="D35" s="11" t="s">
        <v>190</v>
      </c>
      <c r="E35" s="11" t="str">
        <f>"0,5596"</f>
        <v>0,5596</v>
      </c>
      <c r="F35" s="11" t="s">
        <v>14</v>
      </c>
      <c r="G35" s="11" t="s">
        <v>191</v>
      </c>
      <c r="H35" s="58" t="s">
        <v>71</v>
      </c>
      <c r="I35" s="61" t="s">
        <v>192</v>
      </c>
      <c r="J35" s="61" t="s">
        <v>192</v>
      </c>
      <c r="K35" s="29"/>
      <c r="L35" s="23">
        <v>170</v>
      </c>
      <c r="M35" s="28" t="str">
        <f>"95,1320"</f>
        <v>95,1320</v>
      </c>
      <c r="N35" s="11" t="s">
        <v>18</v>
      </c>
    </row>
    <row r="36" spans="1:14" ht="12.75">
      <c r="A36" s="63">
        <v>1</v>
      </c>
      <c r="B36" s="12" t="s">
        <v>188</v>
      </c>
      <c r="C36" s="12" t="s">
        <v>193</v>
      </c>
      <c r="D36" s="12" t="s">
        <v>190</v>
      </c>
      <c r="E36" s="12" t="str">
        <f>"0,5596"</f>
        <v>0,5596</v>
      </c>
      <c r="F36" s="12" t="s">
        <v>14</v>
      </c>
      <c r="G36" s="12" t="s">
        <v>191</v>
      </c>
      <c r="H36" s="59" t="s">
        <v>71</v>
      </c>
      <c r="I36" s="62" t="s">
        <v>192</v>
      </c>
      <c r="J36" s="62" t="s">
        <v>192</v>
      </c>
      <c r="K36" s="31"/>
      <c r="L36" s="24">
        <v>170</v>
      </c>
      <c r="M36" s="30" t="str">
        <f>"118,9150"</f>
        <v>118,9150</v>
      </c>
      <c r="N36" s="12" t="s">
        <v>18</v>
      </c>
    </row>
    <row r="38" spans="2:3" ht="18">
      <c r="B38" s="15" t="s">
        <v>109</v>
      </c>
      <c r="C38" s="15"/>
    </row>
    <row r="39" spans="2:3" ht="15.75">
      <c r="B39" s="16" t="s">
        <v>117</v>
      </c>
      <c r="C39" s="16"/>
    </row>
    <row r="40" spans="2:3" ht="13.5">
      <c r="B40" s="18"/>
      <c r="C40" s="19" t="s">
        <v>110</v>
      </c>
    </row>
    <row r="41" spans="2:6" ht="13.5">
      <c r="B41" s="20" t="s">
        <v>111</v>
      </c>
      <c r="C41" s="20" t="s">
        <v>112</v>
      </c>
      <c r="D41" s="20" t="s">
        <v>113</v>
      </c>
      <c r="E41" s="20" t="s">
        <v>114</v>
      </c>
      <c r="F41" s="20" t="s">
        <v>115</v>
      </c>
    </row>
    <row r="42" spans="1:6" ht="12.75">
      <c r="A42" s="63">
        <v>1</v>
      </c>
      <c r="B42" s="17" t="s">
        <v>145</v>
      </c>
      <c r="C42" s="21" t="s">
        <v>110</v>
      </c>
      <c r="D42" s="22" t="s">
        <v>363</v>
      </c>
      <c r="E42" s="22" t="s">
        <v>39</v>
      </c>
      <c r="F42" s="22" t="s">
        <v>194</v>
      </c>
    </row>
    <row r="43" spans="1:6" ht="12.75">
      <c r="A43" s="63">
        <v>2</v>
      </c>
      <c r="B43" s="17" t="s">
        <v>131</v>
      </c>
      <c r="C43" s="21" t="s">
        <v>110</v>
      </c>
      <c r="D43" s="22" t="s">
        <v>364</v>
      </c>
      <c r="E43" s="22" t="s">
        <v>134</v>
      </c>
      <c r="F43" s="22" t="s">
        <v>195</v>
      </c>
    </row>
    <row r="44" spans="1:6" ht="12.75">
      <c r="A44" s="63">
        <v>3</v>
      </c>
      <c r="B44" s="17" t="s">
        <v>149</v>
      </c>
      <c r="C44" s="21" t="s">
        <v>110</v>
      </c>
      <c r="D44" s="22" t="s">
        <v>365</v>
      </c>
      <c r="E44" s="22" t="s">
        <v>38</v>
      </c>
      <c r="F44" s="22" t="s">
        <v>196</v>
      </c>
    </row>
  </sheetData>
  <sheetProtection/>
  <mergeCells count="20">
    <mergeCell ref="A3:A4"/>
    <mergeCell ref="N3:N4"/>
    <mergeCell ref="B5:M5"/>
    <mergeCell ref="B9:M9"/>
    <mergeCell ref="B14:M14"/>
    <mergeCell ref="B1:N2"/>
    <mergeCell ref="B3:B4"/>
    <mergeCell ref="C3:C4"/>
    <mergeCell ref="D3:D4"/>
    <mergeCell ref="E3:E4"/>
    <mergeCell ref="F3:F4"/>
    <mergeCell ref="B17:M17"/>
    <mergeCell ref="B22:M22"/>
    <mergeCell ref="B28:M28"/>
    <mergeCell ref="B31:M31"/>
    <mergeCell ref="B34:M3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B1" sqref="B1:N2"/>
    </sheetView>
  </sheetViews>
  <sheetFormatPr defaultColWidth="9.125" defaultRowHeight="12.75"/>
  <cols>
    <col min="1" max="1" width="9.125" style="46" customWidth="1"/>
    <col min="2" max="2" width="25.75390625" style="45" customWidth="1"/>
    <col min="3" max="3" width="26.375" style="4" customWidth="1"/>
    <col min="4" max="4" width="10.625" style="4" bestFit="1" customWidth="1"/>
    <col min="5" max="5" width="8.375" style="4" bestFit="1" customWidth="1"/>
    <col min="6" max="6" width="18.25390625" style="4" customWidth="1"/>
    <col min="7" max="7" width="26.125" style="4" customWidth="1"/>
    <col min="8" max="10" width="5.625" style="46" bestFit="1" customWidth="1"/>
    <col min="11" max="11" width="4.625" style="46" bestFit="1" customWidth="1"/>
    <col min="12" max="12" width="12.375" style="46" customWidth="1"/>
    <col min="13" max="13" width="8.625" style="46" bestFit="1" customWidth="1"/>
    <col min="14" max="14" width="20.625" style="4" bestFit="1" customWidth="1"/>
    <col min="15" max="16384" width="9.125" style="1" customWidth="1"/>
  </cols>
  <sheetData>
    <row r="1" spans="2:14" ht="15" customHeight="1">
      <c r="B1" s="85" t="s">
        <v>491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2:14" ht="81.75" customHeight="1" thickBot="1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2</v>
      </c>
      <c r="I3" s="79"/>
      <c r="J3" s="79"/>
      <c r="K3" s="79"/>
      <c r="L3" s="79" t="s">
        <v>385</v>
      </c>
      <c r="M3" s="79" t="s">
        <v>6</v>
      </c>
      <c r="N3" s="81" t="s">
        <v>5</v>
      </c>
    </row>
    <row r="4" spans="1:14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80"/>
      <c r="M4" s="80"/>
      <c r="N4" s="82"/>
    </row>
    <row r="5" spans="2:13" ht="15.75">
      <c r="B5" s="103" t="s">
        <v>10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2.75">
      <c r="A6" s="46" t="s">
        <v>382</v>
      </c>
      <c r="B6" s="36" t="s">
        <v>11</v>
      </c>
      <c r="C6" s="5" t="s">
        <v>12</v>
      </c>
      <c r="D6" s="5" t="s">
        <v>13</v>
      </c>
      <c r="E6" s="5" t="str">
        <f>"1,0858"</f>
        <v>1,0858</v>
      </c>
      <c r="F6" s="5" t="s">
        <v>14</v>
      </c>
      <c r="G6" s="5" t="s">
        <v>357</v>
      </c>
      <c r="H6" s="57" t="s">
        <v>15</v>
      </c>
      <c r="I6" s="57" t="s">
        <v>16</v>
      </c>
      <c r="J6" s="57" t="s">
        <v>17</v>
      </c>
      <c r="K6" s="48"/>
      <c r="L6" s="47" t="s">
        <v>17</v>
      </c>
      <c r="M6" s="47" t="str">
        <f>"97,7220"</f>
        <v>97,7220</v>
      </c>
      <c r="N6" s="5" t="s">
        <v>18</v>
      </c>
    </row>
    <row r="8" spans="2:13" ht="15.75">
      <c r="B8" s="102" t="s">
        <v>19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4" ht="12.75">
      <c r="A9" s="46" t="s">
        <v>382</v>
      </c>
      <c r="B9" s="36" t="s">
        <v>20</v>
      </c>
      <c r="C9" s="5" t="s">
        <v>21</v>
      </c>
      <c r="D9" s="5" t="s">
        <v>22</v>
      </c>
      <c r="E9" s="5" t="str">
        <f>"0,9834"</f>
        <v>0,9834</v>
      </c>
      <c r="F9" s="7" t="s">
        <v>56</v>
      </c>
      <c r="G9" s="5" t="s">
        <v>23</v>
      </c>
      <c r="H9" s="57" t="s">
        <v>24</v>
      </c>
      <c r="I9" s="57" t="s">
        <v>17</v>
      </c>
      <c r="J9" s="57" t="s">
        <v>25</v>
      </c>
      <c r="K9" s="48"/>
      <c r="L9" s="47" t="s">
        <v>25</v>
      </c>
      <c r="M9" s="47" t="str">
        <f>"93,4230"</f>
        <v>93,4230</v>
      </c>
      <c r="N9" s="5" t="s">
        <v>26</v>
      </c>
    </row>
    <row r="11" spans="2:13" ht="15.75">
      <c r="B11" s="102" t="s">
        <v>27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4" ht="12.75">
      <c r="A12" s="46" t="s">
        <v>382</v>
      </c>
      <c r="B12" s="36" t="s">
        <v>28</v>
      </c>
      <c r="C12" s="5" t="s">
        <v>29</v>
      </c>
      <c r="D12" s="5" t="s">
        <v>30</v>
      </c>
      <c r="E12" s="5" t="str">
        <f>"0,8802"</f>
        <v>0,8802</v>
      </c>
      <c r="F12" s="5" t="s">
        <v>14</v>
      </c>
      <c r="G12" s="5" t="s">
        <v>23</v>
      </c>
      <c r="H12" s="57" t="s">
        <v>31</v>
      </c>
      <c r="I12" s="57" t="s">
        <v>32</v>
      </c>
      <c r="J12" s="57" t="s">
        <v>33</v>
      </c>
      <c r="K12" s="48"/>
      <c r="L12" s="47" t="s">
        <v>33</v>
      </c>
      <c r="M12" s="47" t="str">
        <f>"35,2080"</f>
        <v>35,2080</v>
      </c>
      <c r="N12" s="5" t="s">
        <v>368</v>
      </c>
    </row>
    <row r="14" spans="2:13" ht="15.75">
      <c r="B14" s="102" t="s">
        <v>19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4" ht="12.75">
      <c r="A15" s="46" t="s">
        <v>382</v>
      </c>
      <c r="B15" s="36" t="s">
        <v>34</v>
      </c>
      <c r="C15" s="5" t="s">
        <v>35</v>
      </c>
      <c r="D15" s="5" t="s">
        <v>36</v>
      </c>
      <c r="E15" s="5" t="str">
        <f>"0,7345"</f>
        <v>0,7345</v>
      </c>
      <c r="F15" s="5" t="s">
        <v>14</v>
      </c>
      <c r="G15" s="5" t="s">
        <v>23</v>
      </c>
      <c r="H15" s="57" t="s">
        <v>37</v>
      </c>
      <c r="I15" s="57" t="s">
        <v>38</v>
      </c>
      <c r="J15" s="57" t="s">
        <v>39</v>
      </c>
      <c r="K15" s="48"/>
      <c r="L15" s="47" t="s">
        <v>39</v>
      </c>
      <c r="M15" s="47" t="str">
        <f>"112,8926"</f>
        <v>112,8926</v>
      </c>
      <c r="N15" s="5" t="s">
        <v>18</v>
      </c>
    </row>
    <row r="17" spans="2:13" ht="15.75">
      <c r="B17" s="102" t="s">
        <v>40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4" ht="12.75">
      <c r="A18" s="46" t="s">
        <v>382</v>
      </c>
      <c r="B18" s="37" t="s">
        <v>41</v>
      </c>
      <c r="C18" s="6" t="s">
        <v>42</v>
      </c>
      <c r="D18" s="6" t="s">
        <v>43</v>
      </c>
      <c r="E18" s="6" t="str">
        <f>"0,6724"</f>
        <v>0,6724</v>
      </c>
      <c r="F18" s="6" t="s">
        <v>14</v>
      </c>
      <c r="G18" s="6" t="s">
        <v>44</v>
      </c>
      <c r="H18" s="68" t="s">
        <v>37</v>
      </c>
      <c r="I18" s="58" t="s">
        <v>45</v>
      </c>
      <c r="J18" s="58" t="s">
        <v>46</v>
      </c>
      <c r="K18" s="49"/>
      <c r="L18" s="50" t="s">
        <v>46</v>
      </c>
      <c r="M18" s="50" t="str">
        <f>"95,8170"</f>
        <v>95,8170</v>
      </c>
      <c r="N18" s="6" t="s">
        <v>18</v>
      </c>
    </row>
    <row r="19" spans="1:14" ht="12.75">
      <c r="A19" s="46" t="s">
        <v>382</v>
      </c>
      <c r="B19" s="38" t="s">
        <v>47</v>
      </c>
      <c r="C19" s="7" t="s">
        <v>48</v>
      </c>
      <c r="D19" s="7" t="s">
        <v>49</v>
      </c>
      <c r="E19" s="7" t="str">
        <f>"0,6963"</f>
        <v>0,6963</v>
      </c>
      <c r="F19" s="7" t="s">
        <v>14</v>
      </c>
      <c r="G19" s="7" t="s">
        <v>44</v>
      </c>
      <c r="H19" s="64" t="s">
        <v>39</v>
      </c>
      <c r="I19" s="64" t="s">
        <v>50</v>
      </c>
      <c r="J19" s="69" t="s">
        <v>51</v>
      </c>
      <c r="K19" s="52"/>
      <c r="L19" s="51" t="s">
        <v>50</v>
      </c>
      <c r="M19" s="51" t="str">
        <f>"106,1858"</f>
        <v>106,1858</v>
      </c>
      <c r="N19" s="7" t="s">
        <v>52</v>
      </c>
    </row>
    <row r="20" spans="1:14" ht="12.75">
      <c r="A20" s="46" t="s">
        <v>383</v>
      </c>
      <c r="B20" s="38" t="s">
        <v>53</v>
      </c>
      <c r="C20" s="7" t="s">
        <v>54</v>
      </c>
      <c r="D20" s="7" t="s">
        <v>55</v>
      </c>
      <c r="E20" s="7" t="str">
        <f>"0,6893"</f>
        <v>0,6893</v>
      </c>
      <c r="F20" s="7" t="s">
        <v>56</v>
      </c>
      <c r="G20" s="7" t="s">
        <v>23</v>
      </c>
      <c r="H20" s="64" t="s">
        <v>57</v>
      </c>
      <c r="I20" s="64" t="s">
        <v>38</v>
      </c>
      <c r="J20" s="52"/>
      <c r="K20" s="52"/>
      <c r="L20" s="51" t="s">
        <v>38</v>
      </c>
      <c r="M20" s="51" t="str">
        <f>"96,5020"</f>
        <v>96,5020</v>
      </c>
      <c r="N20" s="7" t="s">
        <v>18</v>
      </c>
    </row>
    <row r="21" spans="1:14" ht="12.75">
      <c r="A21" s="46" t="s">
        <v>384</v>
      </c>
      <c r="B21" s="39" t="s">
        <v>58</v>
      </c>
      <c r="C21" s="8" t="s">
        <v>59</v>
      </c>
      <c r="D21" s="8" t="s">
        <v>60</v>
      </c>
      <c r="E21" s="8" t="str">
        <f>"0,6764"</f>
        <v>0,6764</v>
      </c>
      <c r="F21" s="8" t="s">
        <v>56</v>
      </c>
      <c r="G21" s="8" t="s">
        <v>23</v>
      </c>
      <c r="H21" s="59" t="s">
        <v>37</v>
      </c>
      <c r="I21" s="59" t="s">
        <v>57</v>
      </c>
      <c r="J21" s="59" t="s">
        <v>38</v>
      </c>
      <c r="K21" s="54"/>
      <c r="L21" s="53" t="s">
        <v>38</v>
      </c>
      <c r="M21" s="53" t="str">
        <f>"94,6960"</f>
        <v>94,6960</v>
      </c>
      <c r="N21" s="8" t="s">
        <v>369</v>
      </c>
    </row>
    <row r="23" spans="2:13" ht="15.75">
      <c r="B23" s="102" t="s">
        <v>61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4" ht="12.75">
      <c r="A24" s="46" t="s">
        <v>382</v>
      </c>
      <c r="B24" s="37" t="s">
        <v>62</v>
      </c>
      <c r="C24" s="6" t="s">
        <v>63</v>
      </c>
      <c r="D24" s="6" t="s">
        <v>64</v>
      </c>
      <c r="E24" s="6" t="str">
        <f>"0,6410"</f>
        <v>0,6410</v>
      </c>
      <c r="F24" s="6" t="s">
        <v>14</v>
      </c>
      <c r="G24" s="6" t="s">
        <v>23</v>
      </c>
      <c r="H24" s="68" t="s">
        <v>65</v>
      </c>
      <c r="I24" s="58" t="s">
        <v>65</v>
      </c>
      <c r="J24" s="68" t="s">
        <v>66</v>
      </c>
      <c r="K24" s="49"/>
      <c r="L24" s="50" t="s">
        <v>65</v>
      </c>
      <c r="M24" s="50" t="str">
        <f>"112,1750"</f>
        <v>112,1750</v>
      </c>
      <c r="N24" s="6" t="s">
        <v>67</v>
      </c>
    </row>
    <row r="25" spans="1:14" ht="12.75">
      <c r="A25" s="46" t="s">
        <v>383</v>
      </c>
      <c r="B25" s="38" t="s">
        <v>68</v>
      </c>
      <c r="C25" s="7" t="s">
        <v>69</v>
      </c>
      <c r="D25" s="7" t="s">
        <v>70</v>
      </c>
      <c r="E25" s="7" t="str">
        <f>"0,6479"</f>
        <v>0,6479</v>
      </c>
      <c r="F25" s="7" t="s">
        <v>14</v>
      </c>
      <c r="G25" s="7" t="s">
        <v>357</v>
      </c>
      <c r="H25" s="64" t="s">
        <v>71</v>
      </c>
      <c r="I25" s="69" t="s">
        <v>65</v>
      </c>
      <c r="J25" s="69" t="s">
        <v>65</v>
      </c>
      <c r="K25" s="52"/>
      <c r="L25" s="51" t="s">
        <v>71</v>
      </c>
      <c r="M25" s="51" t="str">
        <f>"110,1430"</f>
        <v>110,1430</v>
      </c>
      <c r="N25" s="7" t="s">
        <v>52</v>
      </c>
    </row>
    <row r="26" spans="1:14" ht="12.75">
      <c r="A26" s="46" t="s">
        <v>384</v>
      </c>
      <c r="B26" s="39" t="s">
        <v>72</v>
      </c>
      <c r="C26" s="8" t="s">
        <v>73</v>
      </c>
      <c r="D26" s="8" t="s">
        <v>74</v>
      </c>
      <c r="E26" s="8" t="str">
        <f>"0,6523"</f>
        <v>0,6523</v>
      </c>
      <c r="F26" s="8" t="s">
        <v>14</v>
      </c>
      <c r="G26" s="8" t="s">
        <v>75</v>
      </c>
      <c r="H26" s="70" t="s">
        <v>76</v>
      </c>
      <c r="I26" s="59" t="s">
        <v>76</v>
      </c>
      <c r="J26" s="59" t="s">
        <v>51</v>
      </c>
      <c r="K26" s="54"/>
      <c r="L26" s="53" t="s">
        <v>51</v>
      </c>
      <c r="M26" s="53" t="str">
        <f>"107,6295"</f>
        <v>107,6295</v>
      </c>
      <c r="N26" s="8" t="s">
        <v>18</v>
      </c>
    </row>
    <row r="28" spans="2:13" ht="15.75">
      <c r="B28" s="102" t="s">
        <v>77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4" ht="12.75">
      <c r="A29" s="46" t="s">
        <v>382</v>
      </c>
      <c r="B29" s="37" t="s">
        <v>78</v>
      </c>
      <c r="C29" s="6" t="s">
        <v>79</v>
      </c>
      <c r="D29" s="6" t="s">
        <v>80</v>
      </c>
      <c r="E29" s="6" t="str">
        <f>"0,6177"</f>
        <v>0,6177</v>
      </c>
      <c r="F29" s="6" t="s">
        <v>14</v>
      </c>
      <c r="G29" s="6" t="s">
        <v>357</v>
      </c>
      <c r="H29" s="58" t="s">
        <v>76</v>
      </c>
      <c r="I29" s="58" t="s">
        <v>71</v>
      </c>
      <c r="J29" s="68" t="s">
        <v>81</v>
      </c>
      <c r="K29" s="49"/>
      <c r="L29" s="50" t="s">
        <v>71</v>
      </c>
      <c r="M29" s="50" t="str">
        <f>"105,0090"</f>
        <v>105,0090</v>
      </c>
      <c r="N29" s="6" t="s">
        <v>370</v>
      </c>
    </row>
    <row r="30" spans="1:14" ht="12.75">
      <c r="A30" s="46" t="s">
        <v>383</v>
      </c>
      <c r="B30" s="39" t="s">
        <v>82</v>
      </c>
      <c r="C30" s="8" t="s">
        <v>83</v>
      </c>
      <c r="D30" s="8" t="s">
        <v>84</v>
      </c>
      <c r="E30" s="8" t="str">
        <f>"0,6279"</f>
        <v>0,6279</v>
      </c>
      <c r="F30" s="8" t="s">
        <v>14</v>
      </c>
      <c r="G30" s="8" t="s">
        <v>23</v>
      </c>
      <c r="H30" s="59" t="s">
        <v>85</v>
      </c>
      <c r="I30" s="59" t="s">
        <v>24</v>
      </c>
      <c r="J30" s="59" t="s">
        <v>17</v>
      </c>
      <c r="K30" s="54"/>
      <c r="L30" s="53" t="s">
        <v>17</v>
      </c>
      <c r="M30" s="53" t="str">
        <f>"56,5110"</f>
        <v>56,5110</v>
      </c>
      <c r="N30" s="8" t="s">
        <v>368</v>
      </c>
    </row>
    <row r="32" spans="2:13" ht="15.75">
      <c r="B32" s="102" t="s">
        <v>86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4" ht="12.75">
      <c r="A33" s="46" t="s">
        <v>382</v>
      </c>
      <c r="B33" s="37" t="s">
        <v>87</v>
      </c>
      <c r="C33" s="6" t="s">
        <v>88</v>
      </c>
      <c r="D33" s="6" t="s">
        <v>89</v>
      </c>
      <c r="E33" s="6" t="str">
        <f>"0,5960"</f>
        <v>0,5960</v>
      </c>
      <c r="F33" s="6" t="s">
        <v>56</v>
      </c>
      <c r="G33" s="6" t="s">
        <v>90</v>
      </c>
      <c r="H33" s="58" t="s">
        <v>91</v>
      </c>
      <c r="I33" s="58" t="s">
        <v>92</v>
      </c>
      <c r="J33" s="68" t="s">
        <v>93</v>
      </c>
      <c r="K33" s="49"/>
      <c r="L33" s="50" t="s">
        <v>92</v>
      </c>
      <c r="M33" s="50" t="str">
        <f>"131,1200"</f>
        <v>131,1200</v>
      </c>
      <c r="N33" s="6" t="s">
        <v>18</v>
      </c>
    </row>
    <row r="34" spans="1:14" ht="12.75">
      <c r="A34" s="46" t="s">
        <v>383</v>
      </c>
      <c r="B34" s="38" t="s">
        <v>94</v>
      </c>
      <c r="C34" s="7" t="s">
        <v>95</v>
      </c>
      <c r="D34" s="7" t="s">
        <v>96</v>
      </c>
      <c r="E34" s="7" t="str">
        <f>"0,5907"</f>
        <v>0,5907</v>
      </c>
      <c r="F34" s="7" t="s">
        <v>56</v>
      </c>
      <c r="G34" s="7" t="s">
        <v>23</v>
      </c>
      <c r="H34" s="64" t="s">
        <v>97</v>
      </c>
      <c r="I34" s="64" t="s">
        <v>98</v>
      </c>
      <c r="J34" s="69" t="s">
        <v>99</v>
      </c>
      <c r="K34" s="52"/>
      <c r="L34" s="51" t="s">
        <v>98</v>
      </c>
      <c r="M34" s="51" t="str">
        <f>"113,7097"</f>
        <v>113,7097</v>
      </c>
      <c r="N34" s="7" t="s">
        <v>26</v>
      </c>
    </row>
    <row r="35" spans="1:14" ht="12.75">
      <c r="A35" s="46" t="s">
        <v>384</v>
      </c>
      <c r="B35" s="38" t="s">
        <v>100</v>
      </c>
      <c r="C35" s="7" t="s">
        <v>101</v>
      </c>
      <c r="D35" s="7" t="s">
        <v>102</v>
      </c>
      <c r="E35" s="7" t="str">
        <f>"0,5888"</f>
        <v>0,5888</v>
      </c>
      <c r="F35" s="7" t="s">
        <v>14</v>
      </c>
      <c r="G35" s="7" t="s">
        <v>75</v>
      </c>
      <c r="H35" s="69" t="s">
        <v>76</v>
      </c>
      <c r="I35" s="64" t="s">
        <v>103</v>
      </c>
      <c r="J35" s="64" t="s">
        <v>71</v>
      </c>
      <c r="K35" s="52"/>
      <c r="L35" s="51" t="s">
        <v>71</v>
      </c>
      <c r="M35" s="51" t="str">
        <f>"100,0960"</f>
        <v>100,0960</v>
      </c>
      <c r="N35" s="7" t="s">
        <v>18</v>
      </c>
    </row>
    <row r="36" spans="2:14" ht="12.75">
      <c r="B36" s="38" t="s">
        <v>104</v>
      </c>
      <c r="C36" s="7" t="s">
        <v>105</v>
      </c>
      <c r="D36" s="7" t="s">
        <v>106</v>
      </c>
      <c r="E36" s="7" t="str">
        <f>"0,5968"</f>
        <v>0,5968</v>
      </c>
      <c r="F36" s="7" t="s">
        <v>14</v>
      </c>
      <c r="G36" s="7" t="s">
        <v>107</v>
      </c>
      <c r="H36" s="69" t="s">
        <v>98</v>
      </c>
      <c r="I36" s="69" t="s">
        <v>98</v>
      </c>
      <c r="J36" s="52"/>
      <c r="K36" s="52"/>
      <c r="L36" s="51" t="s">
        <v>371</v>
      </c>
      <c r="M36" s="51" t="str">
        <f>"0,0000"</f>
        <v>0,0000</v>
      </c>
      <c r="N36" s="7" t="s">
        <v>18</v>
      </c>
    </row>
    <row r="37" spans="1:14" ht="12.75">
      <c r="A37" s="46" t="s">
        <v>382</v>
      </c>
      <c r="B37" s="39" t="s">
        <v>94</v>
      </c>
      <c r="C37" s="8" t="s">
        <v>108</v>
      </c>
      <c r="D37" s="8" t="s">
        <v>96</v>
      </c>
      <c r="E37" s="8" t="str">
        <f>"0,5907"</f>
        <v>0,5907</v>
      </c>
      <c r="F37" s="8" t="s">
        <v>56</v>
      </c>
      <c r="G37" s="8" t="s">
        <v>23</v>
      </c>
      <c r="H37" s="59" t="s">
        <v>97</v>
      </c>
      <c r="I37" s="59" t="s">
        <v>98</v>
      </c>
      <c r="J37" s="70" t="s">
        <v>99</v>
      </c>
      <c r="K37" s="54"/>
      <c r="L37" s="53" t="s">
        <v>98</v>
      </c>
      <c r="M37" s="53" t="str">
        <f>"115,3017"</f>
        <v>115,3017</v>
      </c>
      <c r="N37" s="8" t="s">
        <v>26</v>
      </c>
    </row>
    <row r="40" spans="2:3" ht="18">
      <c r="B40" s="40" t="s">
        <v>109</v>
      </c>
      <c r="C40" s="40"/>
    </row>
    <row r="41" spans="2:3" ht="15.75">
      <c r="B41" s="41" t="s">
        <v>117</v>
      </c>
      <c r="C41" s="41"/>
    </row>
    <row r="42" spans="2:3" ht="13.5">
      <c r="B42" s="42"/>
      <c r="C42" s="66" t="s">
        <v>110</v>
      </c>
    </row>
    <row r="43" spans="2:6" ht="13.5">
      <c r="B43" s="43" t="s">
        <v>111</v>
      </c>
      <c r="C43" s="67" t="s">
        <v>112</v>
      </c>
      <c r="D43" s="67" t="s">
        <v>113</v>
      </c>
      <c r="E43" s="67" t="s">
        <v>114</v>
      </c>
      <c r="F43" s="9" t="s">
        <v>115</v>
      </c>
    </row>
    <row r="44" spans="1:6" ht="12.75">
      <c r="A44" s="46" t="s">
        <v>382</v>
      </c>
      <c r="B44" s="44" t="s">
        <v>87</v>
      </c>
      <c r="C44" s="1" t="s">
        <v>110</v>
      </c>
      <c r="D44" s="46" t="s">
        <v>366</v>
      </c>
      <c r="E44" s="46" t="s">
        <v>92</v>
      </c>
      <c r="F44" s="46" t="s">
        <v>121</v>
      </c>
    </row>
    <row r="45" spans="1:6" ht="12.75">
      <c r="A45" s="46" t="s">
        <v>383</v>
      </c>
      <c r="B45" s="44" t="s">
        <v>94</v>
      </c>
      <c r="C45" s="1" t="s">
        <v>110</v>
      </c>
      <c r="D45" s="46" t="s">
        <v>366</v>
      </c>
      <c r="E45" s="46" t="s">
        <v>98</v>
      </c>
      <c r="F45" s="46" t="s">
        <v>122</v>
      </c>
    </row>
    <row r="46" spans="1:6" ht="12.75">
      <c r="A46" s="46" t="s">
        <v>384</v>
      </c>
      <c r="B46" s="44" t="s">
        <v>62</v>
      </c>
      <c r="C46" s="1" t="s">
        <v>110</v>
      </c>
      <c r="D46" s="46" t="s">
        <v>367</v>
      </c>
      <c r="E46" s="46" t="s">
        <v>65</v>
      </c>
      <c r="F46" s="46" t="s">
        <v>123</v>
      </c>
    </row>
  </sheetData>
  <sheetProtection/>
  <mergeCells count="20">
    <mergeCell ref="A3:A4"/>
    <mergeCell ref="B11:M11"/>
    <mergeCell ref="E3:E4"/>
    <mergeCell ref="L3:L4"/>
    <mergeCell ref="M3:M4"/>
    <mergeCell ref="B1:N2"/>
    <mergeCell ref="H3:K3"/>
    <mergeCell ref="B3:B4"/>
    <mergeCell ref="C3:C4"/>
    <mergeCell ref="D3:D4"/>
    <mergeCell ref="B14:M14"/>
    <mergeCell ref="B17:M17"/>
    <mergeCell ref="B23:M23"/>
    <mergeCell ref="B28:M28"/>
    <mergeCell ref="B32:M32"/>
    <mergeCell ref="N3:N4"/>
    <mergeCell ref="G3:G4"/>
    <mergeCell ref="F3:F4"/>
    <mergeCell ref="B5:M5"/>
    <mergeCell ref="B8:M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40" sqref="E40"/>
    </sheetView>
  </sheetViews>
  <sheetFormatPr defaultColWidth="8.75390625" defaultRowHeight="12.75"/>
  <cols>
    <col min="1" max="1" width="9.125" style="63" customWidth="1"/>
    <col min="2" max="2" width="22.25390625" style="10" customWidth="1"/>
    <col min="3" max="3" width="26.25390625" style="10" customWidth="1"/>
    <col min="4" max="4" width="10.625" style="10" bestFit="1" customWidth="1"/>
    <col min="5" max="5" width="8.375" style="10" bestFit="1" customWidth="1"/>
    <col min="6" max="6" width="13.00390625" style="10" customWidth="1"/>
    <col min="7" max="7" width="29.125" style="10" bestFit="1" customWidth="1"/>
    <col min="8" max="10" width="5.625" style="22" bestFit="1" customWidth="1"/>
    <col min="11" max="11" width="4.625" style="22" bestFit="1" customWidth="1"/>
    <col min="12" max="12" width="13.375" style="27" customWidth="1"/>
    <col min="13" max="13" width="8.625" style="22" bestFit="1" customWidth="1"/>
    <col min="14" max="14" width="19.75390625" style="10" bestFit="1" customWidth="1"/>
  </cols>
  <sheetData>
    <row r="1" spans="1:14" s="1" customFormat="1" ht="15" customHeight="1">
      <c r="A1" s="46"/>
      <c r="B1" s="85" t="s">
        <v>492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95.25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3</v>
      </c>
      <c r="I3" s="79"/>
      <c r="J3" s="79"/>
      <c r="K3" s="79"/>
      <c r="L3" s="79" t="s">
        <v>385</v>
      </c>
      <c r="M3" s="79" t="s">
        <v>6</v>
      </c>
      <c r="N3" s="81" t="s">
        <v>5</v>
      </c>
    </row>
    <row r="4" spans="1:14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80"/>
      <c r="M4" s="80"/>
      <c r="N4" s="82"/>
    </row>
    <row r="5" spans="2:13" ht="15.75">
      <c r="B5" s="83" t="s">
        <v>334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2.75">
      <c r="A6" s="63">
        <v>1</v>
      </c>
      <c r="B6" s="14" t="s">
        <v>335</v>
      </c>
      <c r="C6" s="14" t="s">
        <v>336</v>
      </c>
      <c r="D6" s="14" t="s">
        <v>337</v>
      </c>
      <c r="E6" s="14" t="str">
        <f>"1,3470"</f>
        <v>1,3470</v>
      </c>
      <c r="F6" s="14" t="s">
        <v>14</v>
      </c>
      <c r="G6" s="14" t="s">
        <v>338</v>
      </c>
      <c r="H6" s="57" t="s">
        <v>140</v>
      </c>
      <c r="I6" s="57" t="s">
        <v>339</v>
      </c>
      <c r="J6" s="60" t="s">
        <v>135</v>
      </c>
      <c r="K6" s="34"/>
      <c r="L6" s="26">
        <v>122.5</v>
      </c>
      <c r="M6" s="35" t="str">
        <f>"165,0075"</f>
        <v>165,0075</v>
      </c>
      <c r="N6" s="14" t="s">
        <v>377</v>
      </c>
    </row>
    <row r="8" spans="2:13" ht="15.75">
      <c r="B8" s="84" t="s">
        <v>19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4" ht="12.75">
      <c r="A9" s="63">
        <v>1</v>
      </c>
      <c r="B9" s="14" t="s">
        <v>340</v>
      </c>
      <c r="C9" s="14" t="s">
        <v>341</v>
      </c>
      <c r="D9" s="14" t="s">
        <v>22</v>
      </c>
      <c r="E9" s="14" t="str">
        <f>"0,9834"</f>
        <v>0,9834</v>
      </c>
      <c r="F9" s="14" t="s">
        <v>14</v>
      </c>
      <c r="G9" s="14" t="s">
        <v>23</v>
      </c>
      <c r="H9" s="57" t="s">
        <v>207</v>
      </c>
      <c r="I9" s="57" t="s">
        <v>342</v>
      </c>
      <c r="J9" s="34"/>
      <c r="K9" s="34"/>
      <c r="L9" s="26">
        <v>127.5</v>
      </c>
      <c r="M9" s="35" t="str">
        <f>"125,3835"</f>
        <v>125,3835</v>
      </c>
      <c r="N9" s="14" t="s">
        <v>378</v>
      </c>
    </row>
    <row r="11" spans="2:13" ht="15.75">
      <c r="B11" s="84" t="s">
        <v>10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4" ht="12.75">
      <c r="A12" s="63">
        <v>1</v>
      </c>
      <c r="B12" s="14" t="s">
        <v>343</v>
      </c>
      <c r="C12" s="14" t="s">
        <v>344</v>
      </c>
      <c r="D12" s="14" t="s">
        <v>345</v>
      </c>
      <c r="E12" s="14" t="str">
        <f>"0,7710"</f>
        <v>0,7710</v>
      </c>
      <c r="F12" s="14" t="s">
        <v>14</v>
      </c>
      <c r="G12" s="14" t="s">
        <v>23</v>
      </c>
      <c r="H12" s="57" t="s">
        <v>65</v>
      </c>
      <c r="I12" s="57" t="s">
        <v>66</v>
      </c>
      <c r="J12" s="60" t="s">
        <v>99</v>
      </c>
      <c r="K12" s="34"/>
      <c r="L12" s="26">
        <v>185</v>
      </c>
      <c r="M12" s="35" t="str">
        <f>"142,6350"</f>
        <v>142,6350</v>
      </c>
      <c r="N12" s="14" t="s">
        <v>18</v>
      </c>
    </row>
    <row r="14" spans="2:13" ht="15.75">
      <c r="B14" s="84" t="s">
        <v>40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4" ht="12.75">
      <c r="A15" s="63">
        <v>1</v>
      </c>
      <c r="B15" s="11" t="s">
        <v>260</v>
      </c>
      <c r="C15" s="11" t="s">
        <v>261</v>
      </c>
      <c r="D15" s="11" t="s">
        <v>262</v>
      </c>
      <c r="E15" s="11" t="str">
        <f>"0,6832"</f>
        <v>0,6832</v>
      </c>
      <c r="F15" s="11" t="s">
        <v>127</v>
      </c>
      <c r="G15" s="11" t="s">
        <v>23</v>
      </c>
      <c r="H15" s="58" t="s">
        <v>220</v>
      </c>
      <c r="I15" s="58" t="s">
        <v>51</v>
      </c>
      <c r="J15" s="61" t="s">
        <v>66</v>
      </c>
      <c r="K15" s="29"/>
      <c r="L15" s="23">
        <v>165</v>
      </c>
      <c r="M15" s="28" t="str">
        <f>"112,7280"</f>
        <v>112,7280</v>
      </c>
      <c r="N15" s="11" t="s">
        <v>358</v>
      </c>
    </row>
    <row r="16" spans="1:14" ht="12.75">
      <c r="A16" s="63">
        <v>1</v>
      </c>
      <c r="B16" s="12" t="s">
        <v>346</v>
      </c>
      <c r="C16" s="12" t="s">
        <v>347</v>
      </c>
      <c r="D16" s="12" t="s">
        <v>348</v>
      </c>
      <c r="E16" s="12" t="str">
        <f>"0,7036"</f>
        <v>0,7036</v>
      </c>
      <c r="F16" s="12" t="s">
        <v>14</v>
      </c>
      <c r="G16" s="12" t="s">
        <v>349</v>
      </c>
      <c r="H16" s="62" t="s">
        <v>65</v>
      </c>
      <c r="I16" s="59" t="s">
        <v>65</v>
      </c>
      <c r="J16" s="62" t="s">
        <v>221</v>
      </c>
      <c r="K16" s="31"/>
      <c r="L16" s="24">
        <v>175</v>
      </c>
      <c r="M16" s="30" t="str">
        <f>"123,1300"</f>
        <v>123,1300</v>
      </c>
      <c r="N16" s="12" t="s">
        <v>18</v>
      </c>
    </row>
    <row r="18" spans="2:13" ht="15.75">
      <c r="B18" s="84" t="s">
        <v>61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4" ht="12.75">
      <c r="A19" s="63">
        <v>1</v>
      </c>
      <c r="B19" s="14" t="s">
        <v>153</v>
      </c>
      <c r="C19" s="14" t="s">
        <v>154</v>
      </c>
      <c r="D19" s="14" t="s">
        <v>155</v>
      </c>
      <c r="E19" s="14" t="str">
        <f>"0,6398"</f>
        <v>0,6398</v>
      </c>
      <c r="F19" s="14" t="s">
        <v>127</v>
      </c>
      <c r="G19" s="14" t="s">
        <v>23</v>
      </c>
      <c r="H19" s="57" t="s">
        <v>38</v>
      </c>
      <c r="I19" s="57" t="s">
        <v>220</v>
      </c>
      <c r="J19" s="57" t="s">
        <v>51</v>
      </c>
      <c r="K19" s="34"/>
      <c r="L19" s="26">
        <v>165</v>
      </c>
      <c r="M19" s="35" t="str">
        <f>"105,5670"</f>
        <v>105,5670</v>
      </c>
      <c r="N19" s="14" t="s">
        <v>358</v>
      </c>
    </row>
    <row r="21" spans="2:13" ht="15.75">
      <c r="B21" s="84" t="s">
        <v>77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4" ht="12.75">
      <c r="A22" s="63">
        <v>1</v>
      </c>
      <c r="B22" s="11" t="s">
        <v>350</v>
      </c>
      <c r="C22" s="11" t="s">
        <v>351</v>
      </c>
      <c r="D22" s="11" t="s">
        <v>352</v>
      </c>
      <c r="E22" s="11" t="str">
        <f>"0,6174"</f>
        <v>0,6174</v>
      </c>
      <c r="F22" s="11" t="s">
        <v>127</v>
      </c>
      <c r="G22" s="11" t="s">
        <v>23</v>
      </c>
      <c r="H22" s="58" t="s">
        <v>227</v>
      </c>
      <c r="I22" s="61" t="s">
        <v>280</v>
      </c>
      <c r="J22" s="61" t="s">
        <v>280</v>
      </c>
      <c r="K22" s="29"/>
      <c r="L22" s="23">
        <v>240</v>
      </c>
      <c r="M22" s="28" t="str">
        <f>"148,1760"</f>
        <v>148,1760</v>
      </c>
      <c r="N22" s="11" t="s">
        <v>360</v>
      </c>
    </row>
    <row r="23" spans="1:14" ht="12.75">
      <c r="A23" s="63">
        <v>1</v>
      </c>
      <c r="B23" s="12" t="s">
        <v>167</v>
      </c>
      <c r="C23" s="12" t="s">
        <v>168</v>
      </c>
      <c r="D23" s="12" t="s">
        <v>169</v>
      </c>
      <c r="E23" s="12" t="str">
        <f>"0,6211"</f>
        <v>0,6211</v>
      </c>
      <c r="F23" s="12" t="s">
        <v>14</v>
      </c>
      <c r="G23" s="12" t="s">
        <v>23</v>
      </c>
      <c r="H23" s="59" t="s">
        <v>91</v>
      </c>
      <c r="I23" s="62" t="s">
        <v>234</v>
      </c>
      <c r="J23" s="62"/>
      <c r="K23" s="31"/>
      <c r="L23" s="24">
        <v>210</v>
      </c>
      <c r="M23" s="30" t="str">
        <f>"130,4310"</f>
        <v>130,4310</v>
      </c>
      <c r="N23" s="12" t="s">
        <v>18</v>
      </c>
    </row>
    <row r="25" spans="2:13" ht="15.75">
      <c r="B25" s="84" t="s">
        <v>86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4" ht="12.75">
      <c r="A26" s="63">
        <v>1</v>
      </c>
      <c r="B26" s="14" t="s">
        <v>353</v>
      </c>
      <c r="C26" s="14" t="s">
        <v>354</v>
      </c>
      <c r="D26" s="14" t="s">
        <v>355</v>
      </c>
      <c r="E26" s="14" t="str">
        <f>"0,5924"</f>
        <v>0,5924</v>
      </c>
      <c r="F26" s="14" t="s">
        <v>14</v>
      </c>
      <c r="G26" s="14" t="s">
        <v>357</v>
      </c>
      <c r="H26" s="57" t="s">
        <v>234</v>
      </c>
      <c r="I26" s="57" t="s">
        <v>93</v>
      </c>
      <c r="J26" s="60" t="s">
        <v>227</v>
      </c>
      <c r="K26" s="34"/>
      <c r="L26" s="26">
        <v>230</v>
      </c>
      <c r="M26" s="35" t="str">
        <f>"136,2520"</f>
        <v>136,2520</v>
      </c>
      <c r="N26" s="14" t="s">
        <v>356</v>
      </c>
    </row>
  </sheetData>
  <sheetProtection/>
  <mergeCells count="19"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A3:A4"/>
    <mergeCell ref="B14:M14"/>
    <mergeCell ref="B18:M18"/>
    <mergeCell ref="B21:M21"/>
    <mergeCell ref="B25:M25"/>
    <mergeCell ref="L3:L4"/>
    <mergeCell ref="M3:M4"/>
    <mergeCell ref="G3:G4"/>
    <mergeCell ref="H3:K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" sqref="B1:N2"/>
    </sheetView>
  </sheetViews>
  <sheetFormatPr defaultColWidth="8.75390625" defaultRowHeight="12.75"/>
  <cols>
    <col min="1" max="1" width="9.125" style="63" customWidth="1"/>
    <col min="2" max="2" width="23.125" style="10" customWidth="1"/>
    <col min="3" max="3" width="26.00390625" style="10" customWidth="1"/>
    <col min="4" max="4" width="10.625" style="10" bestFit="1" customWidth="1"/>
    <col min="5" max="5" width="8.375" style="10" bestFit="1" customWidth="1"/>
    <col min="6" max="6" width="18.625" style="10" customWidth="1"/>
    <col min="7" max="7" width="27.625" style="10" customWidth="1"/>
    <col min="8" max="10" width="5.625" style="22" bestFit="1" customWidth="1"/>
    <col min="11" max="11" width="4.625" style="22" bestFit="1" customWidth="1"/>
    <col min="12" max="12" width="10.875" style="27" customWidth="1"/>
    <col min="13" max="13" width="8.625" style="22" bestFit="1" customWidth="1"/>
    <col min="14" max="14" width="19.125" style="10" bestFit="1" customWidth="1"/>
  </cols>
  <sheetData>
    <row r="1" spans="1:14" s="1" customFormat="1" ht="15" customHeight="1">
      <c r="A1" s="46"/>
      <c r="B1" s="85" t="s">
        <v>493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1" customFormat="1" ht="85.5" customHeight="1" thickBot="1">
      <c r="A2" s="46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2" customFormat="1" ht="12.75" customHeight="1">
      <c r="A3" s="98" t="s">
        <v>474</v>
      </c>
      <c r="B3" s="91" t="s">
        <v>0</v>
      </c>
      <c r="C3" s="93" t="s">
        <v>475</v>
      </c>
      <c r="D3" s="94" t="s">
        <v>476</v>
      </c>
      <c r="E3" s="79" t="s">
        <v>9</v>
      </c>
      <c r="F3" s="79" t="s">
        <v>7</v>
      </c>
      <c r="G3" s="96" t="s">
        <v>477</v>
      </c>
      <c r="H3" s="79" t="s">
        <v>3</v>
      </c>
      <c r="I3" s="79"/>
      <c r="J3" s="79"/>
      <c r="K3" s="79"/>
      <c r="L3" s="79" t="s">
        <v>385</v>
      </c>
      <c r="M3" s="79" t="s">
        <v>6</v>
      </c>
      <c r="N3" s="81" t="s">
        <v>5</v>
      </c>
    </row>
    <row r="4" spans="1:14" s="2" customFormat="1" ht="21" customHeight="1" thickBot="1">
      <c r="A4" s="99"/>
      <c r="B4" s="92"/>
      <c r="C4" s="80"/>
      <c r="D4" s="95"/>
      <c r="E4" s="80"/>
      <c r="F4" s="80"/>
      <c r="G4" s="97"/>
      <c r="H4" s="3">
        <v>1</v>
      </c>
      <c r="I4" s="3">
        <v>2</v>
      </c>
      <c r="J4" s="3">
        <v>3</v>
      </c>
      <c r="K4" s="3" t="s">
        <v>8</v>
      </c>
      <c r="L4" s="80"/>
      <c r="M4" s="80"/>
      <c r="N4" s="82"/>
    </row>
    <row r="5" spans="2:13" ht="15.75">
      <c r="B5" s="83" t="s">
        <v>19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2.75">
      <c r="A6" s="63">
        <v>1</v>
      </c>
      <c r="B6" s="14" t="s">
        <v>379</v>
      </c>
      <c r="C6" s="14" t="s">
        <v>324</v>
      </c>
      <c r="D6" s="14" t="s">
        <v>325</v>
      </c>
      <c r="E6" s="14" t="str">
        <f>"0,7293"</f>
        <v>0,7293</v>
      </c>
      <c r="F6" s="14" t="s">
        <v>56</v>
      </c>
      <c r="G6" s="14" t="s">
        <v>23</v>
      </c>
      <c r="H6" s="57" t="s">
        <v>156</v>
      </c>
      <c r="I6" s="57" t="s">
        <v>207</v>
      </c>
      <c r="J6" s="60" t="s">
        <v>135</v>
      </c>
      <c r="K6" s="34"/>
      <c r="L6" s="26">
        <v>115</v>
      </c>
      <c r="M6" s="35" t="str">
        <f>"83,8695"</f>
        <v>83,8695</v>
      </c>
      <c r="N6" s="14" t="s">
        <v>381</v>
      </c>
    </row>
    <row r="8" spans="2:13" ht="15.75">
      <c r="B8" s="84" t="s">
        <v>40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4" ht="12.75">
      <c r="A9" s="63">
        <v>1</v>
      </c>
      <c r="B9" s="14" t="s">
        <v>326</v>
      </c>
      <c r="C9" s="14" t="s">
        <v>327</v>
      </c>
      <c r="D9" s="14" t="s">
        <v>328</v>
      </c>
      <c r="E9" s="14" t="str">
        <f>"0,6957"</f>
        <v>0,6957</v>
      </c>
      <c r="F9" s="14" t="s">
        <v>56</v>
      </c>
      <c r="G9" s="14" t="s">
        <v>23</v>
      </c>
      <c r="H9" s="57" t="s">
        <v>38</v>
      </c>
      <c r="I9" s="57" t="s">
        <v>152</v>
      </c>
      <c r="J9" s="57" t="s">
        <v>76</v>
      </c>
      <c r="K9" s="34"/>
      <c r="L9" s="26">
        <v>160</v>
      </c>
      <c r="M9" s="35" t="str">
        <f>"111,3120"</f>
        <v>111,3120</v>
      </c>
      <c r="N9" s="14" t="s">
        <v>381</v>
      </c>
    </row>
    <row r="11" spans="2:13" ht="15.75">
      <c r="B11" s="84" t="s">
        <v>61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4" ht="12.75">
      <c r="A12" s="63">
        <v>1</v>
      </c>
      <c r="B12" s="11" t="s">
        <v>329</v>
      </c>
      <c r="C12" s="11" t="s">
        <v>330</v>
      </c>
      <c r="D12" s="11" t="s">
        <v>165</v>
      </c>
      <c r="E12" s="11" t="str">
        <f>"0,6459"</f>
        <v>0,6459</v>
      </c>
      <c r="F12" s="11" t="s">
        <v>14</v>
      </c>
      <c r="G12" s="11" t="s">
        <v>357</v>
      </c>
      <c r="H12" s="61" t="s">
        <v>71</v>
      </c>
      <c r="I12" s="58" t="s">
        <v>71</v>
      </c>
      <c r="J12" s="61" t="s">
        <v>270</v>
      </c>
      <c r="K12" s="29"/>
      <c r="L12" s="23">
        <v>170</v>
      </c>
      <c r="M12" s="28" t="str">
        <f>"109,8030"</f>
        <v>109,8030</v>
      </c>
      <c r="N12" s="11" t="s">
        <v>18</v>
      </c>
    </row>
    <row r="13" spans="1:14" ht="12.75">
      <c r="A13" s="63">
        <v>1</v>
      </c>
      <c r="B13" s="12" t="s">
        <v>331</v>
      </c>
      <c r="C13" s="12" t="s">
        <v>332</v>
      </c>
      <c r="D13" s="12" t="s">
        <v>333</v>
      </c>
      <c r="E13" s="12" t="str">
        <f>"0,6424"</f>
        <v>0,6424</v>
      </c>
      <c r="F13" s="12" t="s">
        <v>56</v>
      </c>
      <c r="G13" s="12" t="s">
        <v>23</v>
      </c>
      <c r="H13" s="59" t="s">
        <v>270</v>
      </c>
      <c r="I13" s="59" t="s">
        <v>92</v>
      </c>
      <c r="J13" s="62" t="s">
        <v>93</v>
      </c>
      <c r="K13" s="31"/>
      <c r="L13" s="24">
        <v>220</v>
      </c>
      <c r="M13" s="30" t="str">
        <f>"141,3280"</f>
        <v>141,3280</v>
      </c>
      <c r="N13" s="12" t="s">
        <v>380</v>
      </c>
    </row>
  </sheetData>
  <sheetProtection/>
  <mergeCells count="15">
    <mergeCell ref="G3:G4"/>
    <mergeCell ref="H3:K3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2017-02-22T11:52:04Z</dcterms:modified>
  <cp:category/>
  <cp:version/>
  <cp:contentType/>
  <cp:contentStatus/>
</cp:coreProperties>
</file>