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codeName="ЭтаКнига" autoCompressPictures="0"/>
  <bookViews>
    <workbookView xWindow="0" yWindow="0" windowWidth="20740" windowHeight="11760"/>
  </bookViews>
  <sheets>
    <sheet name="Пауэрспорт ДК" sheetId="21" r:id="rId1"/>
    <sheet name="IPL DL raw dc" sheetId="11" r:id="rId2"/>
    <sheet name="IPL DL raw" sheetId="12" r:id="rId3"/>
    <sheet name="НЖ 1_2 вес ДК" sheetId="6" r:id="rId4"/>
    <sheet name="НЖ 1 вес ДК" sheetId="5" r:id="rId5"/>
    <sheet name="НЖ 1 вес" sheetId="7" r:id="rId6"/>
    <sheet name="IPL Bench 1ply dc" sheetId="17" r:id="rId7"/>
    <sheet name="IPL Bench 1ply" sheetId="18" r:id="rId8"/>
    <sheet name="IPL Bench raw dc" sheetId="19" r:id="rId9"/>
    <sheet name="IPL Bench raw" sheetId="20" r:id="rId10"/>
    <sheet name="IPL SQ raw dc" sheetId="10" r:id="rId11"/>
    <sheet name="IPL PL wraps dc" sheetId="13" r:id="rId12"/>
    <sheet name="IPL PL wraps" sheetId="14" r:id="rId13"/>
    <sheet name="IPL PL raw dc" sheetId="15" r:id="rId14"/>
    <sheet name="IPL PL raw" sheetId="16" r:id="rId15"/>
    <sheet name="Apollon Axle" sheetId="23" r:id="rId16"/>
    <sheet name="Rolling Thunder" sheetId="24" r:id="rId17"/>
  </sheets>
  <definedNames>
    <definedName name="_xlnm._FilterDatabase" localSheetId="4" hidden="1">'НЖ 1 вес ДК'!$A$1:$K$3</definedName>
    <definedName name="_xlnm._FilterDatabase" localSheetId="9" hidden="1">'IPL Bench raw'!$A$1:$K$3</definedName>
    <definedName name="_xlnm._FilterDatabase" localSheetId="16" hidden="1">'Rolling Thunder'!$A$1:$I$3</definedName>
  </definedNames>
  <calcPr calcId="14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21" l="1"/>
  <c r="D13" i="21"/>
  <c r="P12" i="21"/>
  <c r="D12" i="21"/>
  <c r="P9" i="21"/>
  <c r="D9" i="21"/>
  <c r="P6" i="21"/>
  <c r="D6" i="21"/>
  <c r="L18" i="20"/>
  <c r="D18" i="20"/>
  <c r="L17" i="20"/>
  <c r="D17" i="20"/>
  <c r="L14" i="20"/>
  <c r="D14" i="20"/>
  <c r="L11" i="20"/>
  <c r="D11" i="20"/>
  <c r="L10" i="20"/>
  <c r="D10" i="20"/>
  <c r="L7" i="20"/>
  <c r="D7" i="20"/>
  <c r="L6" i="20"/>
  <c r="D6" i="20"/>
  <c r="L54" i="19"/>
  <c r="D54" i="19"/>
  <c r="L51" i="19"/>
  <c r="D51" i="19"/>
  <c r="L50" i="19"/>
  <c r="D50" i="19"/>
  <c r="L49" i="19"/>
  <c r="D49" i="19"/>
  <c r="L48" i="19"/>
  <c r="D48" i="19"/>
  <c r="L47" i="19"/>
  <c r="D47" i="19"/>
  <c r="L46" i="19"/>
  <c r="D46" i="19"/>
  <c r="L43" i="19"/>
  <c r="D43" i="19"/>
  <c r="L42" i="19"/>
  <c r="D42" i="19"/>
  <c r="L41" i="19"/>
  <c r="D41" i="19"/>
  <c r="L40" i="19"/>
  <c r="D40" i="19"/>
  <c r="L39" i="19"/>
  <c r="D39" i="19"/>
  <c r="L38" i="19"/>
  <c r="D38" i="19"/>
  <c r="L37" i="19"/>
  <c r="D37" i="19"/>
  <c r="L34" i="19"/>
  <c r="D34" i="19"/>
  <c r="L33" i="19"/>
  <c r="D33" i="19"/>
  <c r="L32" i="19"/>
  <c r="D32" i="19"/>
  <c r="L29" i="19"/>
  <c r="D29" i="19"/>
  <c r="L28" i="19"/>
  <c r="D28" i="19"/>
  <c r="L27" i="19"/>
  <c r="D27" i="19"/>
  <c r="L26" i="19"/>
  <c r="D26" i="19"/>
  <c r="L23" i="19"/>
  <c r="D23" i="19"/>
  <c r="L22" i="19"/>
  <c r="D22" i="19"/>
  <c r="L21" i="19"/>
  <c r="D21" i="19"/>
  <c r="L18" i="19"/>
  <c r="D18" i="19"/>
  <c r="L15" i="19"/>
  <c r="D15" i="19"/>
  <c r="L12" i="19"/>
  <c r="D12" i="19"/>
  <c r="L9" i="19"/>
  <c r="D9" i="19"/>
  <c r="L6" i="19"/>
  <c r="D6" i="19"/>
  <c r="L6" i="18"/>
  <c r="D6" i="18"/>
  <c r="L9" i="17"/>
  <c r="D9" i="17"/>
  <c r="L6" i="17"/>
  <c r="D6" i="17"/>
  <c r="T10" i="16"/>
  <c r="D10" i="16"/>
  <c r="T6" i="16"/>
  <c r="D6" i="16"/>
  <c r="T29" i="15"/>
  <c r="D29" i="15"/>
  <c r="T26" i="15"/>
  <c r="D26" i="15"/>
  <c r="T23" i="15"/>
  <c r="D23" i="15"/>
  <c r="T22" i="15"/>
  <c r="D22" i="15"/>
  <c r="T19" i="15"/>
  <c r="D19" i="15"/>
  <c r="T16" i="15"/>
  <c r="D16" i="15"/>
  <c r="T13" i="15"/>
  <c r="D13" i="15"/>
  <c r="T12" i="15"/>
  <c r="D12" i="15"/>
  <c r="T9" i="15"/>
  <c r="D9" i="15"/>
  <c r="T6" i="15"/>
  <c r="D6" i="15"/>
  <c r="T9" i="14"/>
  <c r="D9" i="14"/>
  <c r="T6" i="14"/>
  <c r="D6" i="14"/>
  <c r="T12" i="13"/>
  <c r="D12" i="13"/>
  <c r="T9" i="13"/>
  <c r="D9" i="13"/>
  <c r="T6" i="13"/>
  <c r="D6" i="13"/>
  <c r="L12" i="12"/>
  <c r="D12" i="12"/>
  <c r="L9" i="12"/>
  <c r="D9" i="12"/>
  <c r="L6" i="12"/>
  <c r="D6" i="12"/>
  <c r="L24" i="11"/>
  <c r="D24" i="11"/>
  <c r="L21" i="11"/>
  <c r="D21" i="11"/>
  <c r="L20" i="11"/>
  <c r="D20" i="11"/>
  <c r="L17" i="11"/>
  <c r="D17" i="11"/>
  <c r="L16" i="11"/>
  <c r="D16" i="11"/>
  <c r="L15" i="11"/>
  <c r="D15" i="11"/>
  <c r="L12" i="11"/>
  <c r="D12" i="11"/>
  <c r="L9" i="11"/>
  <c r="D9" i="11"/>
  <c r="L6" i="11"/>
  <c r="D6" i="11"/>
  <c r="L6" i="10"/>
  <c r="D6" i="10"/>
  <c r="L12" i="7"/>
  <c r="D12" i="7"/>
  <c r="L9" i="7"/>
  <c r="D9" i="7"/>
  <c r="L6" i="7"/>
  <c r="D6" i="7"/>
  <c r="L6" i="6"/>
  <c r="D6" i="6"/>
  <c r="L18" i="5"/>
  <c r="D18" i="5"/>
  <c r="L17" i="5"/>
  <c r="D17" i="5"/>
  <c r="L16" i="5"/>
  <c r="D16" i="5"/>
  <c r="L15" i="5"/>
  <c r="D15" i="5"/>
  <c r="L14" i="5"/>
  <c r="D14" i="5"/>
  <c r="L13" i="5"/>
  <c r="D13" i="5"/>
  <c r="L10" i="5"/>
  <c r="D10" i="5"/>
  <c r="L9" i="5"/>
  <c r="D9" i="5"/>
  <c r="L6" i="5"/>
  <c r="D6" i="5"/>
</calcChain>
</file>

<file path=xl/sharedStrings.xml><?xml version="1.0" encoding="utf-8"?>
<sst xmlns="http://schemas.openxmlformats.org/spreadsheetml/2006/main" count="1382" uniqueCount="469">
  <si>
    <t>ФИО</t>
  </si>
  <si>
    <t>Присед</t>
  </si>
  <si>
    <t>Жим</t>
  </si>
  <si>
    <t>Тяга</t>
  </si>
  <si>
    <t>Сумма</t>
  </si>
  <si>
    <t>С вес</t>
  </si>
  <si>
    <t>Тренер</t>
  </si>
  <si>
    <t>Очки</t>
  </si>
  <si>
    <t>Команда</t>
  </si>
  <si>
    <t>Рек</t>
  </si>
  <si>
    <t>Возр груп
Год. р./Возраст</t>
  </si>
  <si>
    <t>Gloss</t>
  </si>
  <si>
    <t>ВЕСОВАЯ КАТЕГОРИЯ   75</t>
  </si>
  <si>
    <t>Череватюк Юрий</t>
  </si>
  <si>
    <t>Open (16.12.1977)/37</t>
  </si>
  <si>
    <t>74,60</t>
  </si>
  <si>
    <t xml:space="preserve">Кронштадт/Санкт-Петербург </t>
  </si>
  <si>
    <t>75,0</t>
  </si>
  <si>
    <t>32,0</t>
  </si>
  <si>
    <t>2400.00</t>
  </si>
  <si>
    <t xml:space="preserve"> </t>
  </si>
  <si>
    <t>ВЕСОВАЯ КАТЕГОРИЯ   82.5</t>
  </si>
  <si>
    <t>Мамадов Парвиз</t>
  </si>
  <si>
    <t>Open (13.03.1981)/34</t>
  </si>
  <si>
    <t>81,00</t>
  </si>
  <si>
    <t xml:space="preserve">Кронштадт </t>
  </si>
  <si>
    <t>82,5</t>
  </si>
  <si>
    <t>28,0</t>
  </si>
  <si>
    <t>2310.00</t>
  </si>
  <si>
    <t>Иванов Андрей</t>
  </si>
  <si>
    <t>Masters 40-49 (07.05.1968)/47</t>
  </si>
  <si>
    <t>76,25</t>
  </si>
  <si>
    <t xml:space="preserve">Кировск/Ленинградская область </t>
  </si>
  <si>
    <t>77,5</t>
  </si>
  <si>
    <t>0.00</t>
  </si>
  <si>
    <t>ВЕСОВАЯ КАТЕГОРИЯ   90</t>
  </si>
  <si>
    <t>Букалов Алексей</t>
  </si>
  <si>
    <t>Open (10.12.1976)/38</t>
  </si>
  <si>
    <t>88,55</t>
  </si>
  <si>
    <t>90,0</t>
  </si>
  <si>
    <t>26,0</t>
  </si>
  <si>
    <t>2340.00</t>
  </si>
  <si>
    <t>Форман Майкл</t>
  </si>
  <si>
    <t>Open (22.01.1985)/30</t>
  </si>
  <si>
    <t>84,05</t>
  </si>
  <si>
    <t xml:space="preserve">Новый Орлеан </t>
  </si>
  <si>
    <t xml:space="preserve">Новый Орлеан/Луизиана </t>
  </si>
  <si>
    <t>85,0</t>
  </si>
  <si>
    <t>17,0</t>
  </si>
  <si>
    <t>1445.00</t>
  </si>
  <si>
    <t>Волов Павел</t>
  </si>
  <si>
    <t>Open (14.10.1984)/30</t>
  </si>
  <si>
    <t>89,60</t>
  </si>
  <si>
    <t xml:space="preserve">Санкт-Петербург </t>
  </si>
  <si>
    <t>15,0</t>
  </si>
  <si>
    <t>1350.00</t>
  </si>
  <si>
    <t>Шевченко Дмитрий</t>
  </si>
  <si>
    <t>Open (28.04.1984)/31</t>
  </si>
  <si>
    <t>87,50</t>
  </si>
  <si>
    <t>87,5</t>
  </si>
  <si>
    <t>12,0</t>
  </si>
  <si>
    <t>1050.00</t>
  </si>
  <si>
    <t>Голубев Петр</t>
  </si>
  <si>
    <t>Open (03.07.1990)/25</t>
  </si>
  <si>
    <t>89,90</t>
  </si>
  <si>
    <t>Стеценко Дмитрий</t>
  </si>
  <si>
    <t>Masters 40-49 (06.07.1973)/42</t>
  </si>
  <si>
    <t>88,85</t>
  </si>
  <si>
    <t>21,0</t>
  </si>
  <si>
    <t>1890.00</t>
  </si>
  <si>
    <t xml:space="preserve">Лаптев Олег 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</si>
  <si>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</si>
  <si>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</si>
  <si>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</si>
  <si>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</si>
  <si>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</si>
  <si>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</si>
  <si>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</si>
  <si>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Gloss </t>
  </si>
  <si>
    <t xml:space="preserve">75 </t>
  </si>
  <si>
    <t>2400,0</t>
  </si>
  <si>
    <t>1659,0001</t>
  </si>
  <si>
    <t xml:space="preserve">90 </t>
  </si>
  <si>
    <t>2340,0</t>
  </si>
  <si>
    <t>1444,9500</t>
  </si>
  <si>
    <t xml:space="preserve">82.5 </t>
  </si>
  <si>
    <t>2310,0</t>
  </si>
  <si>
    <t>1506,9285</t>
  </si>
  <si>
    <t>1445,0</t>
  </si>
  <si>
    <t>920,5011</t>
  </si>
  <si>
    <t>1350,0</t>
  </si>
  <si>
    <t>828,0225</t>
  </si>
  <si>
    <t>1050,0</t>
  </si>
  <si>
    <t>652,8375</t>
  </si>
  <si>
    <t>ВЕСОВАЯ КАТЕГОРИЯ   52</t>
  </si>
  <si>
    <t>Кузнецова Оксана</t>
  </si>
  <si>
    <t>Open (07.07.1990)/25</t>
  </si>
  <si>
    <t>49,45</t>
  </si>
  <si>
    <t>25,0</t>
  </si>
  <si>
    <t>36,0</t>
  </si>
  <si>
    <t xml:space="preserve">Смирнов Олег </t>
  </si>
  <si>
    <t xml:space="preserve">Женщины </t>
  </si>
  <si>
    <t xml:space="preserve">52 </t>
  </si>
  <si>
    <t>Вес</t>
  </si>
  <si>
    <t>Повторы</t>
  </si>
  <si>
    <t>Никитин Константин</t>
  </si>
  <si>
    <t>Open (28.05.1970)/45</t>
  </si>
  <si>
    <t>71,75</t>
  </si>
  <si>
    <t>72,5</t>
  </si>
  <si>
    <t>27,0</t>
  </si>
  <si>
    <t>Лаптев Олег</t>
  </si>
  <si>
    <t>Open (23.02.1980)/35</t>
  </si>
  <si>
    <t>82,35</t>
  </si>
  <si>
    <t>34,0</t>
  </si>
  <si>
    <t>ВЕСОВАЯ КАТЕГОРИЯ   100</t>
  </si>
  <si>
    <t>Смирнов Олег</t>
  </si>
  <si>
    <t>Open (22.01.1986)/29</t>
  </si>
  <si>
    <t>92,40</t>
  </si>
  <si>
    <t>92,5</t>
  </si>
  <si>
    <t>31,0</t>
  </si>
  <si>
    <t xml:space="preserve">100 </t>
  </si>
  <si>
    <t>Wilks</t>
  </si>
  <si>
    <t>Руслякова Лидия</t>
  </si>
  <si>
    <t>Open (18.05.1991)/24</t>
  </si>
  <si>
    <t>74,20</t>
  </si>
  <si>
    <t>95,0</t>
  </si>
  <si>
    <t>100,0</t>
  </si>
  <si>
    <t>105,0</t>
  </si>
  <si>
    <t xml:space="preserve">Кукин Артем </t>
  </si>
  <si>
    <t xml:space="preserve">Wilks </t>
  </si>
  <si>
    <t>ВЕСОВАЯ КАТЕГОРИЯ   60</t>
  </si>
  <si>
    <t>Барышников Валерий</t>
  </si>
  <si>
    <t>Open (29.11.1986)/28</t>
  </si>
  <si>
    <t>59,20</t>
  </si>
  <si>
    <t>135,0</t>
  </si>
  <si>
    <t>152,5</t>
  </si>
  <si>
    <t>160,0</t>
  </si>
  <si>
    <t xml:space="preserve">Чухин А.Б. </t>
  </si>
  <si>
    <t>Крупка Сергей</t>
  </si>
  <si>
    <t>Teenage 15-19 (08.11.2000)/14</t>
  </si>
  <si>
    <t>72,20</t>
  </si>
  <si>
    <t xml:space="preserve">Сланцы </t>
  </si>
  <si>
    <t xml:space="preserve">Сланцы/Ленинградская область </t>
  </si>
  <si>
    <t>175,0</t>
  </si>
  <si>
    <t>182,5</t>
  </si>
  <si>
    <t>190,0</t>
  </si>
  <si>
    <t>Громов Станислав</t>
  </si>
  <si>
    <t>Teenage 15-19 (24.09.1991)/23</t>
  </si>
  <si>
    <t>87,90</t>
  </si>
  <si>
    <t>185,0</t>
  </si>
  <si>
    <t>187,5</t>
  </si>
  <si>
    <t xml:space="preserve">Легчилин Р.И. </t>
  </si>
  <si>
    <t>Горбунов Александр</t>
  </si>
  <si>
    <t>Juniors 20-23 (30.05.1992)/23</t>
  </si>
  <si>
    <t>88,20</t>
  </si>
  <si>
    <t>200,0</t>
  </si>
  <si>
    <t>210,0</t>
  </si>
  <si>
    <t>Приеде Андрей</t>
  </si>
  <si>
    <t>Juniors 20-23 (01.05.1995)/20</t>
  </si>
  <si>
    <t>87,20</t>
  </si>
  <si>
    <t>180,0</t>
  </si>
  <si>
    <t>202,5</t>
  </si>
  <si>
    <t xml:space="preserve">Фадеев А. </t>
  </si>
  <si>
    <t>Скворцов Михаил</t>
  </si>
  <si>
    <t>Teenage 15-19 (01.04.2000)/15</t>
  </si>
  <si>
    <t>90,30</t>
  </si>
  <si>
    <t>120,0</t>
  </si>
  <si>
    <t>130,0</t>
  </si>
  <si>
    <t>140,0</t>
  </si>
  <si>
    <t xml:space="preserve">Скворцов Михаил </t>
  </si>
  <si>
    <t>Чайка Игорь</t>
  </si>
  <si>
    <t>Juniors 20-23 (09.06.1994)/21</t>
  </si>
  <si>
    <t>92,90</t>
  </si>
  <si>
    <t>220,0</t>
  </si>
  <si>
    <t>ВЕСОВАЯ КАТЕГОРИЯ   110</t>
  </si>
  <si>
    <t>Антонов Илья</t>
  </si>
  <si>
    <t>Juniors 20-23 (03.12.1992)/22</t>
  </si>
  <si>
    <t>107,70</t>
  </si>
  <si>
    <t>205,0</t>
  </si>
  <si>
    <t>215,0</t>
  </si>
  <si>
    <t xml:space="preserve">Юниоры 20 - 23 </t>
  </si>
  <si>
    <t xml:space="preserve">60 </t>
  </si>
  <si>
    <t>Савченко Александр</t>
  </si>
  <si>
    <t>Open (06.01.1982)/33</t>
  </si>
  <si>
    <t>87,70</t>
  </si>
  <si>
    <t xml:space="preserve">Выборг </t>
  </si>
  <si>
    <t xml:space="preserve">Выборг/Ленинградская область </t>
  </si>
  <si>
    <t>235,0</t>
  </si>
  <si>
    <t>240,0</t>
  </si>
  <si>
    <t>Лысиков Дмитрий</t>
  </si>
  <si>
    <t>Open (18.02.1987)/28</t>
  </si>
  <si>
    <t>108,70</t>
  </si>
  <si>
    <t>260,0</t>
  </si>
  <si>
    <t>285,0</t>
  </si>
  <si>
    <t>290,0</t>
  </si>
  <si>
    <t>ВЕСОВАЯ КАТЕГОРИЯ   125</t>
  </si>
  <si>
    <t>Белов Алексей</t>
  </si>
  <si>
    <t>Open (24.08.1989)/25</t>
  </si>
  <si>
    <t>122,10</t>
  </si>
  <si>
    <t>270,0</t>
  </si>
  <si>
    <t>295,0</t>
  </si>
  <si>
    <t xml:space="preserve">125 </t>
  </si>
  <si>
    <t>Райляну Диана</t>
  </si>
  <si>
    <t>Open (26.06.1989)/26</t>
  </si>
  <si>
    <t>50,20</t>
  </si>
  <si>
    <t>45,0</t>
  </si>
  <si>
    <t>47,5</t>
  </si>
  <si>
    <t>ВЕСОВАЯ КАТЕГОРИЯ   67.5</t>
  </si>
  <si>
    <t>Степанова Дарья</t>
  </si>
  <si>
    <t>Open (26.03.1991)/24</t>
  </si>
  <si>
    <t>66,90</t>
  </si>
  <si>
    <t>110,0</t>
  </si>
  <si>
    <t>50,0</t>
  </si>
  <si>
    <t>57,5</t>
  </si>
  <si>
    <t xml:space="preserve">Потапенко В.С. </t>
  </si>
  <si>
    <t>Никитин Кирилл</t>
  </si>
  <si>
    <t>Juniors 20-23 (22.07.1992)/23</t>
  </si>
  <si>
    <t>67,40</t>
  </si>
  <si>
    <t>170,0</t>
  </si>
  <si>
    <t xml:space="preserve">67.5 </t>
  </si>
  <si>
    <t>Ушаков Виктор</t>
  </si>
  <si>
    <t>Open (22.11.1989)/25</t>
  </si>
  <si>
    <t>90,00</t>
  </si>
  <si>
    <t>225,0</t>
  </si>
  <si>
    <t>150,0</t>
  </si>
  <si>
    <t>230,0</t>
  </si>
  <si>
    <t>250,0</t>
  </si>
  <si>
    <t>Зиновский Роман</t>
  </si>
  <si>
    <t>Open (08.03.1984)/31</t>
  </si>
  <si>
    <t>122,50</t>
  </si>
  <si>
    <t xml:space="preserve">Агалатово </t>
  </si>
  <si>
    <t xml:space="preserve">Агалатово/Ленинградская область </t>
  </si>
  <si>
    <t>280,0</t>
  </si>
  <si>
    <t>155,0</t>
  </si>
  <si>
    <t xml:space="preserve">Васильев В. </t>
  </si>
  <si>
    <t>ВЕСОВАЯ КАТЕГОРИЯ   48</t>
  </si>
  <si>
    <t>Шушкова Елена</t>
  </si>
  <si>
    <t>Open (02.04.1989)/26</t>
  </si>
  <si>
    <t>47,75</t>
  </si>
  <si>
    <t>70,0</t>
  </si>
  <si>
    <t>97,5</t>
  </si>
  <si>
    <t>Ивачева Светлана</t>
  </si>
  <si>
    <t>Open (26.07.1980)/35</t>
  </si>
  <si>
    <t>65,00</t>
  </si>
  <si>
    <t>107,5</t>
  </si>
  <si>
    <t>60,0</t>
  </si>
  <si>
    <t>65,0</t>
  </si>
  <si>
    <t>112,5</t>
  </si>
  <si>
    <t>Шевалдова Марина</t>
  </si>
  <si>
    <t>Open (15.10.1985)/29</t>
  </si>
  <si>
    <t>69,50</t>
  </si>
  <si>
    <t>52,5</t>
  </si>
  <si>
    <t>40,0</t>
  </si>
  <si>
    <t>Добролюбов Александр</t>
  </si>
  <si>
    <t>73,80</t>
  </si>
  <si>
    <t>80,0</t>
  </si>
  <si>
    <t>125,0</t>
  </si>
  <si>
    <t>145,0</t>
  </si>
  <si>
    <t>Леванов Михаил</t>
  </si>
  <si>
    <t>Open (08.12.1989)/25</t>
  </si>
  <si>
    <t>80,70</t>
  </si>
  <si>
    <t>165,0</t>
  </si>
  <si>
    <t>132,5</t>
  </si>
  <si>
    <t>Сафин Алексей</t>
  </si>
  <si>
    <t>Open (19.03.1991)/24</t>
  </si>
  <si>
    <t>89,20</t>
  </si>
  <si>
    <t>Крылов Алексей</t>
  </si>
  <si>
    <t>Open (21.02.1988)/27</t>
  </si>
  <si>
    <t>98,50</t>
  </si>
  <si>
    <t>192,5</t>
  </si>
  <si>
    <t>197,5</t>
  </si>
  <si>
    <t>127,5</t>
  </si>
  <si>
    <t>247,0</t>
  </si>
  <si>
    <t>262,5</t>
  </si>
  <si>
    <t>272,5</t>
  </si>
  <si>
    <t>Хаткевич Алексей</t>
  </si>
  <si>
    <t>Open (28.11.1988)/26</t>
  </si>
  <si>
    <t>106,70</t>
  </si>
  <si>
    <t>245,0</t>
  </si>
  <si>
    <t xml:space="preserve">Рыбаков Дмитрий </t>
  </si>
  <si>
    <t>70,00</t>
  </si>
  <si>
    <t>55,0</t>
  </si>
  <si>
    <t>Бидюк Антон</t>
  </si>
  <si>
    <t>Juniors 20-23 (27.01.1993)/22</t>
  </si>
  <si>
    <t>Бурундуков Дмитрий</t>
  </si>
  <si>
    <t>Teenage 15-19 (03.09.1997)/17</t>
  </si>
  <si>
    <t>82,20</t>
  </si>
  <si>
    <t>117,5</t>
  </si>
  <si>
    <t>222,5</t>
  </si>
  <si>
    <t xml:space="preserve">Карпов Владимир </t>
  </si>
  <si>
    <t>Дедюлин Денис</t>
  </si>
  <si>
    <t>Masters 40-44 (27.03.1973)/42</t>
  </si>
  <si>
    <t>Бородий Владислав</t>
  </si>
  <si>
    <t>Open (07.11.1982)/32</t>
  </si>
  <si>
    <t>104,00</t>
  </si>
  <si>
    <t xml:space="preserve">Псков </t>
  </si>
  <si>
    <t xml:space="preserve">Псков/Псковская область </t>
  </si>
  <si>
    <t>Петров Всеволод</t>
  </si>
  <si>
    <t>Open (04.08.1979)/35</t>
  </si>
  <si>
    <t xml:space="preserve">Морозов Ф. </t>
  </si>
  <si>
    <t>Харчук Ирина</t>
  </si>
  <si>
    <t>Open (18.02.1983)/32</t>
  </si>
  <si>
    <t>59,60</t>
  </si>
  <si>
    <t>Данельянц Артем</t>
  </si>
  <si>
    <t>Juniors 20-23 (01.08.1993)/22</t>
  </si>
  <si>
    <t>66,70</t>
  </si>
  <si>
    <t xml:space="preserve">Великие Луки/Псковская область </t>
  </si>
  <si>
    <t xml:space="preserve">Бородий Владислав </t>
  </si>
  <si>
    <t>Чальцев Николай</t>
  </si>
  <si>
    <t>Juniors 20-23 (20.02.1994)/21</t>
  </si>
  <si>
    <t>66,40</t>
  </si>
  <si>
    <t>115,0</t>
  </si>
  <si>
    <t>137,5</t>
  </si>
  <si>
    <t>Николаев Александр</t>
  </si>
  <si>
    <t>Open (22.09.1985)/29</t>
  </si>
  <si>
    <t>71,90</t>
  </si>
  <si>
    <t xml:space="preserve">Оленегорск </t>
  </si>
  <si>
    <t xml:space="preserve">Оленегорск/Мурманская область </t>
  </si>
  <si>
    <t>Маркин Сергей</t>
  </si>
  <si>
    <t>Open (21.05.1988)/27</t>
  </si>
  <si>
    <t>73,20</t>
  </si>
  <si>
    <t>Чернышов Виталий</t>
  </si>
  <si>
    <t>Open (17.05.1984)/31</t>
  </si>
  <si>
    <t>73,40</t>
  </si>
  <si>
    <t>147,5</t>
  </si>
  <si>
    <t>Колесников Сергей</t>
  </si>
  <si>
    <t>Open (26.10.1977)/37</t>
  </si>
  <si>
    <t>81,60</t>
  </si>
  <si>
    <t>122,5</t>
  </si>
  <si>
    <t>Иванов Роман</t>
  </si>
  <si>
    <t>Open (13.08.1986)/28</t>
  </si>
  <si>
    <t>82,40</t>
  </si>
  <si>
    <t>142,5</t>
  </si>
  <si>
    <t xml:space="preserve">Одинец Андрей </t>
  </si>
  <si>
    <t>Рыбаков Анатолий</t>
  </si>
  <si>
    <t>Teenage 15-19 (17.03.1996)/19</t>
  </si>
  <si>
    <t>89,50</t>
  </si>
  <si>
    <t>162,0</t>
  </si>
  <si>
    <t>88,60</t>
  </si>
  <si>
    <t>88,80</t>
  </si>
  <si>
    <t>Masters 40-44 (06.07.1973)/42</t>
  </si>
  <si>
    <t>88,90</t>
  </si>
  <si>
    <t>98,60</t>
  </si>
  <si>
    <t>Алексеев Иван</t>
  </si>
  <si>
    <t>Open (19.03.1981)/34</t>
  </si>
  <si>
    <t>99,00</t>
  </si>
  <si>
    <t>157,5</t>
  </si>
  <si>
    <t>Горностаев Александр</t>
  </si>
  <si>
    <t>Open (25.04.1980)/35</t>
  </si>
  <si>
    <t>93,10</t>
  </si>
  <si>
    <t>Снегирев Николай</t>
  </si>
  <si>
    <t>Open (14.03.1986)/29</t>
  </si>
  <si>
    <t>99,40</t>
  </si>
  <si>
    <t xml:space="preserve">Волосово </t>
  </si>
  <si>
    <t xml:space="preserve">Волосово/Ленинградская область </t>
  </si>
  <si>
    <t>162,5</t>
  </si>
  <si>
    <t>Смирнов Геннадий</t>
  </si>
  <si>
    <t>Masters 45-49 (06.02.1969)/46</t>
  </si>
  <si>
    <t>93,80</t>
  </si>
  <si>
    <t>Петров Андрей</t>
  </si>
  <si>
    <t>Open (29.01.1983)/32</t>
  </si>
  <si>
    <t>111,90</t>
  </si>
  <si>
    <t>Новицкий Дмитрий</t>
  </si>
  <si>
    <t>Open (10.01.1989)/26</t>
  </si>
  <si>
    <t>117,50</t>
  </si>
  <si>
    <t xml:space="preserve">Сертолово </t>
  </si>
  <si>
    <t xml:space="preserve">Сертолово/Ленинградская область </t>
  </si>
  <si>
    <t xml:space="preserve">Алибегов Мурад </t>
  </si>
  <si>
    <t>56,0350</t>
  </si>
  <si>
    <t>47,8550</t>
  </si>
  <si>
    <t xml:space="preserve">48 </t>
  </si>
  <si>
    <t>74,6800</t>
  </si>
  <si>
    <t>57,6360</t>
  </si>
  <si>
    <t>85,6940</t>
  </si>
  <si>
    <t>104,2065</t>
  </si>
  <si>
    <t>103,1513</t>
  </si>
  <si>
    <t>89,8495</t>
  </si>
  <si>
    <t>62,8500</t>
  </si>
  <si>
    <t>105,3900</t>
  </si>
  <si>
    <t>103,6476</t>
  </si>
  <si>
    <t>91,6650</t>
  </si>
  <si>
    <t>99,9165</t>
  </si>
  <si>
    <t>91,0455</t>
  </si>
  <si>
    <t>91,7130</t>
  </si>
  <si>
    <t>85,4140</t>
  </si>
  <si>
    <t>98,3400</t>
  </si>
  <si>
    <t>85,8467</t>
  </si>
  <si>
    <t>91,8125</t>
  </si>
  <si>
    <t>82,6140</t>
  </si>
  <si>
    <t>85,1758</t>
  </si>
  <si>
    <t>94,9850</t>
  </si>
  <si>
    <t>79,5850</t>
  </si>
  <si>
    <t>Свиридов Олег</t>
  </si>
  <si>
    <t>Juniors 20-23 (10.08.1992)/22</t>
  </si>
  <si>
    <t>78,80</t>
  </si>
  <si>
    <t>150.00</t>
  </si>
  <si>
    <t>160.00</t>
  </si>
  <si>
    <t>Шалаев Евгений</t>
  </si>
  <si>
    <t>Open (25.01.1986)/29</t>
  </si>
  <si>
    <t xml:space="preserve">Нижний Новгород </t>
  </si>
  <si>
    <t xml:space="preserve">Нижний Новгород/Нижегородская область </t>
  </si>
  <si>
    <t>182.50</t>
  </si>
  <si>
    <t>Хапов Виктор</t>
  </si>
  <si>
    <t>Masters 45-49 (20.07.1966)/49</t>
  </si>
  <si>
    <t>120.00</t>
  </si>
  <si>
    <t>Шевнин Владимир</t>
  </si>
  <si>
    <t>Masters 60-64 (06.08.1953)/61</t>
  </si>
  <si>
    <t>102,00</t>
  </si>
  <si>
    <t>135.00</t>
  </si>
  <si>
    <t>202.50</t>
  </si>
  <si>
    <t>Карабак Денис</t>
  </si>
  <si>
    <t>Open (12.09.1982)/32</t>
  </si>
  <si>
    <t>119,40</t>
  </si>
  <si>
    <t>200.00</t>
  </si>
  <si>
    <t>30,0</t>
  </si>
  <si>
    <t>35,0</t>
  </si>
  <si>
    <t>67,35</t>
  </si>
  <si>
    <t>Щербаков Максим</t>
  </si>
  <si>
    <t>Open (10.01.1986)/29</t>
  </si>
  <si>
    <t>86,00</t>
  </si>
  <si>
    <t>62,5</t>
  </si>
  <si>
    <t>Junior (17.03.1996)/19</t>
  </si>
  <si>
    <t>Таиров Руслан</t>
  </si>
  <si>
    <t>Open (06.01.1985)/30</t>
  </si>
  <si>
    <t>73,0</t>
  </si>
  <si>
    <t>83,0</t>
  </si>
  <si>
    <t>58,0</t>
  </si>
  <si>
    <t>68,0</t>
  </si>
  <si>
    <t>78,0</t>
  </si>
  <si>
    <t>53,0</t>
  </si>
  <si>
    <t>Собств. вес</t>
  </si>
  <si>
    <t>Возрастная группа
Год рождения/Возраст</t>
  </si>
  <si>
    <t>Чемпионат Ленинградской области по пауэрлифтингу, его отдельным движениям, народному жиму и армлифтингу                                                                                                                                                               Тяга «Rolling Thunder»
02 августа 2015 года</t>
  </si>
  <si>
    <t>Лично</t>
  </si>
  <si>
    <t>Самостоятельно</t>
  </si>
  <si>
    <t>Чемпионат Ленинградской области по пауэрлифтингу, его отдельным движениям, народному жиму и армлифтингу                                                                                                                                                                                   Тяга «Apollon Axle»
02 августа 2015 года</t>
  </si>
  <si>
    <t>Результат</t>
  </si>
  <si>
    <t>Аполлон Аксель</t>
  </si>
  <si>
    <t>Роллинг Тандер</t>
  </si>
  <si>
    <t>Собственный вес</t>
  </si>
  <si>
    <t>Фадеев Александр</t>
  </si>
  <si>
    <t xml:space="preserve">Кронштадт/Ленинградская область  </t>
  </si>
  <si>
    <t xml:space="preserve">Кронштадт/Ленинградская область </t>
  </si>
  <si>
    <t xml:space="preserve">Кронштадт  </t>
  </si>
  <si>
    <t>Кронштадт</t>
  </si>
  <si>
    <t xml:space="preserve">Лично </t>
  </si>
  <si>
    <t>Кронштадт/Ленинградская область</t>
  </si>
  <si>
    <t>Тоннаж</t>
  </si>
  <si>
    <t>Чемпионат Ленинградской области по пауэрлифтингу, его отдельным движениям, народному жиму и армлифтингу                                                                                                                                                               Жим лежа в однослойной экипировке IPL с прохождением допинг контроля
02 августа 2015 года</t>
  </si>
  <si>
    <t>Чемпионат Ленинградской области по пауэрлифтингу, его отдельным движениям, народному жиму и армлифтингу Жим лежа в однослойной экипировке IPL
02 августа 2015 года</t>
  </si>
  <si>
    <t>Чемпионат Ленинградской области по Пауэрлифтингу, его отдельным движениям, народному жиму и армлифтингу Народный жим (1 вес)
02 августа 2015 года</t>
  </si>
  <si>
    <t>Чемпионат Ленинградской области по пауэрлифтингу, его отдельным движениям, народному жиму и армлифтингу Народный жим (1/2 вес) с прохождением допинг контроля
02 августа 2015 года</t>
  </si>
  <si>
    <t>Чемпионат Ленинградской области по пауэрлифтингу, его отдельным движениям, народному жиму и армлифтингу                                                                                                                                                     Народный жим (1 вес) с прохождением допинг контроля
02 августа 2015 года</t>
  </si>
  <si>
    <t>Чемпионат Ленинградской области по пауэрлифтингу, его отдельным движениям, народному жиму и армлифтингу                                                                                                                                                       Пауэрспорт с прохождением допинг контроля
02 августа 2015 года</t>
  </si>
  <si>
    <t>Длужневский Сергей</t>
  </si>
  <si>
    <t>Чемпионат Ленинградской области по пауэрлифтингу, его одтельным движениям, народному жиму и армлифтингу       Жим лежа без экипировки IPL 
02 августа 2015 года</t>
  </si>
  <si>
    <t>Город/область</t>
  </si>
  <si>
    <t>Санкт-Петербург/Ленинградская область</t>
  </si>
  <si>
    <t xml:space="preserve">Легчилин Роман </t>
  </si>
  <si>
    <t>Чемпионат Ленинградской области по пауэрлифтингу, его отдельным движениям, народному жиму и армлифтингу                                                                                                                                                                                    Жим лежа без экипировки IPL с прохождением допинг контроля
02 августа 2015 года</t>
  </si>
  <si>
    <t>Чемпионат Ленинградской области по пауэрлифтингу, его отдельным движениям, народному жиму и армлифтингу Становая тяга без экипировки IPL с прохождением допинг контроля
02 августа 2015 года</t>
  </si>
  <si>
    <t>Чемпионат Ленинградской области по пауэрлифтингу, его отдельным движениям, народному жиму и армлифтингу Становая тяга без экипировки IPL 
02 августа 2015 года</t>
  </si>
  <si>
    <t>Чемпионат Ленинградской области по пауэрлифтингу, его отдельным движениям, народному жиму и армлифтингу                                                                                                                                                                                          Присед без экипировки IPL с прохождением допинг контроля
02 августа 2015 года</t>
  </si>
  <si>
    <t>Чемпионат Ленинградской области по пауэрлифтингу, его отдельным движениям, народному жиму и армлифтингу Пауэрлифтинг без экипировки IPL 
02 августа 2015 года</t>
  </si>
  <si>
    <t>Ивачев Александр</t>
  </si>
  <si>
    <t xml:space="preserve">Таранухин Георгий </t>
  </si>
  <si>
    <t>Чемпионат Ленинградской области по пауэрлифтингу, его отдельным движениям, народному жиму и армлифтингу                                                                            Пауэрлифтинг без экипировки IPL с прохождением допинг контроля
02 августа 2015 года</t>
  </si>
  <si>
    <t>Чемпионат Ленинградской области по пауэрлифтингу, его отдельным движениям, народному жиму и армлифтингу                     Пауэрлифтинг в бинтах IPL 
02 августа 2015 года</t>
  </si>
  <si>
    <t>Чемпионат Ленинградской области по пауэрлифтингу, его отдельным движениям, народному жиму и армлифтингу                                       Пауэрлифтинг в бинтах IPL с прохождением допинг контроля
02 августа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</si>
</sst>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24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33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88">
    <xf numFmtId="0" fontId="0" fillId="0" borderId="0" xfId="0"/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left"/>
    </xf>
    <xf numFmtId="49" fontId="0" fillId="0" borderId="1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center"/>
    </xf>
    <xf numFmtId="49" fontId="0" fillId="0" borderId="15" xfId="0" applyNumberFormat="1" applyFill="1" applyBorder="1" applyAlignment="1">
      <alignment horizontal="left"/>
    </xf>
    <xf numFmtId="49" fontId="2" fillId="0" borderId="16" xfId="0" applyNumberFormat="1" applyFont="1" applyFill="1" applyBorder="1" applyAlignment="1">
      <alignment horizontal="left"/>
    </xf>
    <xf numFmtId="49" fontId="0" fillId="0" borderId="16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left"/>
    </xf>
    <xf numFmtId="49" fontId="8" fillId="0" borderId="16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 indent="1"/>
    </xf>
    <xf numFmtId="49" fontId="12" fillId="0" borderId="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0" fillId="0" borderId="13" xfId="0" applyNumberFormat="1" applyBorder="1"/>
    <xf numFmtId="49" fontId="8" fillId="0" borderId="13" xfId="0" applyNumberFormat="1" applyFont="1" applyBorder="1"/>
    <xf numFmtId="49" fontId="5" fillId="0" borderId="0" xfId="0" applyNumberFormat="1" applyFont="1" applyAlignment="1">
      <alignment horizontal="left"/>
    </xf>
    <xf numFmtId="49" fontId="10" fillId="0" borderId="0" xfId="0" applyNumberFormat="1" applyFont="1"/>
    <xf numFmtId="49" fontId="7" fillId="0" borderId="0" xfId="0" applyNumberFormat="1" applyFont="1"/>
    <xf numFmtId="49" fontId="12" fillId="0" borderId="0" xfId="0" applyNumberFormat="1" applyFont="1"/>
    <xf numFmtId="49" fontId="3" fillId="0" borderId="13" xfId="0" applyNumberFormat="1" applyFont="1" applyBorder="1" applyAlignment="1">
      <alignment horizontal="center" vertical="center"/>
    </xf>
    <xf numFmtId="49" fontId="0" fillId="0" borderId="14" xfId="0" applyNumberFormat="1" applyBorder="1"/>
    <xf numFmtId="49" fontId="8" fillId="0" borderId="14" xfId="0" applyNumberFormat="1" applyFont="1" applyBorder="1"/>
    <xf numFmtId="49" fontId="0" fillId="0" borderId="16" xfId="0" applyNumberFormat="1" applyBorder="1"/>
    <xf numFmtId="49" fontId="8" fillId="0" borderId="16" xfId="0" applyNumberFormat="1" applyFont="1" applyBorder="1"/>
    <xf numFmtId="49" fontId="0" fillId="0" borderId="15" xfId="0" applyNumberFormat="1" applyBorder="1"/>
    <xf numFmtId="49" fontId="8" fillId="0" borderId="15" xfId="0" applyNumberFormat="1" applyFont="1" applyBorder="1"/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/>
    <xf numFmtId="49" fontId="9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11" fillId="0" borderId="0" xfId="0" applyNumberFormat="1" applyFont="1" applyAlignment="1"/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2" fillId="0" borderId="0" xfId="0" applyNumberFormat="1" applyFont="1" applyFill="1" applyBorder="1" applyAlignment="1"/>
    <xf numFmtId="49" fontId="2" fillId="0" borderId="14" xfId="0" applyNumberFormat="1" applyFont="1" applyBorder="1"/>
    <xf numFmtId="49" fontId="2" fillId="0" borderId="13" xfId="0" applyNumberFormat="1" applyFont="1" applyBorder="1"/>
    <xf numFmtId="49" fontId="2" fillId="0" borderId="15" xfId="0" applyNumberFormat="1" applyFont="1" applyBorder="1"/>
    <xf numFmtId="49" fontId="0" fillId="0" borderId="13" xfId="0" applyNumberFormat="1" applyBorder="1" applyAlignment="1">
      <alignment horizontal="left"/>
    </xf>
    <xf numFmtId="49" fontId="0" fillId="0" borderId="13" xfId="0" applyNumberFormat="1" applyBorder="1" applyAlignment="1"/>
    <xf numFmtId="49" fontId="0" fillId="0" borderId="14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0" fillId="0" borderId="14" xfId="0" applyNumberForma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0" fillId="0" borderId="14" xfId="0" applyNumberFormat="1" applyFill="1" applyBorder="1" applyAlignment="1"/>
    <xf numFmtId="49" fontId="0" fillId="0" borderId="13" xfId="0" applyNumberFormat="1" applyFill="1" applyBorder="1" applyAlignment="1"/>
    <xf numFmtId="49" fontId="2" fillId="0" borderId="16" xfId="0" applyNumberFormat="1" applyFont="1" applyBorder="1"/>
    <xf numFmtId="49" fontId="2" fillId="0" borderId="13" xfId="0" applyNumberFormat="1" applyFont="1" applyBorder="1" applyAlignment="1"/>
    <xf numFmtId="49" fontId="8" fillId="0" borderId="13" xfId="0" applyNumberFormat="1" applyFont="1" applyBorder="1" applyAlignment="1"/>
    <xf numFmtId="49" fontId="11" fillId="0" borderId="0" xfId="0" applyNumberFormat="1" applyFont="1" applyAlignment="1">
      <alignment horizontal="left"/>
    </xf>
  </cellXfs>
  <cellStyles count="13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3" workbookViewId="0">
      <selection activeCell="F23" sqref="F23"/>
    </sheetView>
  </sheetViews>
  <sheetFormatPr baseColWidth="10" defaultColWidth="8.7109375" defaultRowHeight="13" x14ac:dyDescent="0"/>
  <cols>
    <col min="1" max="1" width="31.85546875" style="26" bestFit="1" customWidth="1"/>
    <col min="2" max="2" width="26" style="26" bestFit="1" customWidth="1"/>
    <col min="3" max="3" width="12.28515625" style="26" bestFit="1" customWidth="1"/>
    <col min="4" max="4" width="11" style="26" customWidth="1"/>
    <col min="5" max="5" width="23.42578125" style="26" customWidth="1"/>
    <col min="6" max="6" width="34.28515625" style="26" customWidth="1"/>
    <col min="7" max="9" width="5.5703125" style="26" customWidth="1"/>
    <col min="10" max="11" width="5.85546875" style="26" customWidth="1"/>
    <col min="12" max="12" width="5.28515625" style="26" customWidth="1"/>
    <col min="13" max="13" width="5.5703125" style="26" customWidth="1"/>
    <col min="14" max="14" width="6" style="26" customWidth="1"/>
    <col min="15" max="15" width="7.85546875" style="26" bestFit="1" customWidth="1"/>
    <col min="16" max="16" width="7.5703125" style="26" bestFit="1" customWidth="1"/>
    <col min="17" max="17" width="16.7109375" style="26" customWidth="1"/>
  </cols>
  <sheetData>
    <row r="1" spans="1:17" s="1" customFormat="1" ht="15" customHeight="1">
      <c r="A1" s="42" t="s">
        <v>453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17" s="1" customFormat="1" ht="136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7"/>
    </row>
    <row r="3" spans="1:17" s="2" customFormat="1" ht="12.75" customHeight="1">
      <c r="A3" s="48" t="s">
        <v>0</v>
      </c>
      <c r="B3" s="50" t="s">
        <v>431</v>
      </c>
      <c r="C3" s="52" t="s">
        <v>430</v>
      </c>
      <c r="D3" s="52" t="s">
        <v>11</v>
      </c>
      <c r="E3" s="52" t="s">
        <v>8</v>
      </c>
      <c r="F3" s="52" t="s">
        <v>456</v>
      </c>
      <c r="G3" s="52" t="s">
        <v>2</v>
      </c>
      <c r="H3" s="52"/>
      <c r="I3" s="52"/>
      <c r="J3" s="52"/>
      <c r="K3" s="52" t="s">
        <v>3</v>
      </c>
      <c r="L3" s="52"/>
      <c r="M3" s="52"/>
      <c r="N3" s="52"/>
      <c r="O3" s="52" t="s">
        <v>4</v>
      </c>
      <c r="P3" s="52" t="s">
        <v>7</v>
      </c>
      <c r="Q3" s="53" t="s">
        <v>6</v>
      </c>
    </row>
    <row r="4" spans="1:17" s="2" customFormat="1" ht="21" customHeight="1" thickBot="1">
      <c r="A4" s="49"/>
      <c r="B4" s="51"/>
      <c r="C4" s="51"/>
      <c r="D4" s="51"/>
      <c r="E4" s="51"/>
      <c r="F4" s="51"/>
      <c r="G4" s="3">
        <v>1</v>
      </c>
      <c r="H4" s="3">
        <v>2</v>
      </c>
      <c r="I4" s="3">
        <v>3</v>
      </c>
      <c r="J4" s="3" t="s">
        <v>9</v>
      </c>
      <c r="K4" s="3">
        <v>1</v>
      </c>
      <c r="L4" s="3">
        <v>2</v>
      </c>
      <c r="M4" s="3">
        <v>3</v>
      </c>
      <c r="N4" s="3" t="s">
        <v>9</v>
      </c>
      <c r="O4" s="51"/>
      <c r="P4" s="51"/>
      <c r="Q4" s="54"/>
    </row>
    <row r="5" spans="1:17" ht="16">
      <c r="A5" s="55" t="s">
        <v>12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7">
      <c r="A6" s="70" t="s">
        <v>122</v>
      </c>
      <c r="B6" s="27" t="s">
        <v>123</v>
      </c>
      <c r="C6" s="72" t="s">
        <v>124</v>
      </c>
      <c r="D6" s="72" t="str">
        <f>"0,8421"</f>
        <v>0,8421</v>
      </c>
      <c r="E6" s="72" t="s">
        <v>53</v>
      </c>
      <c r="F6" s="72" t="s">
        <v>457</v>
      </c>
      <c r="G6" s="78" t="s">
        <v>98</v>
      </c>
      <c r="H6" s="78" t="s">
        <v>414</v>
      </c>
      <c r="I6" s="78" t="s">
        <v>415</v>
      </c>
      <c r="J6" s="79"/>
      <c r="K6" s="78" t="s">
        <v>98</v>
      </c>
      <c r="L6" s="79"/>
      <c r="M6" s="79"/>
      <c r="N6" s="79"/>
      <c r="O6" s="78">
        <v>60</v>
      </c>
      <c r="P6" s="78" t="str">
        <f>"50,5290"</f>
        <v>50,5290</v>
      </c>
      <c r="Q6" s="27" t="s">
        <v>128</v>
      </c>
    </row>
    <row r="8" spans="1:17" ht="16">
      <c r="A8" s="41" t="s">
        <v>207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7">
      <c r="A9" s="70" t="s">
        <v>215</v>
      </c>
      <c r="B9" s="27" t="s">
        <v>216</v>
      </c>
      <c r="C9" s="72" t="s">
        <v>416</v>
      </c>
      <c r="D9" s="72" t="str">
        <f>"0,7498"</f>
        <v>0,7498</v>
      </c>
      <c r="E9" s="72" t="s">
        <v>53</v>
      </c>
      <c r="F9" s="72" t="s">
        <v>457</v>
      </c>
      <c r="G9" s="78" t="s">
        <v>245</v>
      </c>
      <c r="H9" s="78" t="s">
        <v>246</v>
      </c>
      <c r="I9" s="78" t="s">
        <v>239</v>
      </c>
      <c r="J9" s="79"/>
      <c r="K9" s="78" t="s">
        <v>212</v>
      </c>
      <c r="L9" s="78" t="s">
        <v>281</v>
      </c>
      <c r="M9" s="78" t="s">
        <v>213</v>
      </c>
      <c r="N9" s="79"/>
      <c r="O9" s="78">
        <v>127.5</v>
      </c>
      <c r="P9" s="78" t="str">
        <f>"95,6059"</f>
        <v>95,6059</v>
      </c>
      <c r="Q9" s="27" t="s">
        <v>440</v>
      </c>
    </row>
    <row r="11" spans="1:17" ht="16">
      <c r="A11" s="41" t="s">
        <v>35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17">
      <c r="A12" s="69" t="s">
        <v>417</v>
      </c>
      <c r="B12" s="34" t="s">
        <v>418</v>
      </c>
      <c r="C12" s="74" t="s">
        <v>419</v>
      </c>
      <c r="D12" s="74" t="str">
        <f>"0,6281"</f>
        <v>0,6281</v>
      </c>
      <c r="E12" s="72" t="s">
        <v>53</v>
      </c>
      <c r="F12" s="74" t="s">
        <v>457</v>
      </c>
      <c r="G12" s="77" t="s">
        <v>245</v>
      </c>
      <c r="H12" s="76" t="s">
        <v>239</v>
      </c>
      <c r="I12" s="76" t="s">
        <v>17</v>
      </c>
      <c r="J12" s="77"/>
      <c r="K12" s="76" t="s">
        <v>212</v>
      </c>
      <c r="L12" s="76" t="s">
        <v>281</v>
      </c>
      <c r="M12" s="76" t="s">
        <v>245</v>
      </c>
      <c r="N12" s="77"/>
      <c r="O12" s="76">
        <v>135</v>
      </c>
      <c r="P12" s="76" t="str">
        <f>"84,7935"</f>
        <v>84,7935</v>
      </c>
      <c r="Q12" s="34" t="s">
        <v>434</v>
      </c>
    </row>
    <row r="13" spans="1:17">
      <c r="A13" s="70" t="s">
        <v>62</v>
      </c>
      <c r="B13" s="27" t="s">
        <v>63</v>
      </c>
      <c r="C13" s="72" t="s">
        <v>64</v>
      </c>
      <c r="D13" s="72" t="str">
        <f>"0,6122"</f>
        <v>0,6122</v>
      </c>
      <c r="E13" s="72" t="s">
        <v>53</v>
      </c>
      <c r="F13" s="72" t="s">
        <v>457</v>
      </c>
      <c r="G13" s="78" t="s">
        <v>212</v>
      </c>
      <c r="H13" s="78" t="s">
        <v>281</v>
      </c>
      <c r="I13" s="78" t="s">
        <v>245</v>
      </c>
      <c r="J13" s="79"/>
      <c r="K13" s="78" t="s">
        <v>212</v>
      </c>
      <c r="L13" s="78" t="s">
        <v>213</v>
      </c>
      <c r="M13" s="79" t="s">
        <v>420</v>
      </c>
      <c r="N13" s="79"/>
      <c r="O13" s="78">
        <v>117.5</v>
      </c>
      <c r="P13" s="78" t="str">
        <f>"71,9394"</f>
        <v>71,9394</v>
      </c>
      <c r="Q13" s="27" t="s">
        <v>434</v>
      </c>
    </row>
  </sheetData>
  <mergeCells count="15">
    <mergeCell ref="A5:P5"/>
    <mergeCell ref="A8:P8"/>
    <mergeCell ref="A11:P11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1"/>
  <sheetViews>
    <sheetView workbookViewId="0">
      <selection activeCell="F26" sqref="F26"/>
    </sheetView>
  </sheetViews>
  <sheetFormatPr baseColWidth="10" defaultColWidth="8.7109375" defaultRowHeight="13" x14ac:dyDescent="0"/>
  <cols>
    <col min="1" max="1" width="34.5703125" style="4" bestFit="1" customWidth="1"/>
    <col min="2" max="2" width="26.85546875" style="1" bestFit="1" customWidth="1"/>
    <col min="3" max="3" width="12.28515625" style="1" bestFit="1" customWidth="1"/>
    <col min="4" max="4" width="8.42578125" style="1" bestFit="1" customWidth="1"/>
    <col min="5" max="5" width="22.7109375" style="5" bestFit="1" customWidth="1"/>
    <col min="6" max="6" width="35.42578125" style="5" customWidth="1"/>
    <col min="7" max="9" width="5.5703125" style="1" bestFit="1" customWidth="1"/>
    <col min="10" max="10" width="4.5703125" style="1" bestFit="1" customWidth="1"/>
    <col min="11" max="11" width="9.5703125" style="4" customWidth="1"/>
    <col min="12" max="12" width="8.5703125" style="1" bestFit="1" customWidth="1"/>
    <col min="13" max="13" width="35" style="5" customWidth="1"/>
    <col min="14" max="16384" width="8.7109375" style="1"/>
  </cols>
  <sheetData>
    <row r="1" spans="1:13" ht="15" customHeight="1">
      <c r="A1" s="42" t="s">
        <v>455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ht="102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2" customFormat="1" ht="12.75" customHeight="1">
      <c r="A3" s="48" t="s">
        <v>0</v>
      </c>
      <c r="B3" s="50" t="s">
        <v>431</v>
      </c>
      <c r="C3" s="52" t="s">
        <v>430</v>
      </c>
      <c r="D3" s="52" t="s">
        <v>121</v>
      </c>
      <c r="E3" s="52" t="s">
        <v>8</v>
      </c>
      <c r="F3" s="52" t="s">
        <v>456</v>
      </c>
      <c r="G3" s="52" t="s">
        <v>2</v>
      </c>
      <c r="H3" s="52"/>
      <c r="I3" s="52"/>
      <c r="J3" s="52"/>
      <c r="K3" s="52" t="s">
        <v>436</v>
      </c>
      <c r="L3" s="52" t="s">
        <v>7</v>
      </c>
      <c r="M3" s="53" t="s">
        <v>6</v>
      </c>
    </row>
    <row r="4" spans="1:13" s="2" customFormat="1" ht="21" customHeight="1" thickBot="1">
      <c r="A4" s="49"/>
      <c r="B4" s="51"/>
      <c r="C4" s="51"/>
      <c r="D4" s="51"/>
      <c r="E4" s="51"/>
      <c r="F4" s="51"/>
      <c r="G4" s="3">
        <v>1</v>
      </c>
      <c r="H4" s="3">
        <v>2</v>
      </c>
      <c r="I4" s="3">
        <v>3</v>
      </c>
      <c r="J4" s="3" t="s">
        <v>9</v>
      </c>
      <c r="K4" s="51"/>
      <c r="L4" s="51"/>
      <c r="M4" s="54"/>
    </row>
    <row r="5" spans="1:13" ht="16">
      <c r="A5" s="56" t="s">
        <v>21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3">
      <c r="A6" s="10" t="s">
        <v>392</v>
      </c>
      <c r="B6" s="82" t="s">
        <v>393</v>
      </c>
      <c r="C6" s="82" t="s">
        <v>394</v>
      </c>
      <c r="D6" s="82" t="str">
        <f>"0,6893"</f>
        <v>0,6893</v>
      </c>
      <c r="E6" s="12" t="s">
        <v>25</v>
      </c>
      <c r="F6" s="74" t="s">
        <v>457</v>
      </c>
      <c r="G6" s="11" t="s">
        <v>332</v>
      </c>
      <c r="H6" s="11" t="s">
        <v>224</v>
      </c>
      <c r="I6" s="13" t="s">
        <v>233</v>
      </c>
      <c r="J6" s="13"/>
      <c r="K6" s="10" t="s">
        <v>395</v>
      </c>
      <c r="L6" s="11" t="str">
        <f>"103,3950"</f>
        <v>103,3950</v>
      </c>
      <c r="M6" s="12" t="s">
        <v>434</v>
      </c>
    </row>
    <row r="7" spans="1:13">
      <c r="A7" s="6" t="s">
        <v>110</v>
      </c>
      <c r="B7" s="83" t="s">
        <v>111</v>
      </c>
      <c r="C7" s="83" t="s">
        <v>331</v>
      </c>
      <c r="D7" s="83" t="str">
        <f>"0,6704"</f>
        <v>0,6704</v>
      </c>
      <c r="E7" s="8" t="s">
        <v>25</v>
      </c>
      <c r="F7" s="8" t="s">
        <v>441</v>
      </c>
      <c r="G7" s="7" t="s">
        <v>224</v>
      </c>
      <c r="H7" s="7" t="s">
        <v>136</v>
      </c>
      <c r="I7" s="9" t="s">
        <v>261</v>
      </c>
      <c r="J7" s="9"/>
      <c r="K7" s="6" t="s">
        <v>396</v>
      </c>
      <c r="L7" s="7" t="str">
        <f>"107,2640"</f>
        <v>107,2640</v>
      </c>
      <c r="M7" s="8" t="s">
        <v>434</v>
      </c>
    </row>
    <row r="9" spans="1:13" ht="16">
      <c r="A9" s="57" t="s">
        <v>35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3">
      <c r="A10" s="10" t="s">
        <v>397</v>
      </c>
      <c r="B10" s="12" t="s">
        <v>398</v>
      </c>
      <c r="C10" s="12" t="s">
        <v>265</v>
      </c>
      <c r="D10" s="12" t="str">
        <f>"0,6413"</f>
        <v>0,6413</v>
      </c>
      <c r="E10" s="12" t="s">
        <v>399</v>
      </c>
      <c r="F10" s="12" t="s">
        <v>400</v>
      </c>
      <c r="G10" s="11" t="s">
        <v>143</v>
      </c>
      <c r="H10" s="11" t="s">
        <v>160</v>
      </c>
      <c r="I10" s="11" t="s">
        <v>144</v>
      </c>
      <c r="J10" s="13"/>
      <c r="K10" s="10" t="s">
        <v>401</v>
      </c>
      <c r="L10" s="11" t="str">
        <f>"117,0373"</f>
        <v>117,0373</v>
      </c>
      <c r="M10" s="12" t="s">
        <v>434</v>
      </c>
    </row>
    <row r="11" spans="1:13">
      <c r="A11" s="6" t="s">
        <v>402</v>
      </c>
      <c r="B11" s="8" t="s">
        <v>403</v>
      </c>
      <c r="C11" s="8" t="s">
        <v>184</v>
      </c>
      <c r="D11" s="8" t="str">
        <f>"0,6471"</f>
        <v>0,6471</v>
      </c>
      <c r="E11" s="8" t="s">
        <v>25</v>
      </c>
      <c r="F11" s="8" t="s">
        <v>441</v>
      </c>
      <c r="G11" s="7" t="s">
        <v>211</v>
      </c>
      <c r="H11" s="7" t="s">
        <v>311</v>
      </c>
      <c r="I11" s="7" t="s">
        <v>166</v>
      </c>
      <c r="J11" s="9"/>
      <c r="K11" s="6" t="s">
        <v>404</v>
      </c>
      <c r="L11" s="7" t="str">
        <f>"87,9021"</f>
        <v>87,9021</v>
      </c>
      <c r="M11" s="8" t="s">
        <v>434</v>
      </c>
    </row>
    <row r="13" spans="1:13" ht="16">
      <c r="A13" s="57" t="s">
        <v>174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4" spans="1:13">
      <c r="A14" s="6" t="s">
        <v>405</v>
      </c>
      <c r="B14" s="8" t="s">
        <v>406</v>
      </c>
      <c r="C14" s="8" t="s">
        <v>407</v>
      </c>
      <c r="D14" s="8" t="str">
        <f>"0,6039"</f>
        <v>0,6039</v>
      </c>
      <c r="E14" s="8" t="s">
        <v>25</v>
      </c>
      <c r="F14" s="8" t="s">
        <v>441</v>
      </c>
      <c r="G14" s="7" t="s">
        <v>167</v>
      </c>
      <c r="H14" s="7" t="s">
        <v>134</v>
      </c>
      <c r="I14" s="9" t="s">
        <v>168</v>
      </c>
      <c r="J14" s="9"/>
      <c r="K14" s="6" t="s">
        <v>408</v>
      </c>
      <c r="L14" s="7" t="str">
        <f>"114,9524"</f>
        <v>114,9524</v>
      </c>
      <c r="M14" s="8" t="s">
        <v>434</v>
      </c>
    </row>
    <row r="16" spans="1:13" ht="16">
      <c r="A16" s="57" t="s">
        <v>195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13">
      <c r="A17" s="10" t="s">
        <v>362</v>
      </c>
      <c r="B17" s="12" t="s">
        <v>363</v>
      </c>
      <c r="C17" s="12" t="s">
        <v>364</v>
      </c>
      <c r="D17" s="12" t="str">
        <f>"0,5778"</f>
        <v>0,5778</v>
      </c>
      <c r="E17" s="12" t="s">
        <v>365</v>
      </c>
      <c r="F17" s="12" t="s">
        <v>366</v>
      </c>
      <c r="G17" s="11" t="s">
        <v>269</v>
      </c>
      <c r="H17" s="11" t="s">
        <v>161</v>
      </c>
      <c r="I17" s="13" t="s">
        <v>156</v>
      </c>
      <c r="J17" s="13"/>
      <c r="K17" s="10" t="s">
        <v>409</v>
      </c>
      <c r="L17" s="11" t="str">
        <f>"117,0045"</f>
        <v>117,0045</v>
      </c>
      <c r="M17" s="12" t="s">
        <v>367</v>
      </c>
    </row>
    <row r="18" spans="1:13">
      <c r="A18" s="6" t="s">
        <v>410</v>
      </c>
      <c r="B18" s="8" t="s">
        <v>411</v>
      </c>
      <c r="C18" s="8" t="s">
        <v>412</v>
      </c>
      <c r="D18" s="8" t="str">
        <f>"0,5756"</f>
        <v>0,5756</v>
      </c>
      <c r="E18" s="8" t="s">
        <v>53</v>
      </c>
      <c r="F18" s="72" t="s">
        <v>457</v>
      </c>
      <c r="G18" s="7" t="s">
        <v>160</v>
      </c>
      <c r="H18" s="7" t="s">
        <v>145</v>
      </c>
      <c r="I18" s="7" t="s">
        <v>155</v>
      </c>
      <c r="J18" s="9"/>
      <c r="K18" s="6" t="s">
        <v>413</v>
      </c>
      <c r="L18" s="7" t="str">
        <f>"115,1200"</f>
        <v>115,1200</v>
      </c>
      <c r="M18" s="8" t="s">
        <v>454</v>
      </c>
    </row>
    <row r="20" spans="1:13">
      <c r="D20" s="64"/>
      <c r="E20" s="65"/>
      <c r="F20" s="65"/>
      <c r="G20" s="65"/>
      <c r="H20" s="63"/>
      <c r="I20" s="63"/>
    </row>
    <row r="21" spans="1:13">
      <c r="D21" s="64"/>
      <c r="E21" s="65"/>
      <c r="F21" s="65"/>
      <c r="G21" s="65"/>
      <c r="H21" s="63"/>
      <c r="I21" s="63"/>
    </row>
    <row r="22" spans="1:13">
      <c r="D22" s="64"/>
      <c r="E22" s="65"/>
      <c r="F22" s="65"/>
      <c r="G22" s="65"/>
      <c r="H22" s="63"/>
      <c r="I22" s="63"/>
    </row>
    <row r="23" spans="1:13">
      <c r="D23" s="64"/>
      <c r="E23" s="65"/>
      <c r="F23" s="65"/>
      <c r="G23" s="65"/>
      <c r="H23" s="63"/>
      <c r="I23" s="63"/>
    </row>
    <row r="24" spans="1:13">
      <c r="D24" s="64"/>
      <c r="E24" s="65"/>
      <c r="F24" s="65"/>
      <c r="G24" s="65"/>
      <c r="H24" s="63"/>
      <c r="I24" s="63"/>
    </row>
    <row r="25" spans="1:13">
      <c r="D25" s="64"/>
      <c r="E25" s="65"/>
      <c r="F25" s="65"/>
      <c r="G25" s="65"/>
      <c r="H25" s="63"/>
      <c r="I25" s="63"/>
    </row>
    <row r="26" spans="1:13">
      <c r="D26" s="64"/>
      <c r="E26" s="65"/>
      <c r="F26" s="65"/>
      <c r="G26" s="65"/>
      <c r="H26" s="63"/>
      <c r="I26" s="63"/>
    </row>
    <row r="27" spans="1:13">
      <c r="D27" s="64"/>
      <c r="E27" s="65"/>
      <c r="F27" s="65"/>
      <c r="G27" s="65"/>
      <c r="H27" s="63"/>
      <c r="I27" s="63"/>
    </row>
    <row r="28" spans="1:13">
      <c r="D28" s="64"/>
      <c r="E28" s="65"/>
      <c r="F28" s="65"/>
      <c r="G28" s="65"/>
      <c r="H28" s="63"/>
      <c r="I28" s="63"/>
    </row>
    <row r="29" spans="1:13">
      <c r="D29" s="64"/>
      <c r="E29" s="65"/>
      <c r="F29" s="65"/>
      <c r="G29" s="65"/>
      <c r="H29" s="63"/>
      <c r="I29" s="63"/>
    </row>
    <row r="30" spans="1:13">
      <c r="D30" s="64"/>
      <c r="E30" s="65"/>
      <c r="F30" s="65"/>
      <c r="G30" s="65"/>
      <c r="H30" s="63"/>
      <c r="I30" s="63"/>
    </row>
    <row r="31" spans="1:13">
      <c r="D31" s="64"/>
      <c r="E31" s="65"/>
      <c r="F31" s="65"/>
      <c r="G31" s="65"/>
      <c r="H31" s="63"/>
      <c r="I31" s="63"/>
    </row>
    <row r="32" spans="1:13">
      <c r="D32" s="64"/>
      <c r="E32" s="65"/>
      <c r="F32" s="65"/>
      <c r="G32" s="65"/>
      <c r="H32" s="63"/>
      <c r="I32" s="63"/>
    </row>
    <row r="33" spans="4:9">
      <c r="D33" s="64"/>
      <c r="E33" s="65"/>
      <c r="F33" s="65"/>
      <c r="G33" s="65"/>
      <c r="H33" s="63"/>
      <c r="I33" s="63"/>
    </row>
    <row r="34" spans="4:9">
      <c r="D34" s="64"/>
      <c r="E34" s="65"/>
      <c r="F34" s="65"/>
      <c r="G34" s="65"/>
      <c r="H34" s="63"/>
      <c r="I34" s="63"/>
    </row>
    <row r="35" spans="4:9">
      <c r="D35" s="64"/>
      <c r="E35" s="65"/>
      <c r="F35" s="65"/>
      <c r="G35" s="65"/>
      <c r="H35" s="63"/>
      <c r="I35" s="63"/>
    </row>
    <row r="36" spans="4:9">
      <c r="D36" s="64"/>
      <c r="E36" s="65"/>
      <c r="F36" s="65"/>
      <c r="G36" s="65"/>
      <c r="H36" s="63"/>
      <c r="I36" s="63"/>
    </row>
    <row r="37" spans="4:9">
      <c r="D37" s="64"/>
      <c r="E37" s="65"/>
      <c r="F37" s="65"/>
      <c r="G37" s="65"/>
      <c r="H37" s="63"/>
      <c r="I37" s="63"/>
    </row>
    <row r="38" spans="4:9">
      <c r="D38" s="64"/>
      <c r="E38" s="65"/>
      <c r="F38" s="65"/>
      <c r="G38" s="65"/>
      <c r="H38" s="63"/>
      <c r="I38" s="63"/>
    </row>
    <row r="39" spans="4:9">
      <c r="D39" s="64"/>
      <c r="E39" s="65"/>
      <c r="F39" s="65"/>
      <c r="G39" s="65"/>
      <c r="H39" s="63"/>
      <c r="I39" s="63"/>
    </row>
    <row r="40" spans="4:9">
      <c r="D40" s="64"/>
      <c r="E40" s="65"/>
      <c r="F40" s="65"/>
      <c r="G40" s="65"/>
      <c r="H40" s="63"/>
      <c r="I40" s="63"/>
    </row>
    <row r="41" spans="4:9">
      <c r="D41" s="64"/>
      <c r="E41" s="65"/>
      <c r="F41" s="65"/>
      <c r="G41" s="65"/>
      <c r="H41" s="63"/>
      <c r="I41" s="63"/>
    </row>
  </sheetData>
  <mergeCells count="15">
    <mergeCell ref="A5:L5"/>
    <mergeCell ref="A9:L9"/>
    <mergeCell ref="A13:L13"/>
    <mergeCell ref="A16:L16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19685039370078741" right="0.47244094488188981" top="0.43307086614173229" bottom="0.47244094488188981" header="0.51181102362204722" footer="0.51181102362204722"/>
  <pageSetup paperSize="9" orientation="portrait" horizontalDpi="4294967292" verticalDpi="4294967292"/>
  <headerFooter alignWithMargins="0">
    <oddFooter>&amp;L&amp;G&amp;R&amp;D&amp;T&amp;P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B3" sqref="B3:F4"/>
    </sheetView>
  </sheetViews>
  <sheetFormatPr baseColWidth="10" defaultColWidth="8.7109375" defaultRowHeight="13" x14ac:dyDescent="0"/>
  <cols>
    <col min="1" max="1" width="31.85546875" style="26" bestFit="1" customWidth="1"/>
    <col min="2" max="2" width="21.42578125" style="26" bestFit="1" customWidth="1"/>
    <col min="3" max="3" width="12.28515625" style="26" bestFit="1" customWidth="1"/>
    <col min="4" max="4" width="8.42578125" style="26" bestFit="1" customWidth="1"/>
    <col min="5" max="5" width="22.7109375" style="26" bestFit="1" customWidth="1"/>
    <col min="6" max="6" width="34.85546875" style="26" customWidth="1"/>
    <col min="7" max="7" width="6.42578125" style="26" customWidth="1"/>
    <col min="8" max="8" width="7.28515625" style="26" customWidth="1"/>
    <col min="9" max="9" width="7.140625" style="26" customWidth="1"/>
    <col min="10" max="10" width="6.42578125" style="26" customWidth="1"/>
    <col min="11" max="11" width="11.7109375" style="26" customWidth="1"/>
    <col min="12" max="12" width="10.85546875" style="26" customWidth="1"/>
    <col min="13" max="13" width="23.42578125" style="26" customWidth="1"/>
  </cols>
  <sheetData>
    <row r="1" spans="1:13" s="1" customFormat="1" ht="30" customHeight="1">
      <c r="A1" s="42" t="s">
        <v>462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1" customFormat="1" ht="110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2" customFormat="1" ht="12.75" customHeight="1">
      <c r="A3" s="48" t="s">
        <v>0</v>
      </c>
      <c r="B3" s="50" t="s">
        <v>431</v>
      </c>
      <c r="C3" s="52" t="s">
        <v>430</v>
      </c>
      <c r="D3" s="52" t="s">
        <v>121</v>
      </c>
      <c r="E3" s="52" t="s">
        <v>8</v>
      </c>
      <c r="F3" s="52" t="s">
        <v>456</v>
      </c>
      <c r="G3" s="52" t="s">
        <v>1</v>
      </c>
      <c r="H3" s="52"/>
      <c r="I3" s="52"/>
      <c r="J3" s="52"/>
      <c r="K3" s="52" t="s">
        <v>436</v>
      </c>
      <c r="L3" s="52" t="s">
        <v>7</v>
      </c>
      <c r="M3" s="53" t="s">
        <v>6</v>
      </c>
    </row>
    <row r="4" spans="1:13" s="2" customFormat="1" ht="21" customHeight="1" thickBot="1">
      <c r="A4" s="49"/>
      <c r="B4" s="51"/>
      <c r="C4" s="51"/>
      <c r="D4" s="51"/>
      <c r="E4" s="51"/>
      <c r="F4" s="51"/>
      <c r="G4" s="3">
        <v>1</v>
      </c>
      <c r="H4" s="3">
        <v>2</v>
      </c>
      <c r="I4" s="3">
        <v>3</v>
      </c>
      <c r="J4" s="3" t="s">
        <v>9</v>
      </c>
      <c r="K4" s="51"/>
      <c r="L4" s="51"/>
      <c r="M4" s="54"/>
    </row>
    <row r="5" spans="1:13" ht="16">
      <c r="A5" s="55" t="s">
        <v>12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3">
      <c r="A6" s="70" t="s">
        <v>122</v>
      </c>
      <c r="B6" s="27" t="s">
        <v>123</v>
      </c>
      <c r="C6" s="27" t="s">
        <v>124</v>
      </c>
      <c r="D6" s="27" t="str">
        <f>"0,9571"</f>
        <v>0,9571</v>
      </c>
      <c r="E6" s="27" t="s">
        <v>53</v>
      </c>
      <c r="F6" s="72" t="s">
        <v>457</v>
      </c>
      <c r="G6" s="27" t="s">
        <v>125</v>
      </c>
      <c r="H6" s="27" t="s">
        <v>126</v>
      </c>
      <c r="I6" s="27" t="s">
        <v>127</v>
      </c>
      <c r="J6" s="28"/>
      <c r="K6" s="27">
        <v>105</v>
      </c>
      <c r="L6" s="27" t="str">
        <f>"100,4955"</f>
        <v>100,4955</v>
      </c>
      <c r="M6" s="27" t="s">
        <v>128</v>
      </c>
    </row>
    <row r="15" spans="1:13">
      <c r="D15" s="26" t="s">
        <v>20</v>
      </c>
    </row>
  </sheetData>
  <mergeCells count="12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>
      <selection activeCell="N27" sqref="N27"/>
    </sheetView>
  </sheetViews>
  <sheetFormatPr baseColWidth="10" defaultColWidth="8.7109375" defaultRowHeight="13" x14ac:dyDescent="0"/>
  <cols>
    <col min="1" max="1" width="31.85546875" style="26" bestFit="1" customWidth="1"/>
    <col min="2" max="2" width="26" style="26" bestFit="1" customWidth="1"/>
    <col min="3" max="3" width="12.28515625" style="26" bestFit="1" customWidth="1"/>
    <col min="4" max="4" width="8.42578125" style="26" bestFit="1" customWidth="1"/>
    <col min="5" max="5" width="22.7109375" style="26" bestFit="1" customWidth="1"/>
    <col min="6" max="6" width="32.42578125" style="26" customWidth="1"/>
    <col min="7" max="9" width="5.5703125" style="26" bestFit="1" customWidth="1"/>
    <col min="10" max="10" width="4.5703125" style="26" bestFit="1" customWidth="1"/>
    <col min="11" max="13" width="5.5703125" style="26" bestFit="1" customWidth="1"/>
    <col min="14" max="14" width="4.5703125" style="26" bestFit="1" customWidth="1"/>
    <col min="15" max="17" width="5.5703125" style="26" bestFit="1" customWidth="1"/>
    <col min="18" max="18" width="4.5703125" style="26" bestFit="1" customWidth="1"/>
    <col min="19" max="19" width="7.85546875" style="26" bestFit="1" customWidth="1"/>
    <col min="20" max="20" width="8.5703125" style="26" bestFit="1" customWidth="1"/>
    <col min="21" max="21" width="15.85546875" style="26" customWidth="1"/>
  </cols>
  <sheetData>
    <row r="1" spans="1:21" s="1" customFormat="1" ht="15" customHeight="1">
      <c r="A1" s="42" t="s">
        <v>468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1" customFormat="1" ht="102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2" customFormat="1" ht="12.75" customHeight="1">
      <c r="A3" s="48" t="s">
        <v>0</v>
      </c>
      <c r="B3" s="50" t="s">
        <v>431</v>
      </c>
      <c r="C3" s="52" t="s">
        <v>430</v>
      </c>
      <c r="D3" s="52" t="s">
        <v>121</v>
      </c>
      <c r="E3" s="52" t="s">
        <v>8</v>
      </c>
      <c r="F3" s="52" t="s">
        <v>456</v>
      </c>
      <c r="G3" s="52" t="s">
        <v>1</v>
      </c>
      <c r="H3" s="52"/>
      <c r="I3" s="52"/>
      <c r="J3" s="52"/>
      <c r="K3" s="52" t="s">
        <v>2</v>
      </c>
      <c r="L3" s="52"/>
      <c r="M3" s="52"/>
      <c r="N3" s="52"/>
      <c r="O3" s="52" t="s">
        <v>3</v>
      </c>
      <c r="P3" s="52"/>
      <c r="Q3" s="52"/>
      <c r="R3" s="52"/>
      <c r="S3" s="52" t="s">
        <v>4</v>
      </c>
      <c r="T3" s="52" t="s">
        <v>7</v>
      </c>
      <c r="U3" s="53" t="s">
        <v>6</v>
      </c>
    </row>
    <row r="4" spans="1:21" s="2" customFormat="1" ht="21" customHeight="1" thickBot="1">
      <c r="A4" s="49"/>
      <c r="B4" s="51"/>
      <c r="C4" s="51"/>
      <c r="D4" s="51"/>
      <c r="E4" s="51"/>
      <c r="F4" s="51"/>
      <c r="G4" s="3">
        <v>1</v>
      </c>
      <c r="H4" s="3">
        <v>2</v>
      </c>
      <c r="I4" s="3">
        <v>3</v>
      </c>
      <c r="J4" s="3" t="s">
        <v>9</v>
      </c>
      <c r="K4" s="3">
        <v>1</v>
      </c>
      <c r="L4" s="3">
        <v>2</v>
      </c>
      <c r="M4" s="3">
        <v>3</v>
      </c>
      <c r="N4" s="3" t="s">
        <v>9</v>
      </c>
      <c r="O4" s="3">
        <v>1</v>
      </c>
      <c r="P4" s="3">
        <v>2</v>
      </c>
      <c r="Q4" s="3">
        <v>3</v>
      </c>
      <c r="R4" s="3" t="s">
        <v>9</v>
      </c>
      <c r="S4" s="51"/>
      <c r="T4" s="51"/>
      <c r="U4" s="54"/>
    </row>
    <row r="5" spans="1:21" ht="16">
      <c r="A5" s="55" t="s">
        <v>94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1">
      <c r="A6" s="70" t="s">
        <v>202</v>
      </c>
      <c r="B6" s="27" t="s">
        <v>203</v>
      </c>
      <c r="C6" s="27" t="s">
        <v>204</v>
      </c>
      <c r="D6" s="27" t="str">
        <f>"1,2808"</f>
        <v>1,2808</v>
      </c>
      <c r="E6" s="27" t="s">
        <v>53</v>
      </c>
      <c r="F6" s="72" t="s">
        <v>457</v>
      </c>
      <c r="G6" s="27" t="s">
        <v>39</v>
      </c>
      <c r="H6" s="28" t="s">
        <v>126</v>
      </c>
      <c r="I6" s="28" t="s">
        <v>126</v>
      </c>
      <c r="J6" s="28"/>
      <c r="K6" s="28" t="s">
        <v>205</v>
      </c>
      <c r="L6" s="27" t="s">
        <v>205</v>
      </c>
      <c r="M6" s="28" t="s">
        <v>206</v>
      </c>
      <c r="N6" s="28"/>
      <c r="O6" s="27" t="s">
        <v>126</v>
      </c>
      <c r="P6" s="28" t="s">
        <v>127</v>
      </c>
      <c r="Q6" s="28" t="s">
        <v>127</v>
      </c>
      <c r="R6" s="28"/>
      <c r="S6" s="27">
        <v>235</v>
      </c>
      <c r="T6" s="27" t="str">
        <f>"300,9880"</f>
        <v>300,9880</v>
      </c>
      <c r="U6" s="27" t="s">
        <v>434</v>
      </c>
    </row>
    <row r="8" spans="1:21" ht="16">
      <c r="A8" s="41" t="s">
        <v>207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1">
      <c r="A9" s="70" t="s">
        <v>208</v>
      </c>
      <c r="B9" s="27" t="s">
        <v>209</v>
      </c>
      <c r="C9" s="27" t="s">
        <v>210</v>
      </c>
      <c r="D9" s="27" t="str">
        <f>"1,0272"</f>
        <v>1,0272</v>
      </c>
      <c r="E9" s="27" t="s">
        <v>53</v>
      </c>
      <c r="F9" s="72" t="s">
        <v>457</v>
      </c>
      <c r="G9" s="27" t="s">
        <v>126</v>
      </c>
      <c r="H9" s="28" t="s">
        <v>211</v>
      </c>
      <c r="I9" s="28" t="s">
        <v>211</v>
      </c>
      <c r="J9" s="28"/>
      <c r="K9" s="27" t="s">
        <v>205</v>
      </c>
      <c r="L9" s="27" t="s">
        <v>212</v>
      </c>
      <c r="M9" s="27" t="s">
        <v>213</v>
      </c>
      <c r="N9" s="28"/>
      <c r="O9" s="27" t="s">
        <v>39</v>
      </c>
      <c r="P9" s="27" t="s">
        <v>125</v>
      </c>
      <c r="Q9" s="27" t="s">
        <v>126</v>
      </c>
      <c r="R9" s="28"/>
      <c r="S9" s="27">
        <v>257.5</v>
      </c>
      <c r="T9" s="27" t="str">
        <f>"264,5040"</f>
        <v>264,5040</v>
      </c>
      <c r="U9" s="27" t="s">
        <v>214</v>
      </c>
    </row>
    <row r="11" spans="1:21" ht="16">
      <c r="A11" s="41" t="s">
        <v>207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</row>
    <row r="12" spans="1:21">
      <c r="A12" s="70" t="s">
        <v>215</v>
      </c>
      <c r="B12" s="27" t="s">
        <v>216</v>
      </c>
      <c r="C12" s="27" t="s">
        <v>217</v>
      </c>
      <c r="D12" s="27" t="str">
        <f>"0,7719"</f>
        <v>0,7719</v>
      </c>
      <c r="E12" s="27" t="s">
        <v>433</v>
      </c>
      <c r="F12" s="72" t="s">
        <v>457</v>
      </c>
      <c r="G12" s="27" t="s">
        <v>143</v>
      </c>
      <c r="H12" s="28" t="s">
        <v>160</v>
      </c>
      <c r="I12" s="28" t="s">
        <v>160</v>
      </c>
      <c r="J12" s="28"/>
      <c r="K12" s="27" t="s">
        <v>166</v>
      </c>
      <c r="L12" s="27" t="s">
        <v>167</v>
      </c>
      <c r="M12" s="27" t="s">
        <v>134</v>
      </c>
      <c r="N12" s="28"/>
      <c r="O12" s="28" t="s">
        <v>218</v>
      </c>
      <c r="P12" s="27" t="s">
        <v>218</v>
      </c>
      <c r="Q12" s="28" t="s">
        <v>143</v>
      </c>
      <c r="R12" s="28"/>
      <c r="S12" s="27">
        <v>480</v>
      </c>
      <c r="T12" s="27" t="str">
        <f>"370,5120"</f>
        <v>370,5120</v>
      </c>
      <c r="U12" s="27" t="s">
        <v>440</v>
      </c>
    </row>
  </sheetData>
  <mergeCells count="16"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8:T8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B3" sqref="B3:F4"/>
    </sheetView>
  </sheetViews>
  <sheetFormatPr baseColWidth="10" defaultColWidth="8.7109375" defaultRowHeight="13" x14ac:dyDescent="0"/>
  <cols>
    <col min="1" max="1" width="31.85546875" style="26" bestFit="1" customWidth="1"/>
    <col min="2" max="2" width="21.42578125" style="26" bestFit="1" customWidth="1"/>
    <col min="3" max="3" width="12.28515625" style="26" bestFit="1" customWidth="1"/>
    <col min="4" max="4" width="8.42578125" style="26" bestFit="1" customWidth="1"/>
    <col min="5" max="5" width="22.7109375" style="26" bestFit="1" customWidth="1"/>
    <col min="6" max="6" width="31.85546875" style="26" bestFit="1" customWidth="1"/>
    <col min="7" max="9" width="5.5703125" style="26" bestFit="1" customWidth="1"/>
    <col min="10" max="10" width="4.5703125" style="26" bestFit="1" customWidth="1"/>
    <col min="11" max="13" width="5.5703125" style="26" bestFit="1" customWidth="1"/>
    <col min="14" max="14" width="4.5703125" style="26" bestFit="1" customWidth="1"/>
    <col min="15" max="17" width="5.5703125" style="26" bestFit="1" customWidth="1"/>
    <col min="18" max="18" width="4.5703125" style="26" bestFit="1" customWidth="1"/>
    <col min="19" max="19" width="7.85546875" style="26" bestFit="1" customWidth="1"/>
    <col min="20" max="20" width="8.5703125" style="26" bestFit="1" customWidth="1"/>
    <col min="21" max="21" width="21.140625" style="26" customWidth="1"/>
  </cols>
  <sheetData>
    <row r="1" spans="1:21" s="1" customFormat="1" ht="15" customHeight="1">
      <c r="A1" s="42" t="s">
        <v>467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1" customFormat="1" ht="116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2" customFormat="1" ht="12.75" customHeight="1">
      <c r="A3" s="48" t="s">
        <v>0</v>
      </c>
      <c r="B3" s="50" t="s">
        <v>431</v>
      </c>
      <c r="C3" s="52" t="s">
        <v>430</v>
      </c>
      <c r="D3" s="52" t="s">
        <v>121</v>
      </c>
      <c r="E3" s="52" t="s">
        <v>8</v>
      </c>
      <c r="F3" s="52" t="s">
        <v>456</v>
      </c>
      <c r="G3" s="52" t="s">
        <v>1</v>
      </c>
      <c r="H3" s="52"/>
      <c r="I3" s="52"/>
      <c r="J3" s="52"/>
      <c r="K3" s="52" t="s">
        <v>2</v>
      </c>
      <c r="L3" s="52"/>
      <c r="M3" s="52"/>
      <c r="N3" s="52"/>
      <c r="O3" s="52" t="s">
        <v>3</v>
      </c>
      <c r="P3" s="52"/>
      <c r="Q3" s="52"/>
      <c r="R3" s="52"/>
      <c r="S3" s="52" t="s">
        <v>4</v>
      </c>
      <c r="T3" s="52" t="s">
        <v>7</v>
      </c>
      <c r="U3" s="53" t="s">
        <v>6</v>
      </c>
    </row>
    <row r="4" spans="1:21" s="2" customFormat="1" ht="21" customHeight="1" thickBot="1">
      <c r="A4" s="49"/>
      <c r="B4" s="51"/>
      <c r="C4" s="51"/>
      <c r="D4" s="51"/>
      <c r="E4" s="51"/>
      <c r="F4" s="51"/>
      <c r="G4" s="3">
        <v>1</v>
      </c>
      <c r="H4" s="3">
        <v>2</v>
      </c>
      <c r="I4" s="3">
        <v>3</v>
      </c>
      <c r="J4" s="3" t="s">
        <v>9</v>
      </c>
      <c r="K4" s="3">
        <v>1</v>
      </c>
      <c r="L4" s="3">
        <v>2</v>
      </c>
      <c r="M4" s="3">
        <v>3</v>
      </c>
      <c r="N4" s="3" t="s">
        <v>9</v>
      </c>
      <c r="O4" s="3">
        <v>1</v>
      </c>
      <c r="P4" s="3">
        <v>2</v>
      </c>
      <c r="Q4" s="3">
        <v>3</v>
      </c>
      <c r="R4" s="3" t="s">
        <v>9</v>
      </c>
      <c r="S4" s="51"/>
      <c r="T4" s="51"/>
      <c r="U4" s="54"/>
    </row>
    <row r="5" spans="1:21" ht="16">
      <c r="A5" s="55" t="s">
        <v>35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1">
      <c r="A6" s="70" t="s">
        <v>220</v>
      </c>
      <c r="B6" s="27" t="s">
        <v>221</v>
      </c>
      <c r="C6" s="27" t="s">
        <v>222</v>
      </c>
      <c r="D6" s="27" t="str">
        <f>"0,6384"</f>
        <v>0,6384</v>
      </c>
      <c r="E6" s="27" t="s">
        <v>25</v>
      </c>
      <c r="F6" s="27" t="s">
        <v>442</v>
      </c>
      <c r="G6" s="27" t="s">
        <v>155</v>
      </c>
      <c r="H6" s="27" t="s">
        <v>156</v>
      </c>
      <c r="I6" s="28" t="s">
        <v>223</v>
      </c>
      <c r="J6" s="28"/>
      <c r="K6" s="27" t="s">
        <v>167</v>
      </c>
      <c r="L6" s="27" t="s">
        <v>168</v>
      </c>
      <c r="M6" s="27" t="s">
        <v>224</v>
      </c>
      <c r="N6" s="28"/>
      <c r="O6" s="27" t="s">
        <v>225</v>
      </c>
      <c r="P6" s="27" t="s">
        <v>188</v>
      </c>
      <c r="Q6" s="28" t="s">
        <v>226</v>
      </c>
      <c r="R6" s="28"/>
      <c r="S6" s="27">
        <v>600</v>
      </c>
      <c r="T6" s="27" t="str">
        <f>"383,0400"</f>
        <v>383,0400</v>
      </c>
      <c r="U6" s="27" t="s">
        <v>434</v>
      </c>
    </row>
    <row r="8" spans="1:21" ht="16">
      <c r="A8" s="41" t="s">
        <v>195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1">
      <c r="A9" s="70" t="s">
        <v>227</v>
      </c>
      <c r="B9" s="27" t="s">
        <v>228</v>
      </c>
      <c r="C9" s="27" t="s">
        <v>229</v>
      </c>
      <c r="D9" s="27" t="str">
        <f>"0,5723"</f>
        <v>0,5723</v>
      </c>
      <c r="E9" s="27" t="s">
        <v>230</v>
      </c>
      <c r="F9" s="27" t="s">
        <v>231</v>
      </c>
      <c r="G9" s="27" t="s">
        <v>173</v>
      </c>
      <c r="H9" s="27" t="s">
        <v>192</v>
      </c>
      <c r="I9" s="27" t="s">
        <v>232</v>
      </c>
      <c r="J9" s="28"/>
      <c r="K9" s="27" t="s">
        <v>233</v>
      </c>
      <c r="L9" s="27" t="s">
        <v>218</v>
      </c>
      <c r="M9" s="27" t="s">
        <v>143</v>
      </c>
      <c r="N9" s="28"/>
      <c r="O9" s="27" t="s">
        <v>188</v>
      </c>
      <c r="P9" s="27" t="s">
        <v>226</v>
      </c>
      <c r="Q9" s="27" t="s">
        <v>192</v>
      </c>
      <c r="R9" s="28"/>
      <c r="S9" s="27">
        <v>715</v>
      </c>
      <c r="T9" s="27" t="str">
        <f>"409,1945"</f>
        <v>409,1945</v>
      </c>
      <c r="U9" s="27" t="s">
        <v>234</v>
      </c>
    </row>
  </sheetData>
  <mergeCells count="15">
    <mergeCell ref="A5:T5"/>
    <mergeCell ref="A8:T8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selection activeCell="F6" sqref="F6"/>
    </sheetView>
  </sheetViews>
  <sheetFormatPr baseColWidth="10" defaultColWidth="8.7109375" defaultRowHeight="13" x14ac:dyDescent="0"/>
  <cols>
    <col min="1" max="1" width="31.85546875" style="26" bestFit="1" customWidth="1"/>
    <col min="2" max="2" width="26" style="26" bestFit="1" customWidth="1"/>
    <col min="3" max="3" width="12.28515625" style="26" bestFit="1" customWidth="1"/>
    <col min="4" max="4" width="8.42578125" style="26" bestFit="1" customWidth="1"/>
    <col min="5" max="5" width="22.7109375" style="26" bestFit="1" customWidth="1"/>
    <col min="6" max="6" width="32.42578125" style="26" customWidth="1"/>
    <col min="7" max="9" width="5.5703125" style="26" bestFit="1" customWidth="1"/>
    <col min="10" max="10" width="4.5703125" style="26" bestFit="1" customWidth="1"/>
    <col min="11" max="13" width="5.5703125" style="26" bestFit="1" customWidth="1"/>
    <col min="14" max="14" width="4.5703125" style="26" bestFit="1" customWidth="1"/>
    <col min="15" max="17" width="5.5703125" style="26" bestFit="1" customWidth="1"/>
    <col min="18" max="18" width="4.5703125" style="26" bestFit="1" customWidth="1"/>
    <col min="19" max="19" width="7.85546875" style="26" bestFit="1" customWidth="1"/>
    <col min="20" max="20" width="8.5703125" style="26" bestFit="1" customWidth="1"/>
    <col min="21" max="21" width="28.28515625" style="26" bestFit="1" customWidth="1"/>
  </cols>
  <sheetData>
    <row r="1" spans="1:21" s="1" customFormat="1" ht="15" customHeight="1">
      <c r="A1" s="42" t="s">
        <v>466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1" customFormat="1" ht="101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2" customFormat="1" ht="12.75" customHeight="1">
      <c r="A3" s="48" t="s">
        <v>0</v>
      </c>
      <c r="B3" s="50" t="s">
        <v>431</v>
      </c>
      <c r="C3" s="52" t="s">
        <v>430</v>
      </c>
      <c r="D3" s="52" t="s">
        <v>121</v>
      </c>
      <c r="E3" s="52" t="s">
        <v>8</v>
      </c>
      <c r="F3" s="52" t="s">
        <v>456</v>
      </c>
      <c r="G3" s="52" t="s">
        <v>1</v>
      </c>
      <c r="H3" s="52"/>
      <c r="I3" s="52"/>
      <c r="J3" s="52"/>
      <c r="K3" s="52" t="s">
        <v>2</v>
      </c>
      <c r="L3" s="52"/>
      <c r="M3" s="52"/>
      <c r="N3" s="52"/>
      <c r="O3" s="52" t="s">
        <v>3</v>
      </c>
      <c r="P3" s="52"/>
      <c r="Q3" s="52"/>
      <c r="R3" s="52"/>
      <c r="S3" s="52" t="s">
        <v>4</v>
      </c>
      <c r="T3" s="52" t="s">
        <v>7</v>
      </c>
      <c r="U3" s="53" t="s">
        <v>6</v>
      </c>
    </row>
    <row r="4" spans="1:21" s="2" customFormat="1" ht="21" customHeight="1" thickBot="1">
      <c r="A4" s="49"/>
      <c r="B4" s="51"/>
      <c r="C4" s="51"/>
      <c r="D4" s="51"/>
      <c r="E4" s="51"/>
      <c r="F4" s="51"/>
      <c r="G4" s="3">
        <v>1</v>
      </c>
      <c r="H4" s="3">
        <v>2</v>
      </c>
      <c r="I4" s="3">
        <v>3</v>
      </c>
      <c r="J4" s="3" t="s">
        <v>9</v>
      </c>
      <c r="K4" s="3">
        <v>1</v>
      </c>
      <c r="L4" s="3">
        <v>2</v>
      </c>
      <c r="M4" s="3">
        <v>3</v>
      </c>
      <c r="N4" s="3" t="s">
        <v>9</v>
      </c>
      <c r="O4" s="3">
        <v>1</v>
      </c>
      <c r="P4" s="3">
        <v>2</v>
      </c>
      <c r="Q4" s="3">
        <v>3</v>
      </c>
      <c r="R4" s="3" t="s">
        <v>9</v>
      </c>
      <c r="S4" s="51"/>
      <c r="T4" s="51"/>
      <c r="U4" s="54"/>
    </row>
    <row r="5" spans="1:21" ht="16">
      <c r="A5" s="55" t="s">
        <v>235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1">
      <c r="A6" s="70" t="s">
        <v>236</v>
      </c>
      <c r="B6" s="27" t="s">
        <v>237</v>
      </c>
      <c r="C6" s="27" t="s">
        <v>238</v>
      </c>
      <c r="D6" s="27" t="str">
        <f>"1,4936"</f>
        <v>1,4936</v>
      </c>
      <c r="E6" s="27" t="s">
        <v>53</v>
      </c>
      <c r="F6" s="72" t="s">
        <v>457</v>
      </c>
      <c r="G6" s="28" t="s">
        <v>239</v>
      </c>
      <c r="H6" s="28" t="s">
        <v>239</v>
      </c>
      <c r="I6" s="28"/>
      <c r="J6" s="28"/>
      <c r="K6" s="28" t="s">
        <v>206</v>
      </c>
      <c r="L6" s="28"/>
      <c r="M6" s="28"/>
      <c r="N6" s="28"/>
      <c r="O6" s="28" t="s">
        <v>240</v>
      </c>
      <c r="P6" s="28"/>
      <c r="Q6" s="28"/>
      <c r="R6" s="28"/>
      <c r="S6" s="27">
        <v>0</v>
      </c>
      <c r="T6" s="27" t="str">
        <f>"0,0000"</f>
        <v>0,0000</v>
      </c>
      <c r="U6" s="27" t="s">
        <v>100</v>
      </c>
    </row>
    <row r="8" spans="1:21" ht="16">
      <c r="A8" s="41" t="s">
        <v>207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1">
      <c r="A9" s="70" t="s">
        <v>241</v>
      </c>
      <c r="B9" s="27" t="s">
        <v>242</v>
      </c>
      <c r="C9" s="27" t="s">
        <v>243</v>
      </c>
      <c r="D9" s="27" t="str">
        <f>"1,0491"</f>
        <v>1,0491</v>
      </c>
      <c r="E9" s="27" t="s">
        <v>53</v>
      </c>
      <c r="F9" s="72" t="s">
        <v>457</v>
      </c>
      <c r="G9" s="27" t="s">
        <v>39</v>
      </c>
      <c r="H9" s="28" t="s">
        <v>127</v>
      </c>
      <c r="I9" s="27" t="s">
        <v>244</v>
      </c>
      <c r="J9" s="28"/>
      <c r="K9" s="27" t="s">
        <v>245</v>
      </c>
      <c r="L9" s="27" t="s">
        <v>246</v>
      </c>
      <c r="M9" s="27" t="s">
        <v>239</v>
      </c>
      <c r="N9" s="28"/>
      <c r="O9" s="27" t="s">
        <v>126</v>
      </c>
      <c r="P9" s="27" t="s">
        <v>247</v>
      </c>
      <c r="Q9" s="27" t="s">
        <v>166</v>
      </c>
      <c r="R9" s="28"/>
      <c r="S9" s="27">
        <v>297.5</v>
      </c>
      <c r="T9" s="27" t="str">
        <f>"312,1073"</f>
        <v>312,1073</v>
      </c>
      <c r="U9" s="27" t="s">
        <v>464</v>
      </c>
    </row>
    <row r="11" spans="1:21" ht="16">
      <c r="A11" s="41" t="s">
        <v>12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</row>
    <row r="12" spans="1:21">
      <c r="A12" s="69" t="s">
        <v>248</v>
      </c>
      <c r="B12" s="34" t="s">
        <v>249</v>
      </c>
      <c r="C12" s="34" t="s">
        <v>250</v>
      </c>
      <c r="D12" s="34" t="str">
        <f>"0,9998"</f>
        <v>0,9998</v>
      </c>
      <c r="E12" s="34" t="s">
        <v>53</v>
      </c>
      <c r="F12" s="72" t="s">
        <v>457</v>
      </c>
      <c r="G12" s="34" t="s">
        <v>39</v>
      </c>
      <c r="H12" s="34" t="s">
        <v>126</v>
      </c>
      <c r="I12" s="34" t="s">
        <v>127</v>
      </c>
      <c r="J12" s="35"/>
      <c r="K12" s="34" t="s">
        <v>205</v>
      </c>
      <c r="L12" s="34" t="s">
        <v>212</v>
      </c>
      <c r="M12" s="34" t="s">
        <v>251</v>
      </c>
      <c r="N12" s="35"/>
      <c r="O12" s="34" t="s">
        <v>211</v>
      </c>
      <c r="P12" s="35" t="s">
        <v>166</v>
      </c>
      <c r="Q12" s="34" t="s">
        <v>166</v>
      </c>
      <c r="R12" s="35"/>
      <c r="S12" s="34">
        <v>277.5</v>
      </c>
      <c r="T12" s="34" t="str">
        <f>"277,4445"</f>
        <v>277,4445</v>
      </c>
      <c r="U12" s="34" t="s">
        <v>464</v>
      </c>
    </row>
    <row r="13" spans="1:21">
      <c r="A13" s="70" t="s">
        <v>122</v>
      </c>
      <c r="B13" s="27" t="s">
        <v>123</v>
      </c>
      <c r="C13" s="27" t="s">
        <v>124</v>
      </c>
      <c r="D13" s="27" t="str">
        <f>"0,9571"</f>
        <v>0,9571</v>
      </c>
      <c r="E13" s="27" t="s">
        <v>53</v>
      </c>
      <c r="F13" s="72" t="s">
        <v>457</v>
      </c>
      <c r="G13" s="27" t="s">
        <v>125</v>
      </c>
      <c r="H13" s="27" t="s">
        <v>126</v>
      </c>
      <c r="I13" s="27" t="s">
        <v>127</v>
      </c>
      <c r="J13" s="28"/>
      <c r="K13" s="27" t="s">
        <v>252</v>
      </c>
      <c r="L13" s="27" t="s">
        <v>205</v>
      </c>
      <c r="M13" s="27" t="s">
        <v>212</v>
      </c>
      <c r="N13" s="28"/>
      <c r="O13" s="27" t="s">
        <v>125</v>
      </c>
      <c r="P13" s="27" t="s">
        <v>126</v>
      </c>
      <c r="Q13" s="27" t="s">
        <v>127</v>
      </c>
      <c r="R13" s="28"/>
      <c r="S13" s="27">
        <v>260</v>
      </c>
      <c r="T13" s="27" t="str">
        <f>"248,8460"</f>
        <v>248,8460</v>
      </c>
      <c r="U13" s="27" t="s">
        <v>128</v>
      </c>
    </row>
    <row r="15" spans="1:21" ht="16">
      <c r="A15" s="41" t="s">
        <v>12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1">
      <c r="A16" s="70" t="s">
        <v>253</v>
      </c>
      <c r="B16" s="27" t="s">
        <v>43</v>
      </c>
      <c r="C16" s="27" t="s">
        <v>254</v>
      </c>
      <c r="D16" s="27" t="str">
        <f>"0,7207"</f>
        <v>0,7207</v>
      </c>
      <c r="E16" s="27" t="s">
        <v>53</v>
      </c>
      <c r="F16" s="72" t="s">
        <v>457</v>
      </c>
      <c r="G16" s="27" t="s">
        <v>47</v>
      </c>
      <c r="H16" s="28" t="s">
        <v>125</v>
      </c>
      <c r="I16" s="27" t="s">
        <v>127</v>
      </c>
      <c r="J16" s="28"/>
      <c r="K16" s="27" t="s">
        <v>255</v>
      </c>
      <c r="L16" s="27" t="s">
        <v>39</v>
      </c>
      <c r="M16" s="28" t="s">
        <v>126</v>
      </c>
      <c r="N16" s="28"/>
      <c r="O16" s="27" t="s">
        <v>256</v>
      </c>
      <c r="P16" s="27" t="s">
        <v>134</v>
      </c>
      <c r="Q16" s="28" t="s">
        <v>257</v>
      </c>
      <c r="R16" s="28"/>
      <c r="S16" s="27">
        <v>330</v>
      </c>
      <c r="T16" s="27" t="str">
        <f>"237,8310"</f>
        <v>237,8310</v>
      </c>
      <c r="U16" s="27" t="s">
        <v>434</v>
      </c>
    </row>
    <row r="18" spans="1:21" ht="16">
      <c r="A18" s="41" t="s">
        <v>21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</row>
    <row r="19" spans="1:21">
      <c r="A19" s="70" t="s">
        <v>258</v>
      </c>
      <c r="B19" s="27" t="s">
        <v>259</v>
      </c>
      <c r="C19" s="27" t="s">
        <v>260</v>
      </c>
      <c r="D19" s="27" t="str">
        <f>"0,6790"</f>
        <v>0,6790</v>
      </c>
      <c r="E19" s="27" t="s">
        <v>53</v>
      </c>
      <c r="F19" s="72" t="s">
        <v>457</v>
      </c>
      <c r="G19" s="27" t="s">
        <v>224</v>
      </c>
      <c r="H19" s="28" t="s">
        <v>233</v>
      </c>
      <c r="I19" s="28" t="s">
        <v>233</v>
      </c>
      <c r="J19" s="28"/>
      <c r="K19" s="27" t="s">
        <v>39</v>
      </c>
      <c r="L19" s="28" t="s">
        <v>127</v>
      </c>
      <c r="M19" s="28" t="s">
        <v>127</v>
      </c>
      <c r="N19" s="28"/>
      <c r="O19" s="27" t="s">
        <v>218</v>
      </c>
      <c r="P19" s="27" t="s">
        <v>143</v>
      </c>
      <c r="Q19" s="27" t="s">
        <v>160</v>
      </c>
      <c r="R19" s="28"/>
      <c r="S19" s="27">
        <v>420</v>
      </c>
      <c r="T19" s="27" t="str">
        <f>"285,1800"</f>
        <v>285,1800</v>
      </c>
      <c r="U19" s="27" t="s">
        <v>100</v>
      </c>
    </row>
    <row r="21" spans="1:21" ht="16">
      <c r="A21" s="41" t="s">
        <v>35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1:21">
      <c r="A22" s="70" t="s">
        <v>157</v>
      </c>
      <c r="B22" s="27" t="s">
        <v>158</v>
      </c>
      <c r="C22" s="27" t="s">
        <v>159</v>
      </c>
      <c r="D22" s="27" t="str">
        <f>"0,6491"</f>
        <v>0,6491</v>
      </c>
      <c r="E22" s="27" t="s">
        <v>53</v>
      </c>
      <c r="F22" s="72" t="s">
        <v>457</v>
      </c>
      <c r="G22" s="27" t="s">
        <v>136</v>
      </c>
      <c r="H22" s="28" t="s">
        <v>261</v>
      </c>
      <c r="I22" s="28" t="s">
        <v>261</v>
      </c>
      <c r="J22" s="28"/>
      <c r="K22" s="27" t="s">
        <v>166</v>
      </c>
      <c r="L22" s="27" t="s">
        <v>256</v>
      </c>
      <c r="M22" s="27" t="s">
        <v>262</v>
      </c>
      <c r="N22" s="28"/>
      <c r="O22" s="27" t="s">
        <v>160</v>
      </c>
      <c r="P22" s="28" t="s">
        <v>161</v>
      </c>
      <c r="Q22" s="28" t="s">
        <v>161</v>
      </c>
      <c r="R22" s="28"/>
      <c r="S22" s="27">
        <v>472.5</v>
      </c>
      <c r="T22" s="27" t="str">
        <f>"306,6998"</f>
        <v>306,6998</v>
      </c>
      <c r="U22" s="27" t="s">
        <v>440</v>
      </c>
    </row>
    <row r="23" spans="1:21">
      <c r="A23" s="71" t="s">
        <v>263</v>
      </c>
      <c r="B23" s="38" t="s">
        <v>264</v>
      </c>
      <c r="C23" s="38" t="s">
        <v>265</v>
      </c>
      <c r="D23" s="38" t="str">
        <f>"0,6413"</f>
        <v>0,6413</v>
      </c>
      <c r="E23" s="38" t="s">
        <v>53</v>
      </c>
      <c r="F23" s="72" t="s">
        <v>457</v>
      </c>
      <c r="G23" s="38" t="s">
        <v>218</v>
      </c>
      <c r="H23" s="38" t="s">
        <v>143</v>
      </c>
      <c r="I23" s="39" t="s">
        <v>160</v>
      </c>
      <c r="J23" s="39"/>
      <c r="K23" s="38" t="s">
        <v>126</v>
      </c>
      <c r="L23" s="38" t="s">
        <v>127</v>
      </c>
      <c r="M23" s="39" t="s">
        <v>244</v>
      </c>
      <c r="N23" s="39"/>
      <c r="O23" s="39" t="s">
        <v>218</v>
      </c>
      <c r="P23" s="39" t="s">
        <v>218</v>
      </c>
      <c r="Q23" s="39" t="s">
        <v>218</v>
      </c>
      <c r="R23" s="39"/>
      <c r="S23" s="38">
        <v>0</v>
      </c>
      <c r="T23" s="38" t="str">
        <f>"0,0000"</f>
        <v>0,0000</v>
      </c>
      <c r="U23" s="38" t="s">
        <v>100</v>
      </c>
    </row>
    <row r="25" spans="1:21" ht="16">
      <c r="A25" s="41" t="s">
        <v>114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</row>
    <row r="26" spans="1:21">
      <c r="A26" s="70" t="s">
        <v>266</v>
      </c>
      <c r="B26" s="27" t="s">
        <v>267</v>
      </c>
      <c r="C26" s="27" t="s">
        <v>268</v>
      </c>
      <c r="D26" s="27" t="str">
        <f>"0,6123"</f>
        <v>0,6123</v>
      </c>
      <c r="E26" s="27" t="s">
        <v>53</v>
      </c>
      <c r="F26" s="72" t="s">
        <v>457</v>
      </c>
      <c r="G26" s="27" t="s">
        <v>160</v>
      </c>
      <c r="H26" s="27" t="s">
        <v>269</v>
      </c>
      <c r="I26" s="27" t="s">
        <v>270</v>
      </c>
      <c r="J26" s="28"/>
      <c r="K26" s="27" t="s">
        <v>166</v>
      </c>
      <c r="L26" s="27" t="s">
        <v>256</v>
      </c>
      <c r="M26" s="27" t="s">
        <v>271</v>
      </c>
      <c r="N26" s="28"/>
      <c r="O26" s="27" t="s">
        <v>272</v>
      </c>
      <c r="P26" s="27" t="s">
        <v>273</v>
      </c>
      <c r="Q26" s="27" t="s">
        <v>274</v>
      </c>
      <c r="R26" s="28"/>
      <c r="S26" s="27">
        <v>597.5</v>
      </c>
      <c r="T26" s="27" t="str">
        <f>"365,8492"</f>
        <v>365,8492</v>
      </c>
      <c r="U26" s="27" t="s">
        <v>465</v>
      </c>
    </row>
    <row r="28" spans="1:21" ht="16">
      <c r="A28" s="41" t="s">
        <v>174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</row>
    <row r="29" spans="1:21">
      <c r="A29" s="70" t="s">
        <v>275</v>
      </c>
      <c r="B29" s="27" t="s">
        <v>276</v>
      </c>
      <c r="C29" s="27" t="s">
        <v>277</v>
      </c>
      <c r="D29" s="27" t="str">
        <f>"0,5943"</f>
        <v>0,5943</v>
      </c>
      <c r="E29" s="27" t="s">
        <v>53</v>
      </c>
      <c r="F29" s="72" t="s">
        <v>457</v>
      </c>
      <c r="G29" s="28" t="s">
        <v>145</v>
      </c>
      <c r="H29" s="28" t="s">
        <v>155</v>
      </c>
      <c r="I29" s="27" t="s">
        <v>155</v>
      </c>
      <c r="J29" s="28"/>
      <c r="K29" s="27" t="s">
        <v>224</v>
      </c>
      <c r="L29" s="27" t="s">
        <v>136</v>
      </c>
      <c r="M29" s="27" t="s">
        <v>218</v>
      </c>
      <c r="N29" s="28"/>
      <c r="O29" s="27" t="s">
        <v>278</v>
      </c>
      <c r="P29" s="27" t="s">
        <v>192</v>
      </c>
      <c r="Q29" s="28" t="s">
        <v>199</v>
      </c>
      <c r="R29" s="28"/>
      <c r="S29" s="27">
        <v>630</v>
      </c>
      <c r="T29" s="27" t="str">
        <f>"374,4090"</f>
        <v>374,4090</v>
      </c>
      <c r="U29" s="27" t="s">
        <v>279</v>
      </c>
    </row>
  </sheetData>
  <mergeCells count="21">
    <mergeCell ref="A15:T15"/>
    <mergeCell ref="A18:T18"/>
    <mergeCell ref="A21:T21"/>
    <mergeCell ref="A25:T25"/>
    <mergeCell ref="A28:T28"/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8:T8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>
      <selection activeCell="F6" sqref="F6"/>
    </sheetView>
  </sheetViews>
  <sheetFormatPr baseColWidth="10" defaultColWidth="8.7109375" defaultRowHeight="13" x14ac:dyDescent="0"/>
  <cols>
    <col min="1" max="1" width="31.85546875" style="26" bestFit="1" customWidth="1"/>
    <col min="2" max="2" width="27.140625" style="26" bestFit="1" customWidth="1"/>
    <col min="3" max="3" width="12.28515625" style="26" bestFit="1" customWidth="1"/>
    <col min="4" max="4" width="8.42578125" style="26" bestFit="1" customWidth="1"/>
    <col min="5" max="5" width="16.7109375" style="26" customWidth="1"/>
    <col min="6" max="6" width="32.5703125" style="26" customWidth="1"/>
    <col min="7" max="9" width="5.5703125" style="26" bestFit="1" customWidth="1"/>
    <col min="10" max="10" width="4.5703125" style="26" bestFit="1" customWidth="1"/>
    <col min="11" max="13" width="5.5703125" style="26" bestFit="1" customWidth="1"/>
    <col min="14" max="14" width="4.5703125" style="26" bestFit="1" customWidth="1"/>
    <col min="15" max="17" width="5.5703125" style="26" bestFit="1" customWidth="1"/>
    <col min="18" max="18" width="4.5703125" style="26" bestFit="1" customWidth="1"/>
    <col min="19" max="19" width="7.85546875" style="26" bestFit="1" customWidth="1"/>
    <col min="20" max="20" width="8.5703125" style="26" bestFit="1" customWidth="1"/>
    <col min="21" max="21" width="16.140625" style="26" customWidth="1"/>
  </cols>
  <sheetData>
    <row r="1" spans="1:21" s="1" customFormat="1" ht="15" customHeight="1">
      <c r="A1" s="42" t="s">
        <v>463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1" customFormat="1" ht="108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2" customFormat="1" ht="12.75" customHeight="1">
      <c r="A3" s="48" t="s">
        <v>0</v>
      </c>
      <c r="B3" s="50" t="s">
        <v>431</v>
      </c>
      <c r="C3" s="52" t="s">
        <v>430</v>
      </c>
      <c r="D3" s="52" t="s">
        <v>121</v>
      </c>
      <c r="E3" s="52" t="s">
        <v>8</v>
      </c>
      <c r="F3" s="52" t="s">
        <v>456</v>
      </c>
      <c r="G3" s="52" t="s">
        <v>1</v>
      </c>
      <c r="H3" s="52"/>
      <c r="I3" s="52"/>
      <c r="J3" s="52"/>
      <c r="K3" s="52" t="s">
        <v>2</v>
      </c>
      <c r="L3" s="52"/>
      <c r="M3" s="52"/>
      <c r="N3" s="52"/>
      <c r="O3" s="52" t="s">
        <v>3</v>
      </c>
      <c r="P3" s="52"/>
      <c r="Q3" s="52"/>
      <c r="R3" s="52"/>
      <c r="S3" s="52" t="s">
        <v>4</v>
      </c>
      <c r="T3" s="52" t="s">
        <v>7</v>
      </c>
      <c r="U3" s="53" t="s">
        <v>6</v>
      </c>
    </row>
    <row r="4" spans="1:21" s="2" customFormat="1" ht="21" customHeight="1" thickBot="1">
      <c r="A4" s="49"/>
      <c r="B4" s="51"/>
      <c r="C4" s="51"/>
      <c r="D4" s="51"/>
      <c r="E4" s="51"/>
      <c r="F4" s="51"/>
      <c r="G4" s="3">
        <v>1</v>
      </c>
      <c r="H4" s="3">
        <v>2</v>
      </c>
      <c r="I4" s="3">
        <v>3</v>
      </c>
      <c r="J4" s="3" t="s">
        <v>9</v>
      </c>
      <c r="K4" s="3">
        <v>1</v>
      </c>
      <c r="L4" s="3">
        <v>2</v>
      </c>
      <c r="M4" s="3">
        <v>3</v>
      </c>
      <c r="N4" s="3" t="s">
        <v>9</v>
      </c>
      <c r="O4" s="3">
        <v>1</v>
      </c>
      <c r="P4" s="3">
        <v>2</v>
      </c>
      <c r="Q4" s="3">
        <v>3</v>
      </c>
      <c r="R4" s="3" t="s">
        <v>9</v>
      </c>
      <c r="S4" s="51"/>
      <c r="T4" s="51"/>
      <c r="U4" s="54"/>
    </row>
    <row r="5" spans="1:21" ht="16">
      <c r="A5" s="55" t="s">
        <v>12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1">
      <c r="A6" s="70" t="s">
        <v>122</v>
      </c>
      <c r="B6" s="27" t="s">
        <v>123</v>
      </c>
      <c r="C6" s="27" t="s">
        <v>280</v>
      </c>
      <c r="D6" s="27" t="str">
        <f>"0,9948"</f>
        <v>0,9948</v>
      </c>
      <c r="E6" s="27" t="s">
        <v>433</v>
      </c>
      <c r="F6" s="72" t="s">
        <v>457</v>
      </c>
      <c r="G6" s="28"/>
      <c r="H6" s="27" t="s">
        <v>281</v>
      </c>
      <c r="I6" s="28" t="s">
        <v>245</v>
      </c>
      <c r="J6" s="28"/>
      <c r="K6" s="27" t="s">
        <v>212</v>
      </c>
      <c r="L6" s="27" t="s">
        <v>281</v>
      </c>
      <c r="M6" s="28" t="s">
        <v>245</v>
      </c>
      <c r="N6" s="28"/>
      <c r="O6" s="27" t="s">
        <v>212</v>
      </c>
      <c r="P6" s="27" t="s">
        <v>281</v>
      </c>
      <c r="Q6" s="28" t="s">
        <v>245</v>
      </c>
      <c r="R6" s="28"/>
      <c r="S6" s="27">
        <v>165</v>
      </c>
      <c r="T6" s="27" t="str">
        <f>"164,1420"</f>
        <v>164,1420</v>
      </c>
      <c r="U6" s="27" t="s">
        <v>128</v>
      </c>
    </row>
    <row r="9" spans="1:21" ht="16">
      <c r="A9" s="41" t="s">
        <v>21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</row>
    <row r="10" spans="1:21">
      <c r="A10" s="70" t="s">
        <v>284</v>
      </c>
      <c r="B10" s="27" t="s">
        <v>285</v>
      </c>
      <c r="C10" s="27" t="s">
        <v>286</v>
      </c>
      <c r="D10" s="27" t="str">
        <f>"0,6714"</f>
        <v>0,6714</v>
      </c>
      <c r="E10" s="27" t="s">
        <v>53</v>
      </c>
      <c r="F10" s="72" t="s">
        <v>457</v>
      </c>
      <c r="G10" s="27" t="s">
        <v>261</v>
      </c>
      <c r="H10" s="27" t="s">
        <v>160</v>
      </c>
      <c r="I10" s="28" t="s">
        <v>150</v>
      </c>
      <c r="J10" s="28"/>
      <c r="K10" s="27" t="s">
        <v>126</v>
      </c>
      <c r="L10" s="27" t="s">
        <v>247</v>
      </c>
      <c r="M10" s="27" t="s">
        <v>287</v>
      </c>
      <c r="N10" s="28"/>
      <c r="O10" s="27" t="s">
        <v>155</v>
      </c>
      <c r="P10" s="27" t="s">
        <v>179</v>
      </c>
      <c r="Q10" s="27" t="s">
        <v>288</v>
      </c>
      <c r="R10" s="28"/>
      <c r="S10" s="27">
        <v>520</v>
      </c>
      <c r="T10" s="27" t="str">
        <f>"349,1280"</f>
        <v>349,1280</v>
      </c>
      <c r="U10" s="27" t="s">
        <v>289</v>
      </c>
    </row>
  </sheetData>
  <mergeCells count="15">
    <mergeCell ref="A5:T5"/>
    <mergeCell ref="A9:T9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C1" workbookViewId="0">
      <selection activeCell="E8" sqref="E8"/>
    </sheetView>
  </sheetViews>
  <sheetFormatPr baseColWidth="10" defaultColWidth="8.7109375" defaultRowHeight="13" x14ac:dyDescent="0"/>
  <cols>
    <col min="1" max="1" width="31.85546875" style="26" bestFit="1" customWidth="1"/>
    <col min="2" max="2" width="22.42578125" style="26" customWidth="1"/>
    <col min="3" max="3" width="16.42578125" style="26" customWidth="1"/>
    <col min="4" max="4" width="22.7109375" style="26" bestFit="1" customWidth="1"/>
    <col min="5" max="5" width="37.28515625" style="26" customWidth="1"/>
    <col min="6" max="6" width="9" style="26" customWidth="1"/>
    <col min="7" max="8" width="8.85546875" style="26" customWidth="1"/>
    <col min="9" max="9" width="7.5703125" style="26" customWidth="1"/>
    <col min="10" max="10" width="10.28515625" style="26" customWidth="1"/>
    <col min="11" max="11" width="32.5703125" style="26" customWidth="1"/>
  </cols>
  <sheetData>
    <row r="1" spans="1:11" s="1" customFormat="1" ht="15" customHeight="1">
      <c r="A1" s="42" t="s">
        <v>435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1" customFormat="1" ht="139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2" customFormat="1" ht="12.75" customHeight="1">
      <c r="A3" s="48" t="s">
        <v>0</v>
      </c>
      <c r="B3" s="50" t="s">
        <v>431</v>
      </c>
      <c r="C3" s="52" t="s">
        <v>439</v>
      </c>
      <c r="D3" s="52" t="s">
        <v>8</v>
      </c>
      <c r="E3" s="52" t="s">
        <v>456</v>
      </c>
      <c r="F3" s="52" t="s">
        <v>437</v>
      </c>
      <c r="G3" s="52"/>
      <c r="H3" s="52"/>
      <c r="I3" s="52"/>
      <c r="J3" s="52" t="s">
        <v>436</v>
      </c>
      <c r="K3" s="53" t="s">
        <v>6</v>
      </c>
    </row>
    <row r="4" spans="1:11" s="2" customFormat="1" ht="21" customHeight="1" thickBot="1">
      <c r="A4" s="49"/>
      <c r="B4" s="51"/>
      <c r="C4" s="51"/>
      <c r="D4" s="51"/>
      <c r="E4" s="51"/>
      <c r="F4" s="3">
        <v>1</v>
      </c>
      <c r="G4" s="3">
        <v>2</v>
      </c>
      <c r="H4" s="3">
        <v>3</v>
      </c>
      <c r="I4" s="3" t="s">
        <v>9</v>
      </c>
      <c r="J4" s="51"/>
      <c r="K4" s="54"/>
    </row>
    <row r="5" spans="1:11" ht="16">
      <c r="A5" s="55" t="s">
        <v>35</v>
      </c>
      <c r="B5" s="55"/>
      <c r="C5" s="55"/>
      <c r="D5" s="55"/>
      <c r="E5" s="55"/>
      <c r="F5" s="55"/>
      <c r="G5" s="55"/>
      <c r="H5" s="55"/>
      <c r="I5" s="55"/>
      <c r="J5" s="55"/>
    </row>
    <row r="6" spans="1:11">
      <c r="A6" s="69" t="s">
        <v>334</v>
      </c>
      <c r="B6" s="34" t="s">
        <v>421</v>
      </c>
      <c r="C6" s="74" t="s">
        <v>336</v>
      </c>
      <c r="D6" s="74" t="s">
        <v>444</v>
      </c>
      <c r="E6" s="74" t="s">
        <v>442</v>
      </c>
      <c r="F6" s="76" t="s">
        <v>166</v>
      </c>
      <c r="G6" s="76" t="s">
        <v>167</v>
      </c>
      <c r="H6" s="77" t="s">
        <v>168</v>
      </c>
      <c r="I6" s="77"/>
      <c r="J6" s="76">
        <v>130</v>
      </c>
      <c r="K6" s="74" t="s">
        <v>434</v>
      </c>
    </row>
    <row r="7" spans="1:11">
      <c r="A7" s="70" t="s">
        <v>422</v>
      </c>
      <c r="B7" s="27" t="s">
        <v>423</v>
      </c>
      <c r="C7" s="72" t="s">
        <v>64</v>
      </c>
      <c r="D7" s="72" t="s">
        <v>53</v>
      </c>
      <c r="E7" s="12" t="s">
        <v>457</v>
      </c>
      <c r="F7" s="78" t="s">
        <v>224</v>
      </c>
      <c r="G7" s="78" t="s">
        <v>136</v>
      </c>
      <c r="H7" s="79" t="s">
        <v>218</v>
      </c>
      <c r="I7" s="79"/>
      <c r="J7" s="78">
        <v>160</v>
      </c>
      <c r="K7" s="72" t="s">
        <v>434</v>
      </c>
    </row>
    <row r="8" spans="1:11">
      <c r="A8" s="71" t="s">
        <v>417</v>
      </c>
      <c r="B8" s="38" t="s">
        <v>418</v>
      </c>
      <c r="C8" s="75" t="s">
        <v>419</v>
      </c>
      <c r="D8" s="75" t="s">
        <v>53</v>
      </c>
      <c r="E8" s="8" t="s">
        <v>457</v>
      </c>
      <c r="F8" s="80" t="s">
        <v>126</v>
      </c>
      <c r="G8" s="80" t="s">
        <v>168</v>
      </c>
      <c r="H8" s="81" t="s">
        <v>224</v>
      </c>
      <c r="I8" s="81"/>
      <c r="J8" s="80">
        <v>140</v>
      </c>
      <c r="K8" s="75" t="s">
        <v>434</v>
      </c>
    </row>
    <row r="16" spans="1:11">
      <c r="A16" s="64"/>
      <c r="B16" s="65"/>
      <c r="C16" s="65"/>
      <c r="D16" s="63"/>
    </row>
    <row r="17" spans="1:4">
      <c r="A17" s="64"/>
      <c r="B17" s="65"/>
      <c r="C17" s="65"/>
      <c r="D17" s="63"/>
    </row>
    <row r="18" spans="1:4">
      <c r="A18" s="64"/>
      <c r="B18" s="65"/>
      <c r="C18" s="65"/>
      <c r="D18" s="63"/>
    </row>
    <row r="19" spans="1:4">
      <c r="A19" s="64"/>
      <c r="B19" s="65"/>
      <c r="C19" s="65"/>
      <c r="D19" s="63"/>
    </row>
    <row r="20" spans="1:4">
      <c r="A20" s="64"/>
      <c r="B20" s="65"/>
      <c r="C20" s="65"/>
      <c r="D20" s="63"/>
    </row>
    <row r="21" spans="1:4">
      <c r="A21" s="64"/>
      <c r="B21" s="65"/>
      <c r="C21" s="65"/>
      <c r="D21" s="63"/>
    </row>
    <row r="22" spans="1:4">
      <c r="A22" s="64"/>
      <c r="B22" s="65"/>
      <c r="C22" s="65"/>
      <c r="D22" s="63"/>
    </row>
    <row r="23" spans="1:4">
      <c r="A23" s="64"/>
      <c r="B23" s="65"/>
      <c r="C23" s="65"/>
      <c r="D23" s="63"/>
    </row>
    <row r="24" spans="1:4">
      <c r="A24" s="64"/>
      <c r="B24" s="65"/>
      <c r="C24" s="65"/>
      <c r="D24" s="63"/>
    </row>
    <row r="25" spans="1:4">
      <c r="A25" s="64"/>
      <c r="B25" s="65"/>
      <c r="C25" s="65"/>
      <c r="D25" s="63"/>
    </row>
    <row r="26" spans="1:4">
      <c r="A26" s="64"/>
      <c r="B26" s="65"/>
      <c r="C26" s="65"/>
      <c r="D26" s="63"/>
    </row>
    <row r="27" spans="1:4">
      <c r="A27" s="64"/>
      <c r="B27" s="65"/>
      <c r="C27" s="65"/>
      <c r="D27" s="63"/>
    </row>
    <row r="28" spans="1:4">
      <c r="A28" s="64"/>
      <c r="B28" s="65"/>
      <c r="C28" s="65"/>
      <c r="D28" s="63"/>
    </row>
  </sheetData>
  <mergeCells count="10"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I3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8"/>
  <sheetViews>
    <sheetView topLeftCell="B1" workbookViewId="0">
      <selection activeCell="E19" sqref="E19"/>
    </sheetView>
  </sheetViews>
  <sheetFormatPr baseColWidth="10" defaultColWidth="8.7109375" defaultRowHeight="13" x14ac:dyDescent="0"/>
  <cols>
    <col min="1" max="1" width="34.5703125" style="4" bestFit="1" customWidth="1"/>
    <col min="2" max="2" width="24.42578125" style="1" customWidth="1"/>
    <col min="3" max="3" width="19.28515625" style="1" customWidth="1"/>
    <col min="4" max="4" width="24.7109375" style="5" customWidth="1"/>
    <col min="5" max="5" width="34.140625" style="5" customWidth="1"/>
    <col min="6" max="6" width="9.28515625" style="1" customWidth="1"/>
    <col min="7" max="7" width="9" style="1" customWidth="1"/>
    <col min="8" max="8" width="9.28515625" style="1" customWidth="1"/>
    <col min="9" max="9" width="8.85546875" style="1" customWidth="1"/>
    <col min="10" max="10" width="31.28515625" style="5" customWidth="1"/>
    <col min="11" max="16384" width="8.7109375" style="1"/>
  </cols>
  <sheetData>
    <row r="1" spans="1:10" ht="2" customHeight="1">
      <c r="A1" s="42" t="s">
        <v>432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ht="166" customHeight="1" thickBot="1">
      <c r="A2" s="45"/>
      <c r="B2" s="46"/>
      <c r="C2" s="46"/>
      <c r="D2" s="46"/>
      <c r="E2" s="46"/>
      <c r="F2" s="46"/>
      <c r="G2" s="46"/>
      <c r="H2" s="46"/>
      <c r="I2" s="46"/>
      <c r="J2" s="47"/>
    </row>
    <row r="3" spans="1:10" s="2" customFormat="1" ht="12.75" customHeight="1">
      <c r="A3" s="48" t="s">
        <v>0</v>
      </c>
      <c r="B3" s="50" t="s">
        <v>431</v>
      </c>
      <c r="C3" s="52" t="s">
        <v>439</v>
      </c>
      <c r="D3" s="52" t="s">
        <v>8</v>
      </c>
      <c r="E3" s="52" t="s">
        <v>456</v>
      </c>
      <c r="F3" s="52" t="s">
        <v>438</v>
      </c>
      <c r="G3" s="52"/>
      <c r="H3" s="52"/>
      <c r="I3" s="52"/>
      <c r="J3" s="53" t="s">
        <v>6</v>
      </c>
    </row>
    <row r="4" spans="1:10" s="2" customFormat="1" ht="21" customHeight="1" thickBot="1">
      <c r="A4" s="49"/>
      <c r="B4" s="51"/>
      <c r="C4" s="51"/>
      <c r="D4" s="51"/>
      <c r="E4" s="51"/>
      <c r="F4" s="3">
        <v>1</v>
      </c>
      <c r="G4" s="3">
        <v>2</v>
      </c>
      <c r="H4" s="3">
        <v>3</v>
      </c>
      <c r="I4" s="3" t="s">
        <v>9</v>
      </c>
      <c r="J4" s="54"/>
    </row>
    <row r="5" spans="1:10" ht="16">
      <c r="A5" s="56" t="s">
        <v>35</v>
      </c>
      <c r="B5" s="55"/>
      <c r="C5" s="55"/>
      <c r="D5" s="55"/>
      <c r="E5" s="55"/>
      <c r="F5" s="55"/>
      <c r="G5" s="55"/>
      <c r="H5" s="55"/>
      <c r="I5" s="55"/>
    </row>
    <row r="6" spans="1:10">
      <c r="A6" s="10" t="s">
        <v>422</v>
      </c>
      <c r="B6" s="11" t="s">
        <v>423</v>
      </c>
      <c r="C6" s="12" t="s">
        <v>64</v>
      </c>
      <c r="D6" s="12" t="s">
        <v>53</v>
      </c>
      <c r="E6" s="74" t="s">
        <v>457</v>
      </c>
      <c r="F6" s="11" t="s">
        <v>424</v>
      </c>
      <c r="G6" s="11" t="s">
        <v>425</v>
      </c>
      <c r="H6" s="13" t="s">
        <v>47</v>
      </c>
      <c r="I6" s="13"/>
      <c r="J6" s="12" t="s">
        <v>434</v>
      </c>
    </row>
    <row r="7" spans="1:10">
      <c r="A7" s="6" t="s">
        <v>417</v>
      </c>
      <c r="B7" s="7" t="s">
        <v>418</v>
      </c>
      <c r="C7" s="8" t="s">
        <v>419</v>
      </c>
      <c r="D7" s="8" t="s">
        <v>53</v>
      </c>
      <c r="E7" s="74" t="s">
        <v>457</v>
      </c>
      <c r="F7" s="7" t="s">
        <v>426</v>
      </c>
      <c r="G7" s="7" t="s">
        <v>427</v>
      </c>
      <c r="H7" s="7" t="s">
        <v>428</v>
      </c>
      <c r="I7" s="9"/>
      <c r="J7" s="8" t="s">
        <v>434</v>
      </c>
    </row>
    <row r="8" spans="1:10">
      <c r="A8" s="6" t="s">
        <v>36</v>
      </c>
      <c r="B8" s="7" t="s">
        <v>37</v>
      </c>
      <c r="C8" s="8" t="s">
        <v>338</v>
      </c>
      <c r="D8" s="8" t="s">
        <v>443</v>
      </c>
      <c r="E8" s="8" t="s">
        <v>441</v>
      </c>
      <c r="F8" s="7" t="s">
        <v>429</v>
      </c>
      <c r="G8" s="7" t="s">
        <v>426</v>
      </c>
      <c r="H8" s="9" t="s">
        <v>245</v>
      </c>
      <c r="I8" s="9"/>
      <c r="J8" s="8" t="s">
        <v>434</v>
      </c>
    </row>
  </sheetData>
  <mergeCells count="9">
    <mergeCell ref="J3:J4"/>
    <mergeCell ref="A5:I5"/>
    <mergeCell ref="A1:J2"/>
    <mergeCell ref="A3:A4"/>
    <mergeCell ref="B3:B4"/>
    <mergeCell ref="C3:C4"/>
    <mergeCell ref="D3:D4"/>
    <mergeCell ref="E3:E4"/>
    <mergeCell ref="F3:I3"/>
  </mergeCells>
  <pageMargins left="0.19685039370078741" right="0.47244094488188981" top="0.43307086614173229" bottom="0.47244094488188981" header="0.51181102362204722" footer="0.51181102362204722"/>
  <pageSetup paperSize="9" orientation="portrait" horizontalDpi="4294967292" verticalDpi="4294967292"/>
  <headerFooter alignWithMargins="0">
    <oddFooter>&amp;L&amp;G&amp;R&amp;D&amp;T&amp;P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C3" sqref="C3:C4"/>
    </sheetView>
  </sheetViews>
  <sheetFormatPr baseColWidth="10" defaultColWidth="8.7109375" defaultRowHeight="13" x14ac:dyDescent="0"/>
  <cols>
    <col min="1" max="1" width="31.85546875" style="26" bestFit="1" customWidth="1"/>
    <col min="2" max="2" width="27.140625" style="26" bestFit="1" customWidth="1"/>
    <col min="3" max="3" width="12.28515625" style="26" bestFit="1" customWidth="1"/>
    <col min="4" max="4" width="8.42578125" style="26" bestFit="1" customWidth="1"/>
    <col min="5" max="5" width="22.7109375" style="26" bestFit="1" customWidth="1"/>
    <col min="6" max="6" width="36.140625" style="26" customWidth="1"/>
    <col min="7" max="9" width="5.5703125" style="26" bestFit="1" customWidth="1"/>
    <col min="10" max="10" width="5.7109375" style="26" customWidth="1"/>
    <col min="11" max="11" width="10.5703125" style="26" customWidth="1"/>
    <col min="12" max="12" width="8.5703125" style="26" bestFit="1" customWidth="1"/>
    <col min="13" max="13" width="25.42578125" style="26" customWidth="1"/>
  </cols>
  <sheetData>
    <row r="1" spans="1:13" s="1" customFormat="1" ht="15" customHeight="1">
      <c r="A1" s="42" t="s">
        <v>460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1" customFormat="1" ht="10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2" customFormat="1" ht="12.75" customHeight="1">
      <c r="A3" s="48" t="s">
        <v>0</v>
      </c>
      <c r="B3" s="50" t="s">
        <v>431</v>
      </c>
      <c r="C3" s="52" t="s">
        <v>430</v>
      </c>
      <c r="D3" s="52" t="s">
        <v>121</v>
      </c>
      <c r="E3" s="52" t="s">
        <v>8</v>
      </c>
      <c r="F3" s="52" t="s">
        <v>456</v>
      </c>
      <c r="G3" s="52" t="s">
        <v>3</v>
      </c>
      <c r="H3" s="52"/>
      <c r="I3" s="52"/>
      <c r="J3" s="52"/>
      <c r="K3" s="52" t="s">
        <v>436</v>
      </c>
      <c r="L3" s="52" t="s">
        <v>7</v>
      </c>
      <c r="M3" s="53" t="s">
        <v>6</v>
      </c>
    </row>
    <row r="4" spans="1:13" s="2" customFormat="1" ht="21" customHeight="1" thickBot="1">
      <c r="A4" s="49"/>
      <c r="B4" s="51"/>
      <c r="C4" s="51"/>
      <c r="D4" s="51"/>
      <c r="E4" s="51"/>
      <c r="F4" s="51"/>
      <c r="G4" s="3">
        <v>1</v>
      </c>
      <c r="H4" s="3">
        <v>2</v>
      </c>
      <c r="I4" s="3">
        <v>3</v>
      </c>
      <c r="J4" s="3" t="s">
        <v>9</v>
      </c>
      <c r="K4" s="51"/>
      <c r="L4" s="51"/>
      <c r="M4" s="54"/>
    </row>
    <row r="5" spans="1:13" ht="16">
      <c r="A5" s="55" t="s">
        <v>12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3">
      <c r="A6" s="70" t="s">
        <v>122</v>
      </c>
      <c r="B6" s="27" t="s">
        <v>123</v>
      </c>
      <c r="C6" s="27" t="s">
        <v>124</v>
      </c>
      <c r="D6" s="27" t="str">
        <f>"0,9571"</f>
        <v>0,9571</v>
      </c>
      <c r="E6" s="27" t="s">
        <v>53</v>
      </c>
      <c r="F6" s="72" t="s">
        <v>457</v>
      </c>
      <c r="G6" s="27" t="s">
        <v>125</v>
      </c>
      <c r="H6" s="27" t="s">
        <v>126</v>
      </c>
      <c r="I6" s="27" t="s">
        <v>127</v>
      </c>
      <c r="J6" s="28"/>
      <c r="K6" s="27">
        <v>105</v>
      </c>
      <c r="L6" s="27" t="str">
        <f>"100,4955"</f>
        <v>100,4955</v>
      </c>
      <c r="M6" s="27" t="s">
        <v>128</v>
      </c>
    </row>
    <row r="8" spans="1:13" ht="16">
      <c r="A8" s="41" t="s">
        <v>130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3">
      <c r="A9" s="70" t="s">
        <v>131</v>
      </c>
      <c r="B9" s="27" t="s">
        <v>132</v>
      </c>
      <c r="C9" s="27" t="s">
        <v>133</v>
      </c>
      <c r="D9" s="27" t="str">
        <f>"0,8635"</f>
        <v>0,8635</v>
      </c>
      <c r="E9" s="27" t="s">
        <v>53</v>
      </c>
      <c r="F9" s="72" t="s">
        <v>457</v>
      </c>
      <c r="G9" s="27" t="s">
        <v>134</v>
      </c>
      <c r="H9" s="27" t="s">
        <v>135</v>
      </c>
      <c r="I9" s="27" t="s">
        <v>136</v>
      </c>
      <c r="J9" s="28"/>
      <c r="K9" s="27">
        <v>160</v>
      </c>
      <c r="L9" s="27" t="str">
        <f>"138,1600"</f>
        <v>138,1600</v>
      </c>
      <c r="M9" s="27" t="s">
        <v>137</v>
      </c>
    </row>
    <row r="11" spans="1:13" ht="16">
      <c r="A11" s="41" t="s">
        <v>12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3">
      <c r="A12" s="70" t="s">
        <v>138</v>
      </c>
      <c r="B12" s="27" t="s">
        <v>139</v>
      </c>
      <c r="C12" s="27" t="s">
        <v>140</v>
      </c>
      <c r="D12" s="27" t="str">
        <f>"0,7322"</f>
        <v>0,7322</v>
      </c>
      <c r="E12" s="27" t="s">
        <v>141</v>
      </c>
      <c r="F12" s="27" t="s">
        <v>142</v>
      </c>
      <c r="G12" s="27" t="s">
        <v>143</v>
      </c>
      <c r="H12" s="27" t="s">
        <v>144</v>
      </c>
      <c r="I12" s="28" t="s">
        <v>145</v>
      </c>
      <c r="J12" s="28"/>
      <c r="K12" s="27">
        <v>182.5</v>
      </c>
      <c r="L12" s="27" t="str">
        <f>"133,6265"</f>
        <v>133,6265</v>
      </c>
      <c r="M12" s="27" t="s">
        <v>20</v>
      </c>
    </row>
    <row r="14" spans="1:13" ht="16">
      <c r="A14" s="41" t="s">
        <v>35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3">
      <c r="A15" s="69" t="s">
        <v>146</v>
      </c>
      <c r="B15" s="34" t="s">
        <v>147</v>
      </c>
      <c r="C15" s="34" t="s">
        <v>148</v>
      </c>
      <c r="D15" s="34" t="str">
        <f>"0,6463"</f>
        <v>0,6463</v>
      </c>
      <c r="E15" s="34" t="s">
        <v>25</v>
      </c>
      <c r="F15" s="12" t="s">
        <v>441</v>
      </c>
      <c r="G15" s="34" t="s">
        <v>149</v>
      </c>
      <c r="H15" s="34" t="s">
        <v>150</v>
      </c>
      <c r="I15" s="34" t="s">
        <v>145</v>
      </c>
      <c r="J15" s="35"/>
      <c r="K15" s="34">
        <v>190</v>
      </c>
      <c r="L15" s="34" t="str">
        <f>"122,7970"</f>
        <v>122,7970</v>
      </c>
      <c r="M15" s="34" t="s">
        <v>151</v>
      </c>
    </row>
    <row r="16" spans="1:13">
      <c r="A16" s="70" t="s">
        <v>152</v>
      </c>
      <c r="B16" s="27" t="s">
        <v>153</v>
      </c>
      <c r="C16" s="27" t="s">
        <v>154</v>
      </c>
      <c r="D16" s="27" t="str">
        <f>"0,6451"</f>
        <v>0,6451</v>
      </c>
      <c r="E16" s="27" t="s">
        <v>25</v>
      </c>
      <c r="F16" s="8" t="s">
        <v>441</v>
      </c>
      <c r="G16" s="28" t="s">
        <v>155</v>
      </c>
      <c r="H16" s="27" t="s">
        <v>155</v>
      </c>
      <c r="I16" s="28" t="s">
        <v>156</v>
      </c>
      <c r="J16" s="28"/>
      <c r="K16" s="27">
        <v>200</v>
      </c>
      <c r="L16" s="27" t="str">
        <f>"129,0200"</f>
        <v>129,0200</v>
      </c>
      <c r="M16" s="27" t="s">
        <v>151</v>
      </c>
    </row>
    <row r="17" spans="1:13">
      <c r="A17" s="71" t="s">
        <v>157</v>
      </c>
      <c r="B17" s="38" t="s">
        <v>158</v>
      </c>
      <c r="C17" s="38" t="s">
        <v>159</v>
      </c>
      <c r="D17" s="38" t="str">
        <f>"0,6491"</f>
        <v>0,6491</v>
      </c>
      <c r="E17" s="38" t="s">
        <v>53</v>
      </c>
      <c r="F17" s="75" t="s">
        <v>457</v>
      </c>
      <c r="G17" s="38" t="s">
        <v>160</v>
      </c>
      <c r="H17" s="39" t="s">
        <v>161</v>
      </c>
      <c r="I17" s="39" t="s">
        <v>161</v>
      </c>
      <c r="J17" s="39"/>
      <c r="K17" s="38">
        <v>180</v>
      </c>
      <c r="L17" s="38" t="str">
        <f>"116,8380"</f>
        <v>116,8380</v>
      </c>
      <c r="M17" s="38" t="s">
        <v>162</v>
      </c>
    </row>
    <row r="19" spans="1:13" ht="16">
      <c r="A19" s="41" t="s">
        <v>114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3">
      <c r="A20" s="70" t="s">
        <v>163</v>
      </c>
      <c r="B20" s="27" t="s">
        <v>164</v>
      </c>
      <c r="C20" s="27" t="s">
        <v>165</v>
      </c>
      <c r="D20" s="27" t="str">
        <f>"0,6373"</f>
        <v>0,6373</v>
      </c>
      <c r="E20" s="27" t="s">
        <v>25</v>
      </c>
      <c r="F20" s="8" t="s">
        <v>441</v>
      </c>
      <c r="G20" s="27" t="s">
        <v>166</v>
      </c>
      <c r="H20" s="27" t="s">
        <v>167</v>
      </c>
      <c r="I20" s="28" t="s">
        <v>168</v>
      </c>
      <c r="J20" s="28"/>
      <c r="K20" s="27">
        <v>130</v>
      </c>
      <c r="L20" s="27" t="str">
        <f>"82,8490"</f>
        <v>82,8490</v>
      </c>
      <c r="M20" s="27" t="s">
        <v>169</v>
      </c>
    </row>
    <row r="21" spans="1:13">
      <c r="A21" s="71" t="s">
        <v>170</v>
      </c>
      <c r="B21" s="38" t="s">
        <v>171</v>
      </c>
      <c r="C21" s="38" t="s">
        <v>172</v>
      </c>
      <c r="D21" s="38" t="str">
        <f>"0,6285"</f>
        <v>0,6285</v>
      </c>
      <c r="E21" s="38" t="s">
        <v>25</v>
      </c>
      <c r="F21" s="14" t="s">
        <v>441</v>
      </c>
      <c r="G21" s="38" t="s">
        <v>155</v>
      </c>
      <c r="H21" s="38" t="s">
        <v>156</v>
      </c>
      <c r="I21" s="38" t="s">
        <v>173</v>
      </c>
      <c r="J21" s="39"/>
      <c r="K21" s="38">
        <v>220</v>
      </c>
      <c r="L21" s="38" t="str">
        <f>"138,2700"</f>
        <v>138,2700</v>
      </c>
      <c r="M21" s="38" t="s">
        <v>20</v>
      </c>
    </row>
    <row r="23" spans="1:13" ht="16">
      <c r="A23" s="41" t="s">
        <v>174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3">
      <c r="A24" s="70" t="s">
        <v>175</v>
      </c>
      <c r="B24" s="27" t="s">
        <v>176</v>
      </c>
      <c r="C24" s="27" t="s">
        <v>177</v>
      </c>
      <c r="D24" s="27" t="str">
        <f>"0,5924"</f>
        <v>0,5924</v>
      </c>
      <c r="E24" s="27" t="s">
        <v>25</v>
      </c>
      <c r="F24" s="8" t="s">
        <v>441</v>
      </c>
      <c r="G24" s="27" t="s">
        <v>145</v>
      </c>
      <c r="H24" s="27" t="s">
        <v>178</v>
      </c>
      <c r="I24" s="27" t="s">
        <v>179</v>
      </c>
      <c r="J24" s="28"/>
      <c r="K24" s="27">
        <v>215</v>
      </c>
      <c r="L24" s="27" t="str">
        <f>"127,3660"</f>
        <v>127,3660</v>
      </c>
      <c r="M24" s="27" t="s">
        <v>151</v>
      </c>
    </row>
  </sheetData>
  <mergeCells count="17">
    <mergeCell ref="A23:L23"/>
    <mergeCell ref="M3:M4"/>
    <mergeCell ref="A5:L5"/>
    <mergeCell ref="A8:L8"/>
    <mergeCell ref="A11:L11"/>
    <mergeCell ref="A14:L14"/>
    <mergeCell ref="A19:L19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E28" sqref="E28"/>
    </sheetView>
  </sheetViews>
  <sheetFormatPr baseColWidth="10" defaultColWidth="8.7109375" defaultRowHeight="13" x14ac:dyDescent="0"/>
  <cols>
    <col min="1" max="1" width="31.85546875" style="26" bestFit="1" customWidth="1"/>
    <col min="2" max="2" width="21.42578125" style="26" bestFit="1" customWidth="1"/>
    <col min="3" max="3" width="12.28515625" style="26" bestFit="1" customWidth="1"/>
    <col min="4" max="4" width="8.42578125" style="26" bestFit="1" customWidth="1"/>
    <col min="5" max="5" width="22.7109375" style="26" bestFit="1" customWidth="1"/>
    <col min="6" max="6" width="35" style="26" customWidth="1"/>
    <col min="7" max="9" width="5.5703125" style="26" bestFit="1" customWidth="1"/>
    <col min="10" max="10" width="4.5703125" style="26" bestFit="1" customWidth="1"/>
    <col min="11" max="11" width="10.42578125" style="26" customWidth="1"/>
    <col min="12" max="12" width="10.7109375" style="26" customWidth="1"/>
    <col min="13" max="13" width="31.85546875" style="26" customWidth="1"/>
  </cols>
  <sheetData>
    <row r="1" spans="1:13" s="1" customFormat="1" ht="15" customHeight="1">
      <c r="A1" s="42" t="s">
        <v>461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1" customFormat="1" ht="108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2" customFormat="1" ht="12.75" customHeight="1">
      <c r="A3" s="48" t="s">
        <v>0</v>
      </c>
      <c r="B3" s="50" t="s">
        <v>431</v>
      </c>
      <c r="C3" s="52" t="s">
        <v>430</v>
      </c>
      <c r="D3" s="52" t="s">
        <v>121</v>
      </c>
      <c r="E3" s="52" t="s">
        <v>8</v>
      </c>
      <c r="F3" s="52" t="s">
        <v>456</v>
      </c>
      <c r="G3" s="52" t="s">
        <v>3</v>
      </c>
      <c r="H3" s="52"/>
      <c r="I3" s="52"/>
      <c r="J3" s="52"/>
      <c r="K3" s="52" t="s">
        <v>436</v>
      </c>
      <c r="L3" s="52" t="s">
        <v>7</v>
      </c>
      <c r="M3" s="53" t="s">
        <v>6</v>
      </c>
    </row>
    <row r="4" spans="1:13" s="2" customFormat="1" ht="21" customHeight="1" thickBot="1">
      <c r="A4" s="49"/>
      <c r="B4" s="51"/>
      <c r="C4" s="51"/>
      <c r="D4" s="51"/>
      <c r="E4" s="51"/>
      <c r="F4" s="51"/>
      <c r="G4" s="3">
        <v>1</v>
      </c>
      <c r="H4" s="3">
        <v>2</v>
      </c>
      <c r="I4" s="3">
        <v>3</v>
      </c>
      <c r="J4" s="3" t="s">
        <v>9</v>
      </c>
      <c r="K4" s="51"/>
      <c r="L4" s="51"/>
      <c r="M4" s="54"/>
    </row>
    <row r="5" spans="1:13" ht="16">
      <c r="A5" s="55" t="s">
        <v>35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3">
      <c r="A6" s="70" t="s">
        <v>182</v>
      </c>
      <c r="B6" s="27" t="s">
        <v>183</v>
      </c>
      <c r="C6" s="27" t="s">
        <v>184</v>
      </c>
      <c r="D6" s="27" t="str">
        <f>"0,6471"</f>
        <v>0,6471</v>
      </c>
      <c r="E6" s="27" t="s">
        <v>185</v>
      </c>
      <c r="F6" s="27" t="s">
        <v>186</v>
      </c>
      <c r="G6" s="27" t="s">
        <v>173</v>
      </c>
      <c r="H6" s="27" t="s">
        <v>187</v>
      </c>
      <c r="I6" s="28" t="s">
        <v>188</v>
      </c>
      <c r="J6" s="28"/>
      <c r="K6" s="27">
        <v>235</v>
      </c>
      <c r="L6" s="27" t="str">
        <f>"152,0685"</f>
        <v>152,0685</v>
      </c>
      <c r="M6" s="27" t="s">
        <v>20</v>
      </c>
    </row>
    <row r="8" spans="1:13" ht="16">
      <c r="A8" s="41" t="s">
        <v>174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3">
      <c r="A9" s="70" t="s">
        <v>189</v>
      </c>
      <c r="B9" s="27" t="s">
        <v>190</v>
      </c>
      <c r="C9" s="27" t="s">
        <v>191</v>
      </c>
      <c r="D9" s="27" t="str">
        <f>"0,5907"</f>
        <v>0,5907</v>
      </c>
      <c r="E9" s="27" t="s">
        <v>433</v>
      </c>
      <c r="F9" s="72" t="s">
        <v>457</v>
      </c>
      <c r="G9" s="27" t="s">
        <v>192</v>
      </c>
      <c r="H9" s="27" t="s">
        <v>193</v>
      </c>
      <c r="I9" s="28" t="s">
        <v>194</v>
      </c>
      <c r="J9" s="28"/>
      <c r="K9" s="27">
        <v>285</v>
      </c>
      <c r="L9" s="27" t="str">
        <f>"168,3495"</f>
        <v>168,3495</v>
      </c>
      <c r="M9" s="27" t="s">
        <v>100</v>
      </c>
    </row>
    <row r="11" spans="1:13" ht="16">
      <c r="A11" s="41" t="s">
        <v>195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3">
      <c r="A12" s="70" t="s">
        <v>196</v>
      </c>
      <c r="B12" s="27" t="s">
        <v>197</v>
      </c>
      <c r="C12" s="27" t="s">
        <v>198</v>
      </c>
      <c r="D12" s="27" t="str">
        <f>"0,5727"</f>
        <v>0,5727</v>
      </c>
      <c r="E12" s="27" t="s">
        <v>53</v>
      </c>
      <c r="F12" s="72" t="s">
        <v>457</v>
      </c>
      <c r="G12" s="27" t="s">
        <v>199</v>
      </c>
      <c r="H12" s="28" t="s">
        <v>194</v>
      </c>
      <c r="I12" s="28" t="s">
        <v>200</v>
      </c>
      <c r="J12" s="28"/>
      <c r="K12" s="27">
        <v>270</v>
      </c>
      <c r="L12" s="27" t="str">
        <f>"154,6290"</f>
        <v>154,6290</v>
      </c>
      <c r="M12" s="27" t="s">
        <v>20</v>
      </c>
    </row>
  </sheetData>
  <mergeCells count="14"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F6" sqref="F6"/>
    </sheetView>
  </sheetViews>
  <sheetFormatPr baseColWidth="10" defaultColWidth="8.7109375" defaultRowHeight="13" x14ac:dyDescent="0"/>
  <cols>
    <col min="1" max="1" width="31.85546875" style="26" bestFit="1" customWidth="1"/>
    <col min="2" max="2" width="23.42578125" style="26" customWidth="1"/>
    <col min="3" max="3" width="12.28515625" style="26" bestFit="1" customWidth="1"/>
    <col min="4" max="4" width="10.140625" style="26" customWidth="1"/>
    <col min="5" max="5" width="24.28515625" style="26" customWidth="1"/>
    <col min="6" max="6" width="34" style="26" customWidth="1"/>
    <col min="7" max="7" width="5.140625" style="26" customWidth="1"/>
    <col min="8" max="9" width="5.28515625" style="26" customWidth="1"/>
    <col min="10" max="10" width="6.7109375" style="26" customWidth="1"/>
    <col min="11" max="11" width="10.28515625" style="26" customWidth="1"/>
    <col min="12" max="12" width="11.140625" style="26" customWidth="1"/>
    <col min="13" max="13" width="36.42578125" style="26" customWidth="1"/>
  </cols>
  <sheetData>
    <row r="1" spans="1:13" s="1" customFormat="1" ht="15" customHeight="1">
      <c r="A1" s="42" t="s">
        <v>451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1" customFormat="1" ht="137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2" customFormat="1" ht="12.75" customHeight="1">
      <c r="A3" s="48" t="s">
        <v>0</v>
      </c>
      <c r="B3" s="50" t="s">
        <v>431</v>
      </c>
      <c r="C3" s="52" t="s">
        <v>430</v>
      </c>
      <c r="D3" s="52" t="s">
        <v>11</v>
      </c>
      <c r="E3" s="52" t="s">
        <v>8</v>
      </c>
      <c r="F3" s="52" t="s">
        <v>456</v>
      </c>
      <c r="G3" s="52" t="s">
        <v>2</v>
      </c>
      <c r="H3" s="52"/>
      <c r="I3" s="52"/>
      <c r="J3" s="52"/>
      <c r="K3" s="52" t="s">
        <v>447</v>
      </c>
      <c r="L3" s="52" t="s">
        <v>7</v>
      </c>
      <c r="M3" s="53" t="s">
        <v>6</v>
      </c>
    </row>
    <row r="4" spans="1:13" s="2" customFormat="1" ht="21" customHeight="1" thickBot="1">
      <c r="A4" s="49"/>
      <c r="B4" s="51"/>
      <c r="C4" s="51"/>
      <c r="D4" s="51"/>
      <c r="E4" s="51"/>
      <c r="F4" s="51"/>
      <c r="G4" s="3">
        <v>1</v>
      </c>
      <c r="H4" s="3">
        <v>2</v>
      </c>
      <c r="I4" s="3">
        <v>3</v>
      </c>
      <c r="J4" s="3" t="s">
        <v>9</v>
      </c>
      <c r="K4" s="51"/>
      <c r="L4" s="51"/>
      <c r="M4" s="54"/>
    </row>
    <row r="5" spans="1:13" ht="16">
      <c r="A5" s="55" t="s">
        <v>94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3">
      <c r="A6" s="70" t="s">
        <v>95</v>
      </c>
      <c r="B6" s="27" t="s">
        <v>96</v>
      </c>
      <c r="C6" s="27" t="s">
        <v>97</v>
      </c>
      <c r="D6" s="27" t="str">
        <f>"1,1522"</f>
        <v>1,1522</v>
      </c>
      <c r="E6" s="27" t="s">
        <v>53</v>
      </c>
      <c r="F6" s="72" t="s">
        <v>457</v>
      </c>
      <c r="G6" s="27" t="s">
        <v>98</v>
      </c>
      <c r="H6" s="27" t="s">
        <v>99</v>
      </c>
      <c r="I6" s="28"/>
      <c r="J6" s="28"/>
      <c r="K6" s="27">
        <v>900</v>
      </c>
      <c r="L6" s="27" t="str">
        <f>"1036,9800"</f>
        <v>1036,9800</v>
      </c>
      <c r="M6" s="27" t="s">
        <v>100</v>
      </c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 enableFormatConditionsCalculation="0">
    <pageSetUpPr fitToPage="1"/>
  </sheetPr>
  <dimension ref="A1:M30"/>
  <sheetViews>
    <sheetView workbookViewId="0">
      <selection activeCell="F17" sqref="F17"/>
    </sheetView>
  </sheetViews>
  <sheetFormatPr baseColWidth="10" defaultColWidth="8.7109375" defaultRowHeight="13" x14ac:dyDescent="0"/>
  <cols>
    <col min="1" max="1" width="34.5703125" style="4" bestFit="1" customWidth="1"/>
    <col min="2" max="2" width="26.85546875" style="1" bestFit="1" customWidth="1"/>
    <col min="3" max="3" width="12.28515625" style="1" bestFit="1" customWidth="1"/>
    <col min="4" max="4" width="8.42578125" style="1" bestFit="1" customWidth="1"/>
    <col min="5" max="5" width="22.7109375" style="5" bestFit="1" customWidth="1"/>
    <col min="6" max="6" width="34.7109375" style="5" customWidth="1"/>
    <col min="7" max="7" width="5.140625" style="1" customWidth="1"/>
    <col min="8" max="8" width="4.5703125" style="1" bestFit="1" customWidth="1"/>
    <col min="9" max="9" width="4.28515625" style="1" customWidth="1"/>
    <col min="10" max="10" width="5.7109375" style="1" customWidth="1"/>
    <col min="11" max="11" width="7.85546875" style="4" bestFit="1" customWidth="1"/>
    <col min="12" max="12" width="10.5703125" style="1" customWidth="1"/>
    <col min="13" max="13" width="30.28515625" style="5" customWidth="1"/>
    <col min="14" max="16384" width="8.7109375" style="1"/>
  </cols>
  <sheetData>
    <row r="1" spans="1:13" ht="15" customHeight="1">
      <c r="A1" s="42" t="s">
        <v>452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ht="141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2" customFormat="1" ht="12.75" customHeight="1">
      <c r="A3" s="48" t="s">
        <v>0</v>
      </c>
      <c r="B3" s="50" t="s">
        <v>10</v>
      </c>
      <c r="C3" s="52" t="s">
        <v>5</v>
      </c>
      <c r="D3" s="52" t="s">
        <v>11</v>
      </c>
      <c r="E3" s="52" t="s">
        <v>8</v>
      </c>
      <c r="F3" s="52" t="s">
        <v>456</v>
      </c>
      <c r="G3" s="52" t="s">
        <v>2</v>
      </c>
      <c r="H3" s="52"/>
      <c r="I3" s="52"/>
      <c r="J3" s="52"/>
      <c r="K3" s="52" t="s">
        <v>447</v>
      </c>
      <c r="L3" s="52" t="s">
        <v>7</v>
      </c>
      <c r="M3" s="53" t="s">
        <v>6</v>
      </c>
    </row>
    <row r="4" spans="1:13" s="2" customFormat="1" ht="21" customHeight="1" thickBot="1">
      <c r="A4" s="49"/>
      <c r="B4" s="51"/>
      <c r="C4" s="51"/>
      <c r="D4" s="51"/>
      <c r="E4" s="51"/>
      <c r="F4" s="51"/>
      <c r="G4" s="3">
        <v>1</v>
      </c>
      <c r="H4" s="3">
        <v>2</v>
      </c>
      <c r="I4" s="3">
        <v>3</v>
      </c>
      <c r="J4" s="3" t="s">
        <v>9</v>
      </c>
      <c r="K4" s="51"/>
      <c r="L4" s="51"/>
      <c r="M4" s="54"/>
    </row>
    <row r="5" spans="1:13" ht="16">
      <c r="A5" s="56" t="s">
        <v>12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3">
      <c r="A6" s="6" t="s">
        <v>13</v>
      </c>
      <c r="B6" s="8" t="s">
        <v>14</v>
      </c>
      <c r="C6" s="8" t="s">
        <v>15</v>
      </c>
      <c r="D6" s="8" t="str">
        <f>"0,6913"</f>
        <v>0,6913</v>
      </c>
      <c r="E6" s="8" t="s">
        <v>433</v>
      </c>
      <c r="F6" s="8" t="s">
        <v>442</v>
      </c>
      <c r="G6" s="7" t="s">
        <v>17</v>
      </c>
      <c r="H6" s="7" t="s">
        <v>18</v>
      </c>
      <c r="I6" s="9"/>
      <c r="J6" s="9"/>
      <c r="K6" s="6" t="s">
        <v>19</v>
      </c>
      <c r="L6" s="7" t="str">
        <f>"1659,0001"</f>
        <v>1659,0001</v>
      </c>
      <c r="M6" s="8" t="s">
        <v>434</v>
      </c>
    </row>
    <row r="8" spans="1:13" ht="16">
      <c r="A8" s="57" t="s">
        <v>21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3">
      <c r="A9" s="10" t="s">
        <v>22</v>
      </c>
      <c r="B9" s="12" t="s">
        <v>23</v>
      </c>
      <c r="C9" s="12" t="s">
        <v>24</v>
      </c>
      <c r="D9" s="12" t="str">
        <f>"0,6524"</f>
        <v>0,6524</v>
      </c>
      <c r="E9" s="12" t="s">
        <v>433</v>
      </c>
      <c r="F9" s="12" t="s">
        <v>16</v>
      </c>
      <c r="G9" s="11" t="s">
        <v>26</v>
      </c>
      <c r="H9" s="11" t="s">
        <v>27</v>
      </c>
      <c r="I9" s="13"/>
      <c r="J9" s="13"/>
      <c r="K9" s="10" t="s">
        <v>28</v>
      </c>
      <c r="L9" s="11" t="str">
        <f>"1506,9285"</f>
        <v>1506,9285</v>
      </c>
      <c r="M9" s="12" t="s">
        <v>434</v>
      </c>
    </row>
    <row r="10" spans="1:13">
      <c r="A10" s="6" t="s">
        <v>29</v>
      </c>
      <c r="B10" s="8" t="s">
        <v>30</v>
      </c>
      <c r="C10" s="8" t="s">
        <v>31</v>
      </c>
      <c r="D10" s="8" t="str">
        <f>"0,6802"</f>
        <v>0,6802</v>
      </c>
      <c r="E10" s="8" t="s">
        <v>433</v>
      </c>
      <c r="F10" s="8" t="s">
        <v>32</v>
      </c>
      <c r="G10" s="9" t="s">
        <v>33</v>
      </c>
      <c r="H10" s="9"/>
      <c r="I10" s="9"/>
      <c r="J10" s="9"/>
      <c r="K10" s="6" t="s">
        <v>34</v>
      </c>
      <c r="L10" s="7" t="str">
        <f>"0,0000"</f>
        <v>0,0000</v>
      </c>
      <c r="M10" s="8" t="s">
        <v>434</v>
      </c>
    </row>
    <row r="12" spans="1:13" ht="16">
      <c r="A12" s="57" t="s">
        <v>35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3">
      <c r="A13" s="10" t="s">
        <v>36</v>
      </c>
      <c r="B13" s="12" t="s">
        <v>37</v>
      </c>
      <c r="C13" s="12" t="s">
        <v>38</v>
      </c>
      <c r="D13" s="12" t="str">
        <f>"0,6175"</f>
        <v>0,6175</v>
      </c>
      <c r="E13" s="12" t="s">
        <v>433</v>
      </c>
      <c r="F13" s="12" t="s">
        <v>442</v>
      </c>
      <c r="G13" s="11" t="s">
        <v>39</v>
      </c>
      <c r="H13" s="11" t="s">
        <v>40</v>
      </c>
      <c r="I13" s="13"/>
      <c r="J13" s="13"/>
      <c r="K13" s="10" t="s">
        <v>41</v>
      </c>
      <c r="L13" s="11" t="str">
        <f>"1444,9500"</f>
        <v>1444,9500</v>
      </c>
      <c r="M13" s="12" t="s">
        <v>434</v>
      </c>
    </row>
    <row r="14" spans="1:13">
      <c r="A14" s="6" t="s">
        <v>42</v>
      </c>
      <c r="B14" s="8" t="s">
        <v>43</v>
      </c>
      <c r="C14" s="8" t="s">
        <v>44</v>
      </c>
      <c r="D14" s="8" t="str">
        <f>"0,6370"</f>
        <v>0,6370</v>
      </c>
      <c r="E14" s="8" t="s">
        <v>45</v>
      </c>
      <c r="F14" s="8" t="s">
        <v>46</v>
      </c>
      <c r="G14" s="7" t="s">
        <v>47</v>
      </c>
      <c r="H14" s="7" t="s">
        <v>48</v>
      </c>
      <c r="I14" s="9"/>
      <c r="J14" s="9"/>
      <c r="K14" s="6" t="s">
        <v>49</v>
      </c>
      <c r="L14" s="7" t="str">
        <f>"920,5011"</f>
        <v>920,5011</v>
      </c>
      <c r="M14" s="8" t="s">
        <v>434</v>
      </c>
    </row>
    <row r="15" spans="1:13">
      <c r="A15" s="15" t="s">
        <v>50</v>
      </c>
      <c r="B15" s="17" t="s">
        <v>51</v>
      </c>
      <c r="C15" s="17" t="s">
        <v>52</v>
      </c>
      <c r="D15" s="17" t="str">
        <f>"0,6133"</f>
        <v>0,6133</v>
      </c>
      <c r="E15" s="17" t="s">
        <v>53</v>
      </c>
      <c r="F15" s="74" t="s">
        <v>457</v>
      </c>
      <c r="G15" s="16" t="s">
        <v>39</v>
      </c>
      <c r="H15" s="16" t="s">
        <v>54</v>
      </c>
      <c r="I15" s="18"/>
      <c r="J15" s="18"/>
      <c r="K15" s="15" t="s">
        <v>55</v>
      </c>
      <c r="L15" s="16" t="str">
        <f>"828,0225"</f>
        <v>828,0225</v>
      </c>
      <c r="M15" s="17" t="s">
        <v>434</v>
      </c>
    </row>
    <row r="16" spans="1:13">
      <c r="A16" s="6" t="s">
        <v>56</v>
      </c>
      <c r="B16" s="8" t="s">
        <v>57</v>
      </c>
      <c r="C16" s="8" t="s">
        <v>58</v>
      </c>
      <c r="D16" s="8" t="str">
        <f>"0,6217"</f>
        <v>0,6217</v>
      </c>
      <c r="E16" s="8" t="s">
        <v>25</v>
      </c>
      <c r="F16" s="8" t="s">
        <v>441</v>
      </c>
      <c r="G16" s="7" t="s">
        <v>59</v>
      </c>
      <c r="H16" s="7" t="s">
        <v>60</v>
      </c>
      <c r="I16" s="9"/>
      <c r="J16" s="9"/>
      <c r="K16" s="6" t="s">
        <v>61</v>
      </c>
      <c r="L16" s="7" t="str">
        <f>"652,8375"</f>
        <v>652,8375</v>
      </c>
      <c r="M16" s="8" t="s">
        <v>434</v>
      </c>
    </row>
    <row r="17" spans="1:13">
      <c r="A17" s="15" t="s">
        <v>62</v>
      </c>
      <c r="B17" s="17" t="s">
        <v>63</v>
      </c>
      <c r="C17" s="17" t="s">
        <v>64</v>
      </c>
      <c r="D17" s="17" t="str">
        <f>"0,6122"</f>
        <v>0,6122</v>
      </c>
      <c r="E17" s="17" t="s">
        <v>433</v>
      </c>
      <c r="F17" s="74" t="s">
        <v>457</v>
      </c>
      <c r="G17" s="18" t="s">
        <v>39</v>
      </c>
      <c r="H17" s="18"/>
      <c r="I17" s="18"/>
      <c r="J17" s="18"/>
      <c r="K17" s="15" t="s">
        <v>34</v>
      </c>
      <c r="L17" s="16" t="str">
        <f>"0,0000"</f>
        <v>0,0000</v>
      </c>
      <c r="M17" s="17" t="s">
        <v>434</v>
      </c>
    </row>
    <row r="18" spans="1:13">
      <c r="A18" s="6" t="s">
        <v>65</v>
      </c>
      <c r="B18" s="8" t="s">
        <v>66</v>
      </c>
      <c r="C18" s="8" t="s">
        <v>67</v>
      </c>
      <c r="D18" s="8" t="str">
        <f>"0,6162"</f>
        <v>0,6162</v>
      </c>
      <c r="E18" s="8" t="s">
        <v>433</v>
      </c>
      <c r="F18" s="8" t="s">
        <v>442</v>
      </c>
      <c r="G18" s="7" t="s">
        <v>39</v>
      </c>
      <c r="H18" s="7" t="s">
        <v>68</v>
      </c>
      <c r="I18" s="9"/>
      <c r="J18" s="9"/>
      <c r="K18" s="6" t="s">
        <v>69</v>
      </c>
      <c r="L18" s="7" t="str">
        <f>"1188,0067"</f>
        <v>1188,0067</v>
      </c>
      <c r="M18" s="8" t="s">
        <v>70</v>
      </c>
    </row>
    <row r="20" spans="1:13" ht="18">
      <c r="A20" s="19" t="s">
        <v>71</v>
      </c>
      <c r="B20" s="20"/>
    </row>
    <row r="21" spans="1:13" ht="16">
      <c r="A21" s="21" t="s">
        <v>72</v>
      </c>
      <c r="B21" s="22"/>
    </row>
    <row r="22" spans="1:13" ht="14">
      <c r="A22" s="59" t="s">
        <v>73</v>
      </c>
      <c r="B22" s="24"/>
    </row>
    <row r="23" spans="1:13" ht="14">
      <c r="A23" s="25" t="s">
        <v>74</v>
      </c>
      <c r="B23" s="25" t="s">
        <v>75</v>
      </c>
      <c r="C23" s="25" t="s">
        <v>76</v>
      </c>
      <c r="D23" s="25" t="s">
        <v>77</v>
      </c>
      <c r="E23" s="25" t="s">
        <v>78</v>
      </c>
    </row>
    <row r="24" spans="1:13">
      <c r="A24" s="68" t="s">
        <v>13</v>
      </c>
      <c r="B24" s="1" t="s">
        <v>73</v>
      </c>
      <c r="C24" s="1" t="s">
        <v>79</v>
      </c>
      <c r="D24" s="1" t="s">
        <v>80</v>
      </c>
      <c r="E24" s="58" t="s">
        <v>81</v>
      </c>
    </row>
    <row r="25" spans="1:13">
      <c r="A25" s="68" t="s">
        <v>36</v>
      </c>
      <c r="B25" s="1" t="s">
        <v>73</v>
      </c>
      <c r="C25" s="1" t="s">
        <v>82</v>
      </c>
      <c r="D25" s="1" t="s">
        <v>83</v>
      </c>
      <c r="E25" s="58" t="s">
        <v>84</v>
      </c>
    </row>
    <row r="26" spans="1:13">
      <c r="A26" s="68" t="s">
        <v>22</v>
      </c>
      <c r="B26" s="1" t="s">
        <v>73</v>
      </c>
      <c r="C26" s="1" t="s">
        <v>85</v>
      </c>
      <c r="D26" s="1" t="s">
        <v>86</v>
      </c>
      <c r="E26" s="58" t="s">
        <v>87</v>
      </c>
    </row>
    <row r="27" spans="1:13">
      <c r="A27" s="68" t="s">
        <v>42</v>
      </c>
      <c r="B27" s="1" t="s">
        <v>73</v>
      </c>
      <c r="C27" s="1" t="s">
        <v>82</v>
      </c>
      <c r="D27" s="1" t="s">
        <v>88</v>
      </c>
      <c r="E27" s="58" t="s">
        <v>89</v>
      </c>
    </row>
    <row r="28" spans="1:13">
      <c r="A28" s="68" t="s">
        <v>50</v>
      </c>
      <c r="B28" s="1" t="s">
        <v>73</v>
      </c>
      <c r="C28" s="1" t="s">
        <v>82</v>
      </c>
      <c r="D28" s="1" t="s">
        <v>90</v>
      </c>
      <c r="E28" s="58" t="s">
        <v>91</v>
      </c>
    </row>
    <row r="29" spans="1:13">
      <c r="A29" s="68" t="s">
        <v>56</v>
      </c>
      <c r="B29" s="1" t="s">
        <v>73</v>
      </c>
      <c r="C29" s="1" t="s">
        <v>82</v>
      </c>
      <c r="D29" s="1" t="s">
        <v>92</v>
      </c>
      <c r="E29" s="58" t="s">
        <v>93</v>
      </c>
    </row>
    <row r="30" spans="1:13" ht="14">
      <c r="A30" s="23"/>
      <c r="B30" s="24"/>
    </row>
  </sheetData>
  <mergeCells count="14">
    <mergeCell ref="A12:L12"/>
    <mergeCell ref="D3:D4"/>
    <mergeCell ref="K3:K4"/>
    <mergeCell ref="L3:L4"/>
    <mergeCell ref="A1:M2"/>
    <mergeCell ref="G3:J3"/>
    <mergeCell ref="A3:A4"/>
    <mergeCell ref="B3:B4"/>
    <mergeCell ref="C3:C4"/>
    <mergeCell ref="M3:M4"/>
    <mergeCell ref="F3:F4"/>
    <mergeCell ref="E3:E4"/>
    <mergeCell ref="A5:L5"/>
    <mergeCell ref="A8:L8"/>
  </mergeCells>
  <phoneticPr fontId="0" type="noConversion"/>
  <pageMargins left="0.19685039370078741" right="0.47244094488188981" top="0.43307086614173229" bottom="0.47244094488188981" header="0.51181102362204722" footer="0.51181102362204722"/>
  <pageSetup paperSize="9" orientation="portrait" horizontalDpi="4294967292" verticalDpi="4294967292"/>
  <headerFooter alignWithMargins="0">
    <oddFooter>&amp;L&amp;G&amp;R&amp;D&amp;T&amp;P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F12" sqref="F12"/>
    </sheetView>
  </sheetViews>
  <sheetFormatPr baseColWidth="10" defaultColWidth="8.7109375" defaultRowHeight="13" x14ac:dyDescent="0"/>
  <cols>
    <col min="1" max="1" width="31.85546875" style="26" bestFit="1" customWidth="1"/>
    <col min="2" max="2" width="21.42578125" style="26" bestFit="1" customWidth="1"/>
    <col min="3" max="3" width="12.28515625" style="26" bestFit="1" customWidth="1"/>
    <col min="4" max="4" width="8.42578125" style="26" bestFit="1" customWidth="1"/>
    <col min="5" max="5" width="23.28515625" style="26" customWidth="1"/>
    <col min="6" max="6" width="33.42578125" style="26" customWidth="1"/>
    <col min="7" max="7" width="6.85546875" style="26" customWidth="1"/>
    <col min="8" max="8" width="9.5703125" style="26" bestFit="1" customWidth="1"/>
    <col min="9" max="9" width="6.42578125" style="26" customWidth="1"/>
    <col min="10" max="10" width="6" style="26" customWidth="1"/>
    <col min="11" max="11" width="8.85546875" style="26" customWidth="1"/>
    <col min="12" max="12" width="9.5703125" style="26" bestFit="1" customWidth="1"/>
    <col min="13" max="13" width="28.28515625" style="26" customWidth="1"/>
  </cols>
  <sheetData>
    <row r="1" spans="1:13" s="1" customFormat="1" ht="15" customHeight="1">
      <c r="A1" s="42" t="s">
        <v>450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1" customFormat="1" ht="109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2" customFormat="1" ht="12.75" customHeight="1">
      <c r="A3" s="48" t="s">
        <v>0</v>
      </c>
      <c r="B3" s="50" t="s">
        <v>431</v>
      </c>
      <c r="C3" s="52" t="s">
        <v>430</v>
      </c>
      <c r="D3" s="52" t="s">
        <v>11</v>
      </c>
      <c r="E3" s="52" t="s">
        <v>8</v>
      </c>
      <c r="F3" s="52" t="s">
        <v>456</v>
      </c>
      <c r="G3" s="52" t="s">
        <v>2</v>
      </c>
      <c r="H3" s="52"/>
      <c r="I3" s="52"/>
      <c r="J3" s="52"/>
      <c r="K3" s="52" t="s">
        <v>447</v>
      </c>
      <c r="L3" s="52" t="s">
        <v>7</v>
      </c>
      <c r="M3" s="53" t="s">
        <v>6</v>
      </c>
    </row>
    <row r="4" spans="1:13" s="2" customFormat="1" ht="21" customHeight="1" thickBot="1">
      <c r="A4" s="49"/>
      <c r="B4" s="51"/>
      <c r="C4" s="51"/>
      <c r="D4" s="51"/>
      <c r="E4" s="51"/>
      <c r="F4" s="51"/>
      <c r="G4" s="3" t="s">
        <v>103</v>
      </c>
      <c r="H4" s="3" t="s">
        <v>104</v>
      </c>
      <c r="I4" s="3">
        <v>3</v>
      </c>
      <c r="J4" s="3" t="s">
        <v>9</v>
      </c>
      <c r="K4" s="51"/>
      <c r="L4" s="51"/>
      <c r="M4" s="54"/>
    </row>
    <row r="5" spans="1:13" ht="16">
      <c r="A5" s="55" t="s">
        <v>12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3">
      <c r="A6" s="70" t="s">
        <v>105</v>
      </c>
      <c r="B6" s="27" t="s">
        <v>106</v>
      </c>
      <c r="C6" s="27" t="s">
        <v>107</v>
      </c>
      <c r="D6" s="27" t="str">
        <f>"0,7121"</f>
        <v>0,7121</v>
      </c>
      <c r="E6" s="27" t="s">
        <v>445</v>
      </c>
      <c r="F6" s="72" t="s">
        <v>457</v>
      </c>
      <c r="G6" s="27" t="s">
        <v>108</v>
      </c>
      <c r="H6" s="27" t="s">
        <v>109</v>
      </c>
      <c r="I6" s="28"/>
      <c r="J6" s="28"/>
      <c r="K6" s="27">
        <v>1957.5</v>
      </c>
      <c r="L6" s="27" t="str">
        <f>"1393,9358"</f>
        <v>1393,9358</v>
      </c>
      <c r="M6" s="27" t="s">
        <v>434</v>
      </c>
    </row>
    <row r="8" spans="1:13" ht="16">
      <c r="A8" s="41" t="s">
        <v>21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3">
      <c r="A9" s="70" t="s">
        <v>110</v>
      </c>
      <c r="B9" s="27" t="s">
        <v>111</v>
      </c>
      <c r="C9" s="27" t="s">
        <v>112</v>
      </c>
      <c r="D9" s="27" t="str">
        <f>"0,6453"</f>
        <v>0,6453</v>
      </c>
      <c r="E9" s="27" t="s">
        <v>25</v>
      </c>
      <c r="F9" s="27" t="s">
        <v>446</v>
      </c>
      <c r="G9" s="27" t="s">
        <v>26</v>
      </c>
      <c r="H9" s="27" t="s">
        <v>113</v>
      </c>
      <c r="I9" s="28"/>
      <c r="J9" s="28"/>
      <c r="K9" s="27">
        <v>2805</v>
      </c>
      <c r="L9" s="27" t="str">
        <f>"1810,2067"</f>
        <v>1810,2067</v>
      </c>
      <c r="M9" s="27" t="s">
        <v>434</v>
      </c>
    </row>
    <row r="11" spans="1:13" ht="16">
      <c r="A11" s="41" t="s">
        <v>114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3">
      <c r="A12" s="70" t="s">
        <v>115</v>
      </c>
      <c r="B12" s="27" t="s">
        <v>116</v>
      </c>
      <c r="C12" s="27" t="s">
        <v>117</v>
      </c>
      <c r="D12" s="27" t="str">
        <f>"0,6033"</f>
        <v>0,6033</v>
      </c>
      <c r="E12" s="27" t="s">
        <v>53</v>
      </c>
      <c r="F12" s="72" t="s">
        <v>457</v>
      </c>
      <c r="G12" s="27" t="s">
        <v>118</v>
      </c>
      <c r="H12" s="27" t="s">
        <v>119</v>
      </c>
      <c r="I12" s="28"/>
      <c r="J12" s="28"/>
      <c r="K12" s="27">
        <v>2867.5</v>
      </c>
      <c r="L12" s="27" t="str">
        <f>"1729,9627"</f>
        <v>1729,9627</v>
      </c>
      <c r="M12" s="27" t="s">
        <v>434</v>
      </c>
    </row>
  </sheetData>
  <mergeCells count="14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F6" sqref="F6"/>
    </sheetView>
  </sheetViews>
  <sheetFormatPr baseColWidth="10" defaultColWidth="8.7109375" defaultRowHeight="13" x14ac:dyDescent="0"/>
  <cols>
    <col min="1" max="1" width="31.85546875" style="26" bestFit="1" customWidth="1"/>
    <col min="2" max="2" width="22.85546875" style="26" customWidth="1"/>
    <col min="3" max="3" width="13" style="26" customWidth="1"/>
    <col min="4" max="4" width="10.28515625" style="26" customWidth="1"/>
    <col min="5" max="5" width="22.7109375" style="26" bestFit="1" customWidth="1"/>
    <col min="6" max="6" width="33.28515625" style="26" customWidth="1"/>
    <col min="7" max="9" width="5.5703125" style="26" bestFit="1" customWidth="1"/>
    <col min="10" max="10" width="5.42578125" style="26" customWidth="1"/>
    <col min="11" max="11" width="11.5703125" style="26" customWidth="1"/>
    <col min="12" max="12" width="11.7109375" style="26" customWidth="1"/>
    <col min="13" max="13" width="29.7109375" style="26" customWidth="1"/>
  </cols>
  <sheetData>
    <row r="1" spans="1:13" s="1" customFormat="1" ht="15" customHeight="1">
      <c r="A1" s="42" t="s">
        <v>448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1" customFormat="1" ht="109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2" customFormat="1" ht="12.75" customHeight="1">
      <c r="A3" s="48" t="s">
        <v>0</v>
      </c>
      <c r="B3" s="50" t="s">
        <v>431</v>
      </c>
      <c r="C3" s="52" t="s">
        <v>430</v>
      </c>
      <c r="D3" s="52" t="s">
        <v>121</v>
      </c>
      <c r="E3" s="52" t="s">
        <v>8</v>
      </c>
      <c r="F3" s="52" t="s">
        <v>456</v>
      </c>
      <c r="G3" s="52" t="s">
        <v>2</v>
      </c>
      <c r="H3" s="52"/>
      <c r="I3" s="52"/>
      <c r="J3" s="52"/>
      <c r="K3" s="52" t="s">
        <v>436</v>
      </c>
      <c r="L3" s="52" t="s">
        <v>7</v>
      </c>
      <c r="M3" s="53" t="s">
        <v>6</v>
      </c>
    </row>
    <row r="4" spans="1:13" s="2" customFormat="1" ht="21" customHeight="1" thickBot="1">
      <c r="A4" s="49"/>
      <c r="B4" s="51"/>
      <c r="C4" s="51"/>
      <c r="D4" s="51"/>
      <c r="E4" s="51"/>
      <c r="F4" s="51"/>
      <c r="G4" s="3">
        <v>1</v>
      </c>
      <c r="H4" s="3">
        <v>2</v>
      </c>
      <c r="I4" s="3">
        <v>3</v>
      </c>
      <c r="J4" s="3" t="s">
        <v>9</v>
      </c>
      <c r="K4" s="51"/>
      <c r="L4" s="51"/>
      <c r="M4" s="54"/>
    </row>
    <row r="5" spans="1:13" ht="16">
      <c r="A5" s="55" t="s">
        <v>35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3">
      <c r="A6" s="70" t="s">
        <v>62</v>
      </c>
      <c r="B6" s="27" t="s">
        <v>63</v>
      </c>
      <c r="C6" s="27" t="s">
        <v>64</v>
      </c>
      <c r="D6" s="27" t="str">
        <f>"0,6388"</f>
        <v>0,6388</v>
      </c>
      <c r="E6" s="27" t="s">
        <v>53</v>
      </c>
      <c r="F6" s="72" t="s">
        <v>457</v>
      </c>
      <c r="G6" s="27" t="s">
        <v>134</v>
      </c>
      <c r="H6" s="27" t="s">
        <v>168</v>
      </c>
      <c r="I6" s="28" t="s">
        <v>224</v>
      </c>
      <c r="J6" s="28"/>
      <c r="K6" s="27">
        <v>140</v>
      </c>
      <c r="L6" s="27" t="str">
        <f>"89,4320"</f>
        <v>89,4320</v>
      </c>
      <c r="M6" s="27" t="s">
        <v>20</v>
      </c>
    </row>
    <row r="8" spans="1:13" ht="16">
      <c r="A8" s="41" t="s">
        <v>174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3">
      <c r="A9" s="70" t="s">
        <v>292</v>
      </c>
      <c r="B9" s="27" t="s">
        <v>293</v>
      </c>
      <c r="C9" s="27" t="s">
        <v>294</v>
      </c>
      <c r="D9" s="27" t="str">
        <f>"0,5996"</f>
        <v>0,5996</v>
      </c>
      <c r="E9" s="27" t="s">
        <v>295</v>
      </c>
      <c r="F9" s="27" t="s">
        <v>296</v>
      </c>
      <c r="G9" s="28" t="s">
        <v>173</v>
      </c>
      <c r="H9" s="27" t="s">
        <v>173</v>
      </c>
      <c r="I9" s="27" t="s">
        <v>223</v>
      </c>
      <c r="J9" s="28"/>
      <c r="K9" s="27">
        <v>225</v>
      </c>
      <c r="L9" s="27" t="str">
        <f>"134,9100"</f>
        <v>134,9100</v>
      </c>
      <c r="M9" s="27" t="s">
        <v>20</v>
      </c>
    </row>
  </sheetData>
  <mergeCells count="13">
    <mergeCell ref="M3:M4"/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F6" sqref="F6"/>
    </sheetView>
  </sheetViews>
  <sheetFormatPr baseColWidth="10" defaultColWidth="8.7109375" defaultRowHeight="13" x14ac:dyDescent="0"/>
  <cols>
    <col min="1" max="1" width="32.28515625" style="26" customWidth="1"/>
    <col min="2" max="2" width="21.42578125" style="26" bestFit="1" customWidth="1"/>
    <col min="3" max="3" width="12.28515625" style="26" bestFit="1" customWidth="1"/>
    <col min="4" max="4" width="9.7109375" style="26" customWidth="1"/>
    <col min="5" max="5" width="24.42578125" style="26" customWidth="1"/>
    <col min="6" max="6" width="33.42578125" style="26" customWidth="1"/>
    <col min="7" max="9" width="5.5703125" style="26" bestFit="1" customWidth="1"/>
    <col min="10" max="10" width="5.140625" style="26" customWidth="1"/>
    <col min="11" max="11" width="10.42578125" style="26" customWidth="1"/>
    <col min="12" max="12" width="8.5703125" style="26" bestFit="1" customWidth="1"/>
    <col min="13" max="13" width="29.42578125" style="26" customWidth="1"/>
  </cols>
  <sheetData>
    <row r="1" spans="1:13" s="1" customFormat="1" ht="15" customHeight="1">
      <c r="A1" s="42" t="s">
        <v>449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1" customFormat="1" ht="109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2" customFormat="1" ht="12.75" customHeight="1">
      <c r="A3" s="48" t="s">
        <v>0</v>
      </c>
      <c r="B3" s="50" t="s">
        <v>431</v>
      </c>
      <c r="C3" s="52" t="s">
        <v>430</v>
      </c>
      <c r="D3" s="52" t="s">
        <v>121</v>
      </c>
      <c r="E3" s="52" t="s">
        <v>8</v>
      </c>
      <c r="F3" s="52" t="s">
        <v>456</v>
      </c>
      <c r="G3" s="52" t="s">
        <v>2</v>
      </c>
      <c r="H3" s="52"/>
      <c r="I3" s="52"/>
      <c r="J3" s="52"/>
      <c r="K3" s="52" t="s">
        <v>436</v>
      </c>
      <c r="L3" s="52" t="s">
        <v>7</v>
      </c>
      <c r="M3" s="53" t="s">
        <v>6</v>
      </c>
    </row>
    <row r="4" spans="1:13" s="2" customFormat="1" ht="21" customHeight="1" thickBot="1">
      <c r="A4" s="49"/>
      <c r="B4" s="51"/>
      <c r="C4" s="51"/>
      <c r="D4" s="51"/>
      <c r="E4" s="51"/>
      <c r="F4" s="51"/>
      <c r="G4" s="3">
        <v>1</v>
      </c>
      <c r="H4" s="3">
        <v>2</v>
      </c>
      <c r="I4" s="3">
        <v>3</v>
      </c>
      <c r="J4" s="3" t="s">
        <v>9</v>
      </c>
      <c r="K4" s="51"/>
      <c r="L4" s="51"/>
      <c r="M4" s="54"/>
    </row>
    <row r="5" spans="1:13" ht="16">
      <c r="A5" s="55" t="s">
        <v>35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3">
      <c r="A6" s="70" t="s">
        <v>297</v>
      </c>
      <c r="B6" s="27" t="s">
        <v>298</v>
      </c>
      <c r="C6" s="27" t="s">
        <v>222</v>
      </c>
      <c r="D6" s="27" t="str">
        <f>"0,6384"</f>
        <v>0,6384</v>
      </c>
      <c r="E6" s="27" t="s">
        <v>53</v>
      </c>
      <c r="F6" s="72" t="s">
        <v>457</v>
      </c>
      <c r="G6" s="27" t="s">
        <v>155</v>
      </c>
      <c r="H6" s="27" t="s">
        <v>156</v>
      </c>
      <c r="I6" s="28" t="s">
        <v>173</v>
      </c>
      <c r="J6" s="28"/>
      <c r="K6" s="27">
        <v>210</v>
      </c>
      <c r="L6" s="27" t="str">
        <f>"134,0640"</f>
        <v>134,0640</v>
      </c>
      <c r="M6" s="27" t="s">
        <v>299</v>
      </c>
    </row>
  </sheetData>
  <mergeCells count="12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topLeftCell="A45" workbookViewId="0">
      <selection activeCell="B3" sqref="B3:B4"/>
    </sheetView>
  </sheetViews>
  <sheetFormatPr baseColWidth="10" defaultColWidth="8.7109375" defaultRowHeight="13" x14ac:dyDescent="0"/>
  <cols>
    <col min="1" max="1" width="31.85546875" style="26" bestFit="1" customWidth="1"/>
    <col min="2" max="2" width="27.140625" style="26" bestFit="1" customWidth="1"/>
    <col min="3" max="3" width="12.28515625" style="26" bestFit="1" customWidth="1"/>
    <col min="4" max="4" width="8.42578125" style="26" bestFit="1" customWidth="1"/>
    <col min="5" max="5" width="22.7109375" style="26" bestFit="1" customWidth="1"/>
    <col min="6" max="6" width="34.7109375" style="26" customWidth="1"/>
    <col min="7" max="7" width="6.42578125" style="26" customWidth="1"/>
    <col min="8" max="8" width="6.7109375" style="26" customWidth="1"/>
    <col min="9" max="9" width="7.28515625" style="26" customWidth="1"/>
    <col min="10" max="10" width="6.7109375" style="26" customWidth="1"/>
    <col min="11" max="11" width="9.28515625" style="26" customWidth="1"/>
    <col min="12" max="12" width="9.7109375" style="26" customWidth="1"/>
    <col min="13" max="13" width="23.140625" style="26" customWidth="1"/>
  </cols>
  <sheetData>
    <row r="1" spans="1:13" s="1" customFormat="1" ht="15" customHeight="1">
      <c r="A1" s="42" t="s">
        <v>459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1" customFormat="1" ht="103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2" customFormat="1" ht="12.75" customHeight="1">
      <c r="A3" s="48" t="s">
        <v>0</v>
      </c>
      <c r="B3" s="50" t="s">
        <v>431</v>
      </c>
      <c r="C3" s="52" t="s">
        <v>430</v>
      </c>
      <c r="D3" s="52" t="s">
        <v>121</v>
      </c>
      <c r="E3" s="52" t="s">
        <v>8</v>
      </c>
      <c r="F3" s="52" t="s">
        <v>456</v>
      </c>
      <c r="G3" s="52" t="s">
        <v>2</v>
      </c>
      <c r="H3" s="52"/>
      <c r="I3" s="52"/>
      <c r="J3" s="52"/>
      <c r="K3" s="52" t="s">
        <v>4</v>
      </c>
      <c r="L3" s="52" t="s">
        <v>7</v>
      </c>
      <c r="M3" s="53" t="s">
        <v>6</v>
      </c>
    </row>
    <row r="4" spans="1:13" s="2" customFormat="1" ht="21" customHeight="1" thickBot="1">
      <c r="A4" s="49"/>
      <c r="B4" s="51"/>
      <c r="C4" s="51"/>
      <c r="D4" s="51"/>
      <c r="E4" s="51"/>
      <c r="F4" s="51"/>
      <c r="G4" s="3">
        <v>1</v>
      </c>
      <c r="H4" s="3">
        <v>2</v>
      </c>
      <c r="I4" s="3">
        <v>3</v>
      </c>
      <c r="J4" s="3" t="s">
        <v>9</v>
      </c>
      <c r="K4" s="51"/>
      <c r="L4" s="51"/>
      <c r="M4" s="54"/>
    </row>
    <row r="5" spans="1:13" ht="16">
      <c r="A5" s="55" t="s">
        <v>235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3">
      <c r="A6" s="70" t="s">
        <v>236</v>
      </c>
      <c r="B6" s="27" t="s">
        <v>237</v>
      </c>
      <c r="C6" s="27" t="s">
        <v>238</v>
      </c>
      <c r="D6" s="27" t="str">
        <f>"1,4936"</f>
        <v>1,4936</v>
      </c>
      <c r="E6" s="27" t="s">
        <v>53</v>
      </c>
      <c r="F6" s="72" t="s">
        <v>457</v>
      </c>
      <c r="G6" s="28" t="s">
        <v>205</v>
      </c>
      <c r="H6" s="27" t="s">
        <v>212</v>
      </c>
      <c r="I6" s="28" t="s">
        <v>251</v>
      </c>
      <c r="J6" s="28"/>
      <c r="K6" s="27">
        <v>50</v>
      </c>
      <c r="L6" s="27" t="str">
        <f>"74,6800"</f>
        <v>74,6800</v>
      </c>
      <c r="M6" s="27" t="s">
        <v>100</v>
      </c>
    </row>
    <row r="8" spans="1:13" ht="16">
      <c r="A8" s="41" t="s">
        <v>94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3">
      <c r="A9" s="70" t="s">
        <v>202</v>
      </c>
      <c r="B9" s="27" t="s">
        <v>203</v>
      </c>
      <c r="C9" s="27" t="s">
        <v>204</v>
      </c>
      <c r="D9" s="27" t="str">
        <f>"1,2808"</f>
        <v>1,2808</v>
      </c>
      <c r="E9" s="27" t="s">
        <v>53</v>
      </c>
      <c r="F9" s="72" t="s">
        <v>457</v>
      </c>
      <c r="G9" s="28" t="s">
        <v>205</v>
      </c>
      <c r="H9" s="27" t="s">
        <v>205</v>
      </c>
      <c r="I9" s="28" t="s">
        <v>206</v>
      </c>
      <c r="J9" s="28"/>
      <c r="K9" s="27">
        <v>45</v>
      </c>
      <c r="L9" s="27" t="str">
        <f>"57,6360"</f>
        <v>57,6360</v>
      </c>
      <c r="M9" s="27" t="s">
        <v>434</v>
      </c>
    </row>
    <row r="11" spans="1:13" ht="16">
      <c r="A11" s="41" t="s">
        <v>130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3">
      <c r="A12" s="70" t="s">
        <v>300</v>
      </c>
      <c r="B12" s="27" t="s">
        <v>301</v>
      </c>
      <c r="C12" s="27" t="s">
        <v>302</v>
      </c>
      <c r="D12" s="27" t="str">
        <f>"1,1207"</f>
        <v>1,1207</v>
      </c>
      <c r="E12" s="27" t="s">
        <v>25</v>
      </c>
      <c r="F12" s="8" t="s">
        <v>441</v>
      </c>
      <c r="G12" s="27" t="s">
        <v>205</v>
      </c>
      <c r="H12" s="27" t="s">
        <v>212</v>
      </c>
      <c r="I12" s="28" t="s">
        <v>251</v>
      </c>
      <c r="J12" s="28"/>
      <c r="K12" s="27">
        <v>50</v>
      </c>
      <c r="L12" s="27" t="str">
        <f>"56,0350"</f>
        <v>56,0350</v>
      </c>
      <c r="M12" s="27" t="s">
        <v>169</v>
      </c>
    </row>
    <row r="14" spans="1:13" ht="16">
      <c r="A14" s="41" t="s">
        <v>12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3">
      <c r="A15" s="70" t="s">
        <v>122</v>
      </c>
      <c r="B15" s="27" t="s">
        <v>123</v>
      </c>
      <c r="C15" s="27" t="s">
        <v>124</v>
      </c>
      <c r="D15" s="27" t="str">
        <f>"0,9571"</f>
        <v>0,9571</v>
      </c>
      <c r="E15" s="27" t="s">
        <v>53</v>
      </c>
      <c r="F15" s="72" t="s">
        <v>457</v>
      </c>
      <c r="G15" s="27" t="s">
        <v>252</v>
      </c>
      <c r="H15" s="27" t="s">
        <v>205</v>
      </c>
      <c r="I15" s="27" t="s">
        <v>212</v>
      </c>
      <c r="J15" s="28"/>
      <c r="K15" s="27">
        <v>50</v>
      </c>
      <c r="L15" s="27" t="str">
        <f>"47,8550"</f>
        <v>47,8550</v>
      </c>
      <c r="M15" s="27" t="s">
        <v>128</v>
      </c>
    </row>
    <row r="17" spans="1:13" ht="16">
      <c r="A17" s="41" t="s">
        <v>130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13">
      <c r="A18" s="70" t="s">
        <v>131</v>
      </c>
      <c r="B18" s="27" t="s">
        <v>132</v>
      </c>
      <c r="C18" s="27" t="s">
        <v>133</v>
      </c>
      <c r="D18" s="27" t="str">
        <f>"0,8635"</f>
        <v>0,8635</v>
      </c>
      <c r="E18" s="27" t="s">
        <v>53</v>
      </c>
      <c r="F18" s="72" t="s">
        <v>457</v>
      </c>
      <c r="G18" s="27" t="s">
        <v>126</v>
      </c>
      <c r="H18" s="27" t="s">
        <v>127</v>
      </c>
      <c r="I18" s="27" t="s">
        <v>211</v>
      </c>
      <c r="J18" s="28"/>
      <c r="K18" s="27">
        <v>110</v>
      </c>
      <c r="L18" s="27" t="str">
        <f>"94,9850"</f>
        <v>94,9850</v>
      </c>
      <c r="M18" s="27" t="s">
        <v>137</v>
      </c>
    </row>
    <row r="20" spans="1:13" ht="16">
      <c r="A20" s="41" t="s">
        <v>207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3">
      <c r="A21" s="69" t="s">
        <v>215</v>
      </c>
      <c r="B21" s="34" t="s">
        <v>216</v>
      </c>
      <c r="C21" s="34" t="s">
        <v>217</v>
      </c>
      <c r="D21" s="34" t="str">
        <f>"0,7719"</f>
        <v>0,7719</v>
      </c>
      <c r="E21" s="34" t="s">
        <v>53</v>
      </c>
      <c r="F21" s="74" t="s">
        <v>457</v>
      </c>
      <c r="G21" s="34" t="s">
        <v>256</v>
      </c>
      <c r="H21" s="34" t="s">
        <v>167</v>
      </c>
      <c r="I21" s="34" t="s">
        <v>134</v>
      </c>
      <c r="J21" s="35"/>
      <c r="K21" s="34">
        <v>135</v>
      </c>
      <c r="L21" s="34" t="str">
        <f>"104,2065"</f>
        <v>104,2065</v>
      </c>
      <c r="M21" s="34" t="s">
        <v>440</v>
      </c>
    </row>
    <row r="22" spans="1:13">
      <c r="A22" s="70" t="s">
        <v>303</v>
      </c>
      <c r="B22" s="27" t="s">
        <v>304</v>
      </c>
      <c r="C22" s="27" t="s">
        <v>305</v>
      </c>
      <c r="D22" s="27" t="str">
        <f>"0,7785"</f>
        <v>0,7785</v>
      </c>
      <c r="E22" s="27" t="s">
        <v>433</v>
      </c>
      <c r="F22" s="27" t="s">
        <v>306</v>
      </c>
      <c r="G22" s="27" t="s">
        <v>271</v>
      </c>
      <c r="H22" s="27" t="s">
        <v>262</v>
      </c>
      <c r="I22" s="28" t="s">
        <v>134</v>
      </c>
      <c r="J22" s="28"/>
      <c r="K22" s="27">
        <v>132.5</v>
      </c>
      <c r="L22" s="27" t="str">
        <f>"103,1513"</f>
        <v>103,1513</v>
      </c>
      <c r="M22" s="27" t="s">
        <v>307</v>
      </c>
    </row>
    <row r="23" spans="1:13">
      <c r="A23" s="71" t="s">
        <v>308</v>
      </c>
      <c r="B23" s="38" t="s">
        <v>309</v>
      </c>
      <c r="C23" s="38" t="s">
        <v>310</v>
      </c>
      <c r="D23" s="38" t="str">
        <f>"0,7813"</f>
        <v>0,7813</v>
      </c>
      <c r="E23" s="27" t="s">
        <v>433</v>
      </c>
      <c r="F23" s="72" t="s">
        <v>457</v>
      </c>
      <c r="G23" s="38" t="s">
        <v>244</v>
      </c>
      <c r="H23" s="38" t="s">
        <v>211</v>
      </c>
      <c r="I23" s="38" t="s">
        <v>311</v>
      </c>
      <c r="J23" s="39"/>
      <c r="K23" s="38">
        <v>115</v>
      </c>
      <c r="L23" s="38" t="str">
        <f>"89,8495"</f>
        <v>89,8495</v>
      </c>
      <c r="M23" s="38" t="s">
        <v>434</v>
      </c>
    </row>
    <row r="25" spans="1:13" ht="16">
      <c r="A25" s="41" t="s">
        <v>12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3">
      <c r="A26" s="69" t="s">
        <v>13</v>
      </c>
      <c r="B26" s="34" t="s">
        <v>14</v>
      </c>
      <c r="C26" s="34" t="s">
        <v>15</v>
      </c>
      <c r="D26" s="34" t="str">
        <f>"0,7152"</f>
        <v>0,7152</v>
      </c>
      <c r="E26" s="34" t="s">
        <v>25</v>
      </c>
      <c r="F26" s="8" t="s">
        <v>441</v>
      </c>
      <c r="G26" s="34" t="s">
        <v>312</v>
      </c>
      <c r="H26" s="35" t="s">
        <v>168</v>
      </c>
      <c r="I26" s="35" t="s">
        <v>168</v>
      </c>
      <c r="J26" s="35"/>
      <c r="K26" s="34">
        <v>137.5</v>
      </c>
      <c r="L26" s="34" t="str">
        <f>"98,3400"</f>
        <v>98,3400</v>
      </c>
      <c r="M26" s="34" t="s">
        <v>434</v>
      </c>
    </row>
    <row r="27" spans="1:13">
      <c r="A27" s="70" t="s">
        <v>313</v>
      </c>
      <c r="B27" s="27" t="s">
        <v>314</v>
      </c>
      <c r="C27" s="27" t="s">
        <v>315</v>
      </c>
      <c r="D27" s="27" t="str">
        <f>"0,7345"</f>
        <v>0,7345</v>
      </c>
      <c r="E27" s="27" t="s">
        <v>316</v>
      </c>
      <c r="F27" s="27" t="s">
        <v>317</v>
      </c>
      <c r="G27" s="28" t="s">
        <v>287</v>
      </c>
      <c r="H27" s="27" t="s">
        <v>287</v>
      </c>
      <c r="I27" s="27" t="s">
        <v>256</v>
      </c>
      <c r="J27" s="28"/>
      <c r="K27" s="27">
        <v>125</v>
      </c>
      <c r="L27" s="27" t="str">
        <f>"91,8125"</f>
        <v>91,8125</v>
      </c>
      <c r="M27" s="34" t="s">
        <v>434</v>
      </c>
    </row>
    <row r="28" spans="1:13">
      <c r="A28" s="70" t="s">
        <v>318</v>
      </c>
      <c r="B28" s="27" t="s">
        <v>319</v>
      </c>
      <c r="C28" s="27" t="s">
        <v>320</v>
      </c>
      <c r="D28" s="27" t="str">
        <f>"0,7249"</f>
        <v>0,7249</v>
      </c>
      <c r="E28" s="27" t="s">
        <v>53</v>
      </c>
      <c r="F28" s="12" t="s">
        <v>457</v>
      </c>
      <c r="G28" s="27" t="s">
        <v>287</v>
      </c>
      <c r="H28" s="28" t="s">
        <v>256</v>
      </c>
      <c r="I28" s="28" t="s">
        <v>256</v>
      </c>
      <c r="J28" s="28"/>
      <c r="K28" s="27">
        <v>117.5</v>
      </c>
      <c r="L28" s="27" t="str">
        <f>"85,1758"</f>
        <v>85,1758</v>
      </c>
      <c r="M28" s="34" t="s">
        <v>434</v>
      </c>
    </row>
    <row r="29" spans="1:13">
      <c r="A29" s="71" t="s">
        <v>321</v>
      </c>
      <c r="B29" s="38" t="s">
        <v>322</v>
      </c>
      <c r="C29" s="38" t="s">
        <v>323</v>
      </c>
      <c r="D29" s="38" t="str">
        <f>"0,7235"</f>
        <v>0,7235</v>
      </c>
      <c r="E29" s="38" t="s">
        <v>53</v>
      </c>
      <c r="F29" s="8" t="s">
        <v>457</v>
      </c>
      <c r="G29" s="39" t="s">
        <v>127</v>
      </c>
      <c r="H29" s="38" t="s">
        <v>127</v>
      </c>
      <c r="I29" s="38" t="s">
        <v>211</v>
      </c>
      <c r="J29" s="39"/>
      <c r="K29" s="38">
        <v>110</v>
      </c>
      <c r="L29" s="38" t="str">
        <f>"79,5850"</f>
        <v>79,5850</v>
      </c>
      <c r="M29" s="27" t="s">
        <v>434</v>
      </c>
    </row>
    <row r="31" spans="1:13" ht="16">
      <c r="A31" s="41" t="s">
        <v>21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1:13">
      <c r="A32" s="69" t="s">
        <v>22</v>
      </c>
      <c r="B32" s="34" t="s">
        <v>23</v>
      </c>
      <c r="C32" s="34" t="s">
        <v>24</v>
      </c>
      <c r="D32" s="34" t="str">
        <f>"0,6774"</f>
        <v>0,6774</v>
      </c>
      <c r="E32" s="34" t="s">
        <v>25</v>
      </c>
      <c r="F32" s="8" t="s">
        <v>441</v>
      </c>
      <c r="G32" s="34" t="s">
        <v>134</v>
      </c>
      <c r="H32" s="34" t="s">
        <v>168</v>
      </c>
      <c r="I32" s="34" t="s">
        <v>324</v>
      </c>
      <c r="J32" s="35"/>
      <c r="K32" s="34">
        <v>147.5</v>
      </c>
      <c r="L32" s="34" t="str">
        <f>"99,9165"</f>
        <v>99,9165</v>
      </c>
      <c r="M32" s="34" t="s">
        <v>434</v>
      </c>
    </row>
    <row r="33" spans="1:13">
      <c r="A33" s="70" t="s">
        <v>325</v>
      </c>
      <c r="B33" s="27" t="s">
        <v>326</v>
      </c>
      <c r="C33" s="27" t="s">
        <v>327</v>
      </c>
      <c r="D33" s="27" t="str">
        <f>"0,6744"</f>
        <v>0,6744</v>
      </c>
      <c r="E33" s="27" t="s">
        <v>433</v>
      </c>
      <c r="F33" s="8" t="s">
        <v>441</v>
      </c>
      <c r="G33" s="27" t="s">
        <v>328</v>
      </c>
      <c r="H33" s="28" t="s">
        <v>271</v>
      </c>
      <c r="I33" s="28" t="s">
        <v>271</v>
      </c>
      <c r="J33" s="28"/>
      <c r="K33" s="27">
        <v>122.5</v>
      </c>
      <c r="L33" s="27" t="str">
        <f>"82,6140"</f>
        <v>82,6140</v>
      </c>
      <c r="M33" s="27" t="s">
        <v>434</v>
      </c>
    </row>
    <row r="34" spans="1:13">
      <c r="A34" s="71" t="s">
        <v>329</v>
      </c>
      <c r="B34" s="38" t="s">
        <v>330</v>
      </c>
      <c r="C34" s="38" t="s">
        <v>331</v>
      </c>
      <c r="D34" s="38" t="str">
        <f>"0,6704"</f>
        <v>0,6704</v>
      </c>
      <c r="E34" s="27" t="s">
        <v>433</v>
      </c>
      <c r="F34" s="72" t="s">
        <v>457</v>
      </c>
      <c r="G34" s="39" t="s">
        <v>168</v>
      </c>
      <c r="H34" s="39" t="s">
        <v>332</v>
      </c>
      <c r="I34" s="39" t="s">
        <v>332</v>
      </c>
      <c r="J34" s="39"/>
      <c r="K34" s="38">
        <v>0</v>
      </c>
      <c r="L34" s="38" t="str">
        <f>"0,0000"</f>
        <v>0,0000</v>
      </c>
      <c r="M34" s="38" t="s">
        <v>333</v>
      </c>
    </row>
    <row r="36" spans="1:13" ht="16">
      <c r="A36" s="41" t="s">
        <v>35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3">
      <c r="A37" s="69" t="s">
        <v>334</v>
      </c>
      <c r="B37" s="34" t="s">
        <v>335</v>
      </c>
      <c r="C37" s="34" t="s">
        <v>336</v>
      </c>
      <c r="D37" s="34" t="str">
        <f>"0,6402"</f>
        <v>0,6402</v>
      </c>
      <c r="E37" s="34" t="s">
        <v>25</v>
      </c>
      <c r="F37" s="8" t="s">
        <v>441</v>
      </c>
      <c r="G37" s="35" t="s">
        <v>262</v>
      </c>
      <c r="H37" s="35" t="s">
        <v>134</v>
      </c>
      <c r="I37" s="34" t="s">
        <v>134</v>
      </c>
      <c r="J37" s="35"/>
      <c r="K37" s="27">
        <v>135</v>
      </c>
      <c r="L37" s="34" t="str">
        <f>"86,4270"</f>
        <v>86,4270</v>
      </c>
      <c r="M37" s="34" t="s">
        <v>434</v>
      </c>
    </row>
    <row r="38" spans="1:13">
      <c r="A38" s="70" t="s">
        <v>282</v>
      </c>
      <c r="B38" s="27" t="s">
        <v>283</v>
      </c>
      <c r="C38" s="27" t="s">
        <v>222</v>
      </c>
      <c r="D38" s="27" t="str">
        <f>"0,6384"</f>
        <v>0,6384</v>
      </c>
      <c r="E38" s="27" t="s">
        <v>25</v>
      </c>
      <c r="F38" s="8" t="s">
        <v>441</v>
      </c>
      <c r="G38" s="28" t="s">
        <v>127</v>
      </c>
      <c r="H38" s="28"/>
      <c r="I38" s="28"/>
      <c r="J38" s="28"/>
      <c r="K38" s="38">
        <v>0</v>
      </c>
      <c r="L38" s="27" t="str">
        <f>"0,0000"</f>
        <v>0,0000</v>
      </c>
      <c r="M38" s="34" t="s">
        <v>434</v>
      </c>
    </row>
    <row r="39" spans="1:13">
      <c r="A39" s="84" t="s">
        <v>50</v>
      </c>
      <c r="B39" s="36" t="s">
        <v>51</v>
      </c>
      <c r="C39" s="36" t="s">
        <v>52</v>
      </c>
      <c r="D39" s="36" t="str">
        <f>"0,6398"</f>
        <v>0,6398</v>
      </c>
      <c r="E39" s="36" t="s">
        <v>53</v>
      </c>
      <c r="F39" s="12" t="s">
        <v>457</v>
      </c>
      <c r="G39" s="36" t="s">
        <v>135</v>
      </c>
      <c r="H39" s="36" t="s">
        <v>136</v>
      </c>
      <c r="I39" s="36" t="s">
        <v>355</v>
      </c>
      <c r="J39" s="37"/>
      <c r="K39" s="36" t="s">
        <v>355</v>
      </c>
      <c r="L39" s="36" t="str">
        <f>"103,6476"</f>
        <v>103,6476</v>
      </c>
      <c r="M39" s="34" t="s">
        <v>434</v>
      </c>
    </row>
    <row r="40" spans="1:13">
      <c r="A40" s="70" t="s">
        <v>36</v>
      </c>
      <c r="B40" s="27" t="s">
        <v>37</v>
      </c>
      <c r="C40" s="27" t="s">
        <v>338</v>
      </c>
      <c r="D40" s="27" t="str">
        <f>"0,6436"</f>
        <v>0,6436</v>
      </c>
      <c r="E40" s="27" t="s">
        <v>433</v>
      </c>
      <c r="F40" s="8" t="s">
        <v>441</v>
      </c>
      <c r="G40" s="27" t="s">
        <v>332</v>
      </c>
      <c r="H40" s="28" t="s">
        <v>135</v>
      </c>
      <c r="I40" s="28" t="s">
        <v>135</v>
      </c>
      <c r="J40" s="28"/>
      <c r="K40" s="27">
        <v>142.5</v>
      </c>
      <c r="L40" s="27" t="str">
        <f>"91,7130"</f>
        <v>91,7130</v>
      </c>
      <c r="M40" s="34" t="s">
        <v>434</v>
      </c>
    </row>
    <row r="41" spans="1:13">
      <c r="A41" s="84" t="s">
        <v>56</v>
      </c>
      <c r="B41" s="36" t="s">
        <v>57</v>
      </c>
      <c r="C41" s="36" t="s">
        <v>58</v>
      </c>
      <c r="D41" s="36" t="str">
        <f>"0,6479"</f>
        <v>0,6479</v>
      </c>
      <c r="E41" s="36" t="s">
        <v>25</v>
      </c>
      <c r="F41" s="8" t="s">
        <v>441</v>
      </c>
      <c r="G41" s="36" t="s">
        <v>244</v>
      </c>
      <c r="H41" s="36" t="s">
        <v>166</v>
      </c>
      <c r="I41" s="36" t="s">
        <v>262</v>
      </c>
      <c r="J41" s="37"/>
      <c r="K41" s="36">
        <v>132.5</v>
      </c>
      <c r="L41" s="36" t="str">
        <f>"85,8467"</f>
        <v>85,8467</v>
      </c>
      <c r="M41" s="34" t="s">
        <v>434</v>
      </c>
    </row>
    <row r="42" spans="1:13">
      <c r="A42" s="70" t="s">
        <v>290</v>
      </c>
      <c r="B42" s="27" t="s">
        <v>291</v>
      </c>
      <c r="C42" s="27" t="s">
        <v>339</v>
      </c>
      <c r="D42" s="27" t="str">
        <f>"0,6428"</f>
        <v>0,6428</v>
      </c>
      <c r="E42" s="27" t="s">
        <v>433</v>
      </c>
      <c r="F42" s="8" t="s">
        <v>441</v>
      </c>
      <c r="G42" s="27" t="s">
        <v>256</v>
      </c>
      <c r="H42" s="28" t="s">
        <v>262</v>
      </c>
      <c r="I42" s="27" t="s">
        <v>262</v>
      </c>
      <c r="J42" s="28"/>
      <c r="K42" s="27">
        <v>132.5</v>
      </c>
      <c r="L42" s="27" t="str">
        <f>"86,3634"</f>
        <v>86,3634</v>
      </c>
      <c r="M42" s="27" t="s">
        <v>434</v>
      </c>
    </row>
    <row r="43" spans="1:13">
      <c r="A43" s="71" t="s">
        <v>65</v>
      </c>
      <c r="B43" s="38" t="s">
        <v>340</v>
      </c>
      <c r="C43" s="38" t="s">
        <v>341</v>
      </c>
      <c r="D43" s="38" t="str">
        <f>"0,6424"</f>
        <v>0,6424</v>
      </c>
      <c r="E43" s="38" t="s">
        <v>25</v>
      </c>
      <c r="F43" s="8" t="s">
        <v>441</v>
      </c>
      <c r="G43" s="39" t="s">
        <v>135</v>
      </c>
      <c r="H43" s="39" t="s">
        <v>135</v>
      </c>
      <c r="I43" s="39" t="s">
        <v>135</v>
      </c>
      <c r="J43" s="39"/>
      <c r="K43" s="38">
        <v>0</v>
      </c>
      <c r="L43" s="38" t="str">
        <f>"0,0000"</f>
        <v>0,0000</v>
      </c>
      <c r="M43" s="38" t="s">
        <v>70</v>
      </c>
    </row>
    <row r="45" spans="1:13" ht="16">
      <c r="A45" s="41" t="s">
        <v>114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</row>
    <row r="46" spans="1:13">
      <c r="A46" s="69" t="s">
        <v>282</v>
      </c>
      <c r="B46" s="34" t="s">
        <v>283</v>
      </c>
      <c r="C46" s="34" t="s">
        <v>342</v>
      </c>
      <c r="D46" s="34" t="str">
        <f>"0,6121"</f>
        <v>0,6121</v>
      </c>
      <c r="E46" s="34" t="s">
        <v>25</v>
      </c>
      <c r="F46" s="8" t="s">
        <v>441</v>
      </c>
      <c r="G46" s="35" t="s">
        <v>168</v>
      </c>
      <c r="H46" s="35" t="s">
        <v>168</v>
      </c>
      <c r="I46" s="34" t="s">
        <v>168</v>
      </c>
      <c r="J46" s="35"/>
      <c r="K46" s="34">
        <v>140</v>
      </c>
      <c r="L46" s="34" t="str">
        <f>"85,6940"</f>
        <v>85,6940</v>
      </c>
      <c r="M46" s="34" t="s">
        <v>434</v>
      </c>
    </row>
    <row r="47" spans="1:13">
      <c r="A47" s="70" t="s">
        <v>170</v>
      </c>
      <c r="B47" s="27" t="s">
        <v>171</v>
      </c>
      <c r="C47" s="27" t="s">
        <v>172</v>
      </c>
      <c r="D47" s="27" t="str">
        <f>"0,6285"</f>
        <v>0,6285</v>
      </c>
      <c r="E47" s="27" t="s">
        <v>25</v>
      </c>
      <c r="F47" s="8" t="s">
        <v>441</v>
      </c>
      <c r="G47" s="28" t="s">
        <v>126</v>
      </c>
      <c r="H47" s="27" t="s">
        <v>126</v>
      </c>
      <c r="I47" s="28" t="s">
        <v>244</v>
      </c>
      <c r="J47" s="28"/>
      <c r="K47" s="27">
        <v>100</v>
      </c>
      <c r="L47" s="27" t="str">
        <f>"62,8500"</f>
        <v>62,8500</v>
      </c>
      <c r="M47" s="27" t="s">
        <v>434</v>
      </c>
    </row>
    <row r="48" spans="1:13">
      <c r="A48" s="84" t="s">
        <v>343</v>
      </c>
      <c r="B48" s="36" t="s">
        <v>344</v>
      </c>
      <c r="C48" s="36" t="s">
        <v>345</v>
      </c>
      <c r="D48" s="36" t="str">
        <f>"0,6111"</f>
        <v>0,6111</v>
      </c>
      <c r="E48" s="36" t="s">
        <v>25</v>
      </c>
      <c r="F48" s="8" t="s">
        <v>441</v>
      </c>
      <c r="G48" s="36" t="s">
        <v>332</v>
      </c>
      <c r="H48" s="36" t="s">
        <v>224</v>
      </c>
      <c r="I48" s="37" t="s">
        <v>346</v>
      </c>
      <c r="J48" s="37"/>
      <c r="K48" s="36">
        <v>150</v>
      </c>
      <c r="L48" s="36" t="str">
        <f>"91,6650"</f>
        <v>91,6650</v>
      </c>
      <c r="M48" s="36" t="s">
        <v>458</v>
      </c>
    </row>
    <row r="49" spans="1:13">
      <c r="A49" s="70" t="s">
        <v>347</v>
      </c>
      <c r="B49" s="27" t="s">
        <v>348</v>
      </c>
      <c r="C49" s="27" t="s">
        <v>349</v>
      </c>
      <c r="D49" s="27" t="str">
        <f>"0,6279"</f>
        <v>0,6279</v>
      </c>
      <c r="E49" s="27" t="s">
        <v>25</v>
      </c>
      <c r="F49" s="8" t="s">
        <v>441</v>
      </c>
      <c r="G49" s="28" t="s">
        <v>168</v>
      </c>
      <c r="H49" s="28" t="s">
        <v>332</v>
      </c>
      <c r="I49" s="27" t="s">
        <v>257</v>
      </c>
      <c r="J49" s="28"/>
      <c r="K49" s="27">
        <v>145</v>
      </c>
      <c r="L49" s="27" t="str">
        <f>"91,0455"</f>
        <v>91,0455</v>
      </c>
      <c r="M49" s="34" t="s">
        <v>434</v>
      </c>
    </row>
    <row r="50" spans="1:13">
      <c r="A50" s="84" t="s">
        <v>350</v>
      </c>
      <c r="B50" s="36" t="s">
        <v>351</v>
      </c>
      <c r="C50" s="36" t="s">
        <v>352</v>
      </c>
      <c r="D50" s="36" t="str">
        <f>"0,6101"</f>
        <v>0,6101</v>
      </c>
      <c r="E50" s="36" t="s">
        <v>353</v>
      </c>
      <c r="F50" s="36" t="s">
        <v>354</v>
      </c>
      <c r="G50" s="37" t="s">
        <v>168</v>
      </c>
      <c r="H50" s="36" t="s">
        <v>168</v>
      </c>
      <c r="I50" s="37" t="s">
        <v>355</v>
      </c>
      <c r="J50" s="37"/>
      <c r="K50" s="36">
        <v>140</v>
      </c>
      <c r="L50" s="36" t="str">
        <f>"85,4140"</f>
        <v>85,4140</v>
      </c>
      <c r="M50" s="34" t="s">
        <v>434</v>
      </c>
    </row>
    <row r="51" spans="1:13">
      <c r="A51" s="70" t="s">
        <v>356</v>
      </c>
      <c r="B51" s="27" t="s">
        <v>357</v>
      </c>
      <c r="C51" s="27" t="s">
        <v>358</v>
      </c>
      <c r="D51" s="27" t="str">
        <f>"0,6257"</f>
        <v>0,6257</v>
      </c>
      <c r="E51" s="27" t="s">
        <v>25</v>
      </c>
      <c r="F51" s="8" t="s">
        <v>441</v>
      </c>
      <c r="G51" s="28" t="s">
        <v>211</v>
      </c>
      <c r="H51" s="27" t="s">
        <v>311</v>
      </c>
      <c r="I51" s="27" t="s">
        <v>166</v>
      </c>
      <c r="J51" s="28"/>
      <c r="K51" s="27">
        <v>120</v>
      </c>
      <c r="L51" s="27" t="str">
        <f>"80,9406"</f>
        <v>80,9406</v>
      </c>
      <c r="M51" s="27" t="s">
        <v>434</v>
      </c>
    </row>
    <row r="53" spans="1:13" ht="16">
      <c r="A53" s="41" t="s">
        <v>195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3">
      <c r="A54" s="85" t="s">
        <v>359</v>
      </c>
      <c r="B54" s="73" t="s">
        <v>360</v>
      </c>
      <c r="C54" s="73" t="s">
        <v>361</v>
      </c>
      <c r="D54" s="73" t="str">
        <f>"0,5855"</f>
        <v>0,5855</v>
      </c>
      <c r="E54" s="73" t="s">
        <v>295</v>
      </c>
      <c r="F54" s="73" t="s">
        <v>296</v>
      </c>
      <c r="G54" s="73" t="s">
        <v>160</v>
      </c>
      <c r="H54" s="86" t="s">
        <v>145</v>
      </c>
      <c r="I54" s="86"/>
      <c r="J54" s="86"/>
      <c r="K54" s="73">
        <v>180</v>
      </c>
      <c r="L54" s="73" t="str">
        <f>"105,3900"</f>
        <v>105,3900</v>
      </c>
      <c r="M54" s="73" t="s">
        <v>307</v>
      </c>
    </row>
    <row r="56" spans="1:13" ht="16">
      <c r="E56" s="29"/>
    </row>
    <row r="58" spans="1:13" ht="18">
      <c r="A58" s="60" t="s">
        <v>71</v>
      </c>
      <c r="B58" s="30"/>
    </row>
    <row r="59" spans="1:13" ht="16">
      <c r="A59" s="61" t="s">
        <v>101</v>
      </c>
      <c r="B59" s="31"/>
    </row>
    <row r="60" spans="1:13" ht="14">
      <c r="A60" s="62" t="s">
        <v>73</v>
      </c>
      <c r="B60" s="32"/>
    </row>
    <row r="61" spans="1:13" ht="14">
      <c r="A61" s="33" t="s">
        <v>74</v>
      </c>
      <c r="B61" s="33" t="s">
        <v>75</v>
      </c>
      <c r="C61" s="33" t="s">
        <v>76</v>
      </c>
      <c r="D61" s="33" t="s">
        <v>77</v>
      </c>
      <c r="E61" s="33" t="s">
        <v>129</v>
      </c>
    </row>
    <row r="62" spans="1:13">
      <c r="A62" s="63" t="s">
        <v>300</v>
      </c>
      <c r="B62" s="65" t="s">
        <v>73</v>
      </c>
      <c r="C62" s="65" t="s">
        <v>181</v>
      </c>
      <c r="D62" s="65" t="s">
        <v>212</v>
      </c>
      <c r="E62" s="66" t="s">
        <v>368</v>
      </c>
    </row>
    <row r="63" spans="1:13">
      <c r="A63" s="63" t="s">
        <v>122</v>
      </c>
      <c r="B63" s="65" t="s">
        <v>73</v>
      </c>
      <c r="C63" s="65" t="s">
        <v>79</v>
      </c>
      <c r="D63" s="65" t="s">
        <v>212</v>
      </c>
      <c r="E63" s="66" t="s">
        <v>369</v>
      </c>
    </row>
    <row r="64" spans="1:13">
      <c r="A64" s="63" t="s">
        <v>236</v>
      </c>
      <c r="B64" s="65" t="s">
        <v>73</v>
      </c>
      <c r="C64" s="65" t="s">
        <v>370</v>
      </c>
      <c r="D64" s="65" t="s">
        <v>212</v>
      </c>
      <c r="E64" s="66" t="s">
        <v>371</v>
      </c>
    </row>
    <row r="65" spans="1:5">
      <c r="A65" s="63" t="s">
        <v>202</v>
      </c>
      <c r="B65" s="65" t="s">
        <v>73</v>
      </c>
      <c r="C65" s="65" t="s">
        <v>102</v>
      </c>
      <c r="D65" s="65" t="s">
        <v>205</v>
      </c>
      <c r="E65" s="66" t="s">
        <v>372</v>
      </c>
    </row>
    <row r="66" spans="1:5">
      <c r="A66" s="65"/>
      <c r="B66" s="65"/>
      <c r="C66" s="65"/>
      <c r="D66" s="65"/>
      <c r="E66" s="65"/>
    </row>
    <row r="67" spans="1:5" ht="16">
      <c r="A67" s="61" t="s">
        <v>72</v>
      </c>
      <c r="B67" s="40"/>
      <c r="C67" s="65"/>
      <c r="D67" s="65"/>
      <c r="E67" s="65"/>
    </row>
    <row r="68" spans="1:5" ht="14">
      <c r="A68" s="87" t="s">
        <v>180</v>
      </c>
      <c r="B68" s="67"/>
      <c r="C68" s="65"/>
      <c r="D68" s="65"/>
      <c r="E68" s="65"/>
    </row>
    <row r="69" spans="1:5" ht="14">
      <c r="A69" s="33" t="s">
        <v>74</v>
      </c>
      <c r="B69" s="33" t="s">
        <v>75</v>
      </c>
      <c r="C69" s="33" t="s">
        <v>76</v>
      </c>
      <c r="D69" s="33" t="s">
        <v>77</v>
      </c>
      <c r="E69" s="33" t="s">
        <v>129</v>
      </c>
    </row>
    <row r="70" spans="1:5">
      <c r="A70" s="63" t="s">
        <v>282</v>
      </c>
      <c r="B70" s="65" t="s">
        <v>180</v>
      </c>
      <c r="C70" s="65" t="s">
        <v>120</v>
      </c>
      <c r="D70" s="65" t="s">
        <v>168</v>
      </c>
      <c r="E70" s="66" t="s">
        <v>373</v>
      </c>
    </row>
    <row r="71" spans="1:5">
      <c r="A71" s="63" t="s">
        <v>215</v>
      </c>
      <c r="B71" s="65" t="s">
        <v>180</v>
      </c>
      <c r="C71" s="65" t="s">
        <v>219</v>
      </c>
      <c r="D71" s="65" t="s">
        <v>134</v>
      </c>
      <c r="E71" s="66" t="s">
        <v>374</v>
      </c>
    </row>
    <row r="72" spans="1:5">
      <c r="A72" s="63" t="s">
        <v>303</v>
      </c>
      <c r="B72" s="65" t="s">
        <v>180</v>
      </c>
      <c r="C72" s="65" t="s">
        <v>219</v>
      </c>
      <c r="D72" s="65" t="s">
        <v>262</v>
      </c>
      <c r="E72" s="66" t="s">
        <v>375</v>
      </c>
    </row>
    <row r="73" spans="1:5">
      <c r="A73" s="63" t="s">
        <v>308</v>
      </c>
      <c r="B73" s="65" t="s">
        <v>180</v>
      </c>
      <c r="C73" s="65" t="s">
        <v>219</v>
      </c>
      <c r="D73" s="65" t="s">
        <v>311</v>
      </c>
      <c r="E73" s="66" t="s">
        <v>376</v>
      </c>
    </row>
    <row r="74" spans="1:5">
      <c r="A74" s="63" t="s">
        <v>170</v>
      </c>
      <c r="B74" s="65" t="s">
        <v>180</v>
      </c>
      <c r="C74" s="65" t="s">
        <v>120</v>
      </c>
      <c r="D74" s="65" t="s">
        <v>126</v>
      </c>
      <c r="E74" s="66" t="s">
        <v>377</v>
      </c>
    </row>
    <row r="75" spans="1:5">
      <c r="A75" s="65"/>
      <c r="B75" s="65"/>
      <c r="C75" s="65"/>
      <c r="D75" s="65"/>
      <c r="E75" s="65"/>
    </row>
    <row r="76" spans="1:5" ht="14">
      <c r="A76" s="87" t="s">
        <v>73</v>
      </c>
      <c r="B76" s="67"/>
      <c r="C76" s="65"/>
      <c r="D76" s="65"/>
      <c r="E76" s="65"/>
    </row>
    <row r="77" spans="1:5" ht="14">
      <c r="A77" s="33" t="s">
        <v>74</v>
      </c>
      <c r="B77" s="33" t="s">
        <v>75</v>
      </c>
      <c r="C77" s="33" t="s">
        <v>76</v>
      </c>
      <c r="D77" s="33" t="s">
        <v>77</v>
      </c>
      <c r="E77" s="33" t="s">
        <v>129</v>
      </c>
    </row>
    <row r="78" spans="1:5">
      <c r="A78" s="63" t="s">
        <v>359</v>
      </c>
      <c r="B78" s="65" t="s">
        <v>73</v>
      </c>
      <c r="C78" s="65" t="s">
        <v>201</v>
      </c>
      <c r="D78" s="65" t="s">
        <v>160</v>
      </c>
      <c r="E78" s="66" t="s">
        <v>378</v>
      </c>
    </row>
    <row r="79" spans="1:5">
      <c r="A79" s="63" t="s">
        <v>50</v>
      </c>
      <c r="B79" s="65" t="s">
        <v>73</v>
      </c>
      <c r="C79" s="65" t="s">
        <v>82</v>
      </c>
      <c r="D79" s="65" t="s">
        <v>337</v>
      </c>
      <c r="E79" s="66" t="s">
        <v>379</v>
      </c>
    </row>
    <row r="80" spans="1:5">
      <c r="A80" s="63" t="s">
        <v>343</v>
      </c>
      <c r="B80" s="65" t="s">
        <v>73</v>
      </c>
      <c r="C80" s="65" t="s">
        <v>120</v>
      </c>
      <c r="D80" s="65" t="s">
        <v>224</v>
      </c>
      <c r="E80" s="66" t="s">
        <v>380</v>
      </c>
    </row>
    <row r="81" spans="1:5">
      <c r="A81" s="63" t="s">
        <v>22</v>
      </c>
      <c r="B81" s="65" t="s">
        <v>73</v>
      </c>
      <c r="C81" s="65" t="s">
        <v>85</v>
      </c>
      <c r="D81" s="65" t="s">
        <v>324</v>
      </c>
      <c r="E81" s="66" t="s">
        <v>381</v>
      </c>
    </row>
    <row r="82" spans="1:5">
      <c r="A82" s="63" t="s">
        <v>347</v>
      </c>
      <c r="B82" s="65" t="s">
        <v>73</v>
      </c>
      <c r="C82" s="65" t="s">
        <v>120</v>
      </c>
      <c r="D82" s="65" t="s">
        <v>257</v>
      </c>
      <c r="E82" s="66" t="s">
        <v>382</v>
      </c>
    </row>
    <row r="83" spans="1:5">
      <c r="A83" s="63" t="s">
        <v>36</v>
      </c>
      <c r="B83" s="65" t="s">
        <v>73</v>
      </c>
      <c r="C83" s="65" t="s">
        <v>82</v>
      </c>
      <c r="D83" s="65" t="s">
        <v>332</v>
      </c>
      <c r="E83" s="66" t="s">
        <v>383</v>
      </c>
    </row>
    <row r="84" spans="1:5">
      <c r="A84" s="63" t="s">
        <v>350</v>
      </c>
      <c r="B84" s="65" t="s">
        <v>73</v>
      </c>
      <c r="C84" s="65" t="s">
        <v>120</v>
      </c>
      <c r="D84" s="65" t="s">
        <v>168</v>
      </c>
      <c r="E84" s="66" t="s">
        <v>384</v>
      </c>
    </row>
    <row r="85" spans="1:5">
      <c r="A85" s="63" t="s">
        <v>13</v>
      </c>
      <c r="B85" s="65" t="s">
        <v>73</v>
      </c>
      <c r="C85" s="65" t="s">
        <v>79</v>
      </c>
      <c r="D85" s="65" t="s">
        <v>312</v>
      </c>
      <c r="E85" s="66" t="s">
        <v>385</v>
      </c>
    </row>
    <row r="86" spans="1:5">
      <c r="A86" s="63" t="s">
        <v>56</v>
      </c>
      <c r="B86" s="65" t="s">
        <v>73</v>
      </c>
      <c r="C86" s="65" t="s">
        <v>82</v>
      </c>
      <c r="D86" s="65" t="s">
        <v>262</v>
      </c>
      <c r="E86" s="66" t="s">
        <v>386</v>
      </c>
    </row>
    <row r="87" spans="1:5">
      <c r="A87" s="63" t="s">
        <v>313</v>
      </c>
      <c r="B87" s="65" t="s">
        <v>73</v>
      </c>
      <c r="C87" s="65" t="s">
        <v>79</v>
      </c>
      <c r="D87" s="65" t="s">
        <v>256</v>
      </c>
      <c r="E87" s="66" t="s">
        <v>387</v>
      </c>
    </row>
    <row r="88" spans="1:5">
      <c r="A88" s="63" t="s">
        <v>325</v>
      </c>
      <c r="B88" s="65" t="s">
        <v>73</v>
      </c>
      <c r="C88" s="65" t="s">
        <v>85</v>
      </c>
      <c r="D88" s="65" t="s">
        <v>328</v>
      </c>
      <c r="E88" s="66" t="s">
        <v>388</v>
      </c>
    </row>
    <row r="89" spans="1:5">
      <c r="A89" s="63" t="s">
        <v>318</v>
      </c>
      <c r="B89" s="65" t="s">
        <v>73</v>
      </c>
      <c r="C89" s="65" t="s">
        <v>79</v>
      </c>
      <c r="D89" s="65" t="s">
        <v>287</v>
      </c>
      <c r="E89" s="66" t="s">
        <v>389</v>
      </c>
    </row>
    <row r="90" spans="1:5">
      <c r="A90" s="63" t="s">
        <v>131</v>
      </c>
      <c r="B90" s="65" t="s">
        <v>73</v>
      </c>
      <c r="C90" s="65" t="s">
        <v>181</v>
      </c>
      <c r="D90" s="65" t="s">
        <v>211</v>
      </c>
      <c r="E90" s="66" t="s">
        <v>390</v>
      </c>
    </row>
    <row r="91" spans="1:5">
      <c r="A91" s="63" t="s">
        <v>321</v>
      </c>
      <c r="B91" s="65" t="s">
        <v>73</v>
      </c>
      <c r="C91" s="65" t="s">
        <v>79</v>
      </c>
      <c r="D91" s="65" t="s">
        <v>211</v>
      </c>
      <c r="E91" s="66" t="s">
        <v>391</v>
      </c>
    </row>
    <row r="92" spans="1:5">
      <c r="A92" s="65"/>
      <c r="B92" s="65"/>
      <c r="C92" s="65"/>
      <c r="D92" s="65"/>
      <c r="E92" s="66"/>
    </row>
  </sheetData>
  <mergeCells count="22">
    <mergeCell ref="A53:L53"/>
    <mergeCell ref="M3:M4"/>
    <mergeCell ref="A5:L5"/>
    <mergeCell ref="A8:L8"/>
    <mergeCell ref="A11:L11"/>
    <mergeCell ref="A14:L14"/>
    <mergeCell ref="A17:L17"/>
    <mergeCell ref="A20:L20"/>
    <mergeCell ref="A25:L25"/>
    <mergeCell ref="A31:L31"/>
    <mergeCell ref="A36:L36"/>
    <mergeCell ref="A45:L4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Пауэрспорт ДК</vt:lpstr>
      <vt:lpstr>IPL DL raw dc</vt:lpstr>
      <vt:lpstr>IPL DL raw</vt:lpstr>
      <vt:lpstr>НЖ 1_2 вес ДК</vt:lpstr>
      <vt:lpstr>НЖ 1 вес ДК</vt:lpstr>
      <vt:lpstr>НЖ 1 вес</vt:lpstr>
      <vt:lpstr>IPL Bench 1ply dc</vt:lpstr>
      <vt:lpstr>IPL Bench 1ply</vt:lpstr>
      <vt:lpstr>IPL Bench raw dc</vt:lpstr>
      <vt:lpstr>IPL Bench raw</vt:lpstr>
      <vt:lpstr>IPL SQ raw dc</vt:lpstr>
      <vt:lpstr>IPL PL wraps dc</vt:lpstr>
      <vt:lpstr>IPL PL wraps</vt:lpstr>
      <vt:lpstr>IPL PL raw dc</vt:lpstr>
      <vt:lpstr>IPL PL raw</vt:lpstr>
      <vt:lpstr>Apollon Axle</vt:lpstr>
      <vt:lpstr>Rolling Thunder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Сергей Длужневский</cp:lastModifiedBy>
  <cp:lastPrinted>2015-07-16T19:10:53Z</cp:lastPrinted>
  <dcterms:created xsi:type="dcterms:W3CDTF">2002-06-16T13:36:44Z</dcterms:created>
  <dcterms:modified xsi:type="dcterms:W3CDTF">2015-08-13T20:12:01Z</dcterms:modified>
</cp:coreProperties>
</file>