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20" windowWidth="11340" windowHeight="9700" firstSheet="16" activeTab="17"/>
  </bookViews>
  <sheets>
    <sheet name="Пауэрлифтинг без экипировки ДК" sheetId="1" r:id="rId1"/>
    <sheet name="Пауэрлифтинг без экипировки" sheetId="2" r:id="rId2"/>
    <sheet name="Пауэрлифтинг в односл. экип. " sheetId="3" r:id="rId3"/>
    <sheet name="Присед без экипировки ДК" sheetId="4" r:id="rId4"/>
    <sheet name="Присед без экипировки " sheetId="5" r:id="rId5"/>
    <sheet name="Присед в бинтах ДК" sheetId="6" r:id="rId6"/>
    <sheet name="Жим лежа без экипировки ДК" sheetId="7" r:id="rId7"/>
    <sheet name="Жим лежа без экипировки" sheetId="8" r:id="rId8"/>
    <sheet name="Жим лежа в софт-экипировке ДК" sheetId="9" r:id="rId9"/>
    <sheet name="Жим лежа в софт-экипировке" sheetId="10" r:id="rId10"/>
    <sheet name="Жим лежа СФО" sheetId="11" r:id="rId11"/>
    <sheet name="Становая тяга без экипировки ДК" sheetId="12" r:id="rId12"/>
    <sheet name="Становая тяга без экипировки" sheetId="13" r:id="rId13"/>
    <sheet name="Народный жим 1_2 веса ДК" sheetId="14" r:id="rId14"/>
    <sheet name="Народный жим 1_вес  ДК" sheetId="15" r:id="rId15"/>
    <sheet name="Народный жим 1_вес " sheetId="16" r:id="rId16"/>
    <sheet name="Пауэрспорт ДК" sheetId="17" r:id="rId17"/>
    <sheet name="Судейский корпус" sheetId="18" r:id="rId18"/>
  </sheets>
  <definedNames/>
  <calcPr fullCalcOnLoad="1" refMode="R1C1"/>
</workbook>
</file>

<file path=xl/sharedStrings.xml><?xml version="1.0" encoding="utf-8"?>
<sst xmlns="http://schemas.openxmlformats.org/spreadsheetml/2006/main" count="1440" uniqueCount="458">
  <si>
    <t>ФИО</t>
  </si>
  <si>
    <t>Присед</t>
  </si>
  <si>
    <t>Жим</t>
  </si>
  <si>
    <t>Тяга</t>
  </si>
  <si>
    <t>Сумма</t>
  </si>
  <si>
    <t>Тренер</t>
  </si>
  <si>
    <t>Очки</t>
  </si>
  <si>
    <t>Команда</t>
  </si>
  <si>
    <t>Рек</t>
  </si>
  <si>
    <t>Wilks</t>
  </si>
  <si>
    <t>ВЕСОВАЯ КАТЕГОРИЯ   60</t>
  </si>
  <si>
    <t>Сынков Сергей</t>
  </si>
  <si>
    <t>Teenage 15-19 (26.11.2001)/15</t>
  </si>
  <si>
    <t>59,00</t>
  </si>
  <si>
    <t xml:space="preserve">Томск/Томская область </t>
  </si>
  <si>
    <t>85,0</t>
  </si>
  <si>
    <t>90,0</t>
  </si>
  <si>
    <t>95,0</t>
  </si>
  <si>
    <t>Open (26.11.2001)/15</t>
  </si>
  <si>
    <t>ВЕСОВАЯ КАТЕГОРИЯ   67.5</t>
  </si>
  <si>
    <t>Пашков Егор</t>
  </si>
  <si>
    <t>Teenage 15-19 (08.06.2000)/16</t>
  </si>
  <si>
    <t>62,80</t>
  </si>
  <si>
    <t>80,0</t>
  </si>
  <si>
    <t xml:space="preserve">Обухович А. </t>
  </si>
  <si>
    <t>Горбачев Вадим</t>
  </si>
  <si>
    <t>Teenage 15-19 (22.04.2000)/16</t>
  </si>
  <si>
    <t>63,80</t>
  </si>
  <si>
    <t>65,0</t>
  </si>
  <si>
    <t>72,5</t>
  </si>
  <si>
    <t>75,0</t>
  </si>
  <si>
    <t>ВЕСОВАЯ КАТЕГОРИЯ   90</t>
  </si>
  <si>
    <t>Беркович Андрей</t>
  </si>
  <si>
    <t>Open (07.10.1972)/44</t>
  </si>
  <si>
    <t>87,60</t>
  </si>
  <si>
    <t xml:space="preserve">Лично </t>
  </si>
  <si>
    <t>Masters 40-44 (07.10.1972)/44</t>
  </si>
  <si>
    <t>ВЕСОВАЯ КАТЕГОРИЯ   100</t>
  </si>
  <si>
    <t>Водопьянов Максим</t>
  </si>
  <si>
    <t>Juniors 20-23 (17.05.1994)/22</t>
  </si>
  <si>
    <t>99,60</t>
  </si>
  <si>
    <t>180,0</t>
  </si>
  <si>
    <t>185,0</t>
  </si>
  <si>
    <t>Сынков Василий</t>
  </si>
  <si>
    <t>Open (07.09.1972)/44</t>
  </si>
  <si>
    <t>99,80</t>
  </si>
  <si>
    <t>200,0</t>
  </si>
  <si>
    <t>210,0</t>
  </si>
  <si>
    <t>215,0</t>
  </si>
  <si>
    <t>Медведев Максим</t>
  </si>
  <si>
    <t>Open (16.05.1981)/35</t>
  </si>
  <si>
    <t>91,80</t>
  </si>
  <si>
    <t xml:space="preserve">Барнаул/Алтайский край </t>
  </si>
  <si>
    <t>190,0</t>
  </si>
  <si>
    <t>Багаев Александр</t>
  </si>
  <si>
    <t>Open (04.04.1986)/30</t>
  </si>
  <si>
    <t>99,50</t>
  </si>
  <si>
    <t xml:space="preserve">Кемерово/Кемеровская область </t>
  </si>
  <si>
    <t>170,0</t>
  </si>
  <si>
    <t>Masters 40-44 (07.09.1972)/44</t>
  </si>
  <si>
    <t>ВЕСОВАЯ КАТЕГОРИЯ   110</t>
  </si>
  <si>
    <t>Харламов Илья</t>
  </si>
  <si>
    <t>Juniors 20-23 (12.09.1993)/23</t>
  </si>
  <si>
    <t>100,30</t>
  </si>
  <si>
    <t>175,0</t>
  </si>
  <si>
    <t>182,5</t>
  </si>
  <si>
    <t>Зинченко Сергей</t>
  </si>
  <si>
    <t>Open (28.03.1988)/28</t>
  </si>
  <si>
    <t>106,20</t>
  </si>
  <si>
    <t xml:space="preserve">Абсолютный зачёт </t>
  </si>
  <si>
    <t xml:space="preserve">Мужчины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</si>
  <si>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</si>
  <si>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</si>
  <si>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</si>
  <si>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</si>
  <si>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</si>
  <si>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 xml:space="preserve">67.5 </t>
  </si>
  <si>
    <t xml:space="preserve">Открытая </t>
  </si>
  <si>
    <t>127,9110</t>
  </si>
  <si>
    <t>120,0990</t>
  </si>
  <si>
    <t>116,5500</t>
  </si>
  <si>
    <t>ВЕСОВАЯ КАТЕГОРИЯ   52</t>
  </si>
  <si>
    <t>Анисимова Евгения</t>
  </si>
  <si>
    <t>Open (26.06.1992)/24</t>
  </si>
  <si>
    <t>51,10</t>
  </si>
  <si>
    <t>40,0</t>
  </si>
  <si>
    <t>45,0</t>
  </si>
  <si>
    <t>47,5</t>
  </si>
  <si>
    <t>Осколкова Антонина</t>
  </si>
  <si>
    <t>Juniors 20-23 (07.09.1994)/22</t>
  </si>
  <si>
    <t>58,40</t>
  </si>
  <si>
    <t>50,0</t>
  </si>
  <si>
    <t>Колесникова Анна</t>
  </si>
  <si>
    <t>Open (03.03.1998)/18</t>
  </si>
  <si>
    <t>59,70</t>
  </si>
  <si>
    <t>70,0</t>
  </si>
  <si>
    <t>Шукшин Владимир</t>
  </si>
  <si>
    <t>Open (23.02.1990)/26</t>
  </si>
  <si>
    <t>67,50</t>
  </si>
  <si>
    <t xml:space="preserve">Рубиновая Пантера </t>
  </si>
  <si>
    <t>145,0</t>
  </si>
  <si>
    <t>152,5</t>
  </si>
  <si>
    <t>ВЕСОВАЯ КАТЕГОРИЯ   75</t>
  </si>
  <si>
    <t>Тюпич Георгий</t>
  </si>
  <si>
    <t>Teenage 15-19 (12.12.1998)/17</t>
  </si>
  <si>
    <t>72,90</t>
  </si>
  <si>
    <t xml:space="preserve">Северск/Томская область </t>
  </si>
  <si>
    <t>87,5</t>
  </si>
  <si>
    <t>Горбунов Никита</t>
  </si>
  <si>
    <t>Juniors 20-23 (23.10.1995)/21</t>
  </si>
  <si>
    <t>73,10</t>
  </si>
  <si>
    <t>130,0</t>
  </si>
  <si>
    <t>135,0</t>
  </si>
  <si>
    <t>Цин-Дэ-Шань Александр</t>
  </si>
  <si>
    <t>Open (12.11.1986)/30</t>
  </si>
  <si>
    <t>75,00</t>
  </si>
  <si>
    <t xml:space="preserve">Power Club </t>
  </si>
  <si>
    <t>ВЕСОВАЯ КАТЕГОРИЯ   82.5</t>
  </si>
  <si>
    <t>Казарьян Роман</t>
  </si>
  <si>
    <t>Teenage 15-19 (14.04.2002)/14</t>
  </si>
  <si>
    <t>79,90</t>
  </si>
  <si>
    <t>62,5</t>
  </si>
  <si>
    <t>67,5</t>
  </si>
  <si>
    <t>Черепанов Евгений</t>
  </si>
  <si>
    <t>Open (19.07.1986)/30</t>
  </si>
  <si>
    <t>89,80</t>
  </si>
  <si>
    <t>142,5</t>
  </si>
  <si>
    <t>147,5</t>
  </si>
  <si>
    <t>Пономаренко Никита</t>
  </si>
  <si>
    <t>Open (04.09.1982)/34</t>
  </si>
  <si>
    <t>85,10</t>
  </si>
  <si>
    <t>132,5</t>
  </si>
  <si>
    <t>140,0</t>
  </si>
  <si>
    <t>Бубенёв Александр</t>
  </si>
  <si>
    <t>Open (27.01.1974)/42</t>
  </si>
  <si>
    <t>89,70</t>
  </si>
  <si>
    <t>Калгин Денис</t>
  </si>
  <si>
    <t>Open (07.03.1990)/26</t>
  </si>
  <si>
    <t>122,5</t>
  </si>
  <si>
    <t>Скосырский Александр</t>
  </si>
  <si>
    <t>Open (03.12.1992)/24</t>
  </si>
  <si>
    <t>98,40</t>
  </si>
  <si>
    <t>162,5</t>
  </si>
  <si>
    <t>Бабич Павел</t>
  </si>
  <si>
    <t>Open (09.08.1984)/32</t>
  </si>
  <si>
    <t>98,50</t>
  </si>
  <si>
    <t>120,0</t>
  </si>
  <si>
    <t xml:space="preserve">Женщины </t>
  </si>
  <si>
    <t xml:space="preserve">82.5 </t>
  </si>
  <si>
    <t>117,5775</t>
  </si>
  <si>
    <t>103,3270</t>
  </si>
  <si>
    <t>99,5475</t>
  </si>
  <si>
    <t>Шелепов Александр</t>
  </si>
  <si>
    <t>Open (01.07.1990)/26</t>
  </si>
  <si>
    <t>100,00</t>
  </si>
  <si>
    <t xml:space="preserve">Дух Войны </t>
  </si>
  <si>
    <t>300,0</t>
  </si>
  <si>
    <t>315,0</t>
  </si>
  <si>
    <t>230,0</t>
  </si>
  <si>
    <t>242,5</t>
  </si>
  <si>
    <t>Доценко Евгений</t>
  </si>
  <si>
    <t>Teenage 15-19 (19.04.1997)/19</t>
  </si>
  <si>
    <t>78,30</t>
  </si>
  <si>
    <t>160,0</t>
  </si>
  <si>
    <t>105,0</t>
  </si>
  <si>
    <t>110,0</t>
  </si>
  <si>
    <t>155,0</t>
  </si>
  <si>
    <t xml:space="preserve">Зевякин И. </t>
  </si>
  <si>
    <t>Михайлов Виктор</t>
  </si>
  <si>
    <t>Teenage 15-19 (31.01.1997)/19</t>
  </si>
  <si>
    <t>89,00</t>
  </si>
  <si>
    <t>202,5</t>
  </si>
  <si>
    <t>212,5</t>
  </si>
  <si>
    <t>157,5</t>
  </si>
  <si>
    <t>250,0</t>
  </si>
  <si>
    <t>270,0</t>
  </si>
  <si>
    <t>280,0</t>
  </si>
  <si>
    <t>240,0</t>
  </si>
  <si>
    <t>260,0</t>
  </si>
  <si>
    <t>Кузнецов Андрей</t>
  </si>
  <si>
    <t>Open (17.04.1983)/33</t>
  </si>
  <si>
    <t>88,80</t>
  </si>
  <si>
    <t>150,0</t>
  </si>
  <si>
    <t>235,0</t>
  </si>
  <si>
    <t>262,5</t>
  </si>
  <si>
    <t>Куприянов Вильгельм</t>
  </si>
  <si>
    <t>Teenage 15-19 (08.10.1997)/19</t>
  </si>
  <si>
    <t>99,10</t>
  </si>
  <si>
    <t>220,0</t>
  </si>
  <si>
    <t>Зенков Антон</t>
  </si>
  <si>
    <t>Open (10.03.1992)/24</t>
  </si>
  <si>
    <t>98,80</t>
  </si>
  <si>
    <t xml:space="preserve">Братск/Иркутская область </t>
  </si>
  <si>
    <t>255,0</t>
  </si>
  <si>
    <t>Лановикин Андрей</t>
  </si>
  <si>
    <t>Teenage 15-19 (29.08.1999)/17</t>
  </si>
  <si>
    <t>105,90</t>
  </si>
  <si>
    <t>77,5</t>
  </si>
  <si>
    <t>187,5</t>
  </si>
  <si>
    <t>Кузнецова Татьяна</t>
  </si>
  <si>
    <t>Open (12.06.1977)/39</t>
  </si>
  <si>
    <t>51,90</t>
  </si>
  <si>
    <t>52,5</t>
  </si>
  <si>
    <t>57,5</t>
  </si>
  <si>
    <t>100,0</t>
  </si>
  <si>
    <t>ВЕСОВАЯ КАТЕГОРИЯ   56</t>
  </si>
  <si>
    <t>Тарасова Мария</t>
  </si>
  <si>
    <t>Open (18.08.1989)/27</t>
  </si>
  <si>
    <t>55,00</t>
  </si>
  <si>
    <t>42,5</t>
  </si>
  <si>
    <t>Радюк Анна</t>
  </si>
  <si>
    <t>Open (22.01.1993)/23</t>
  </si>
  <si>
    <t>60,00</t>
  </si>
  <si>
    <t>125,0</t>
  </si>
  <si>
    <t>Волынкина Олеся</t>
  </si>
  <si>
    <t>Open (10.12.1984)/31</t>
  </si>
  <si>
    <t>59,20</t>
  </si>
  <si>
    <t xml:space="preserve">СпортЗал </t>
  </si>
  <si>
    <t>82,5</t>
  </si>
  <si>
    <t>92,5</t>
  </si>
  <si>
    <t>Комольцева Екатерина</t>
  </si>
  <si>
    <t>Open (25.12.1980)/35</t>
  </si>
  <si>
    <t>64,50</t>
  </si>
  <si>
    <t>115,0</t>
  </si>
  <si>
    <t>Ляшевская Екатерина</t>
  </si>
  <si>
    <t>Open (12.12.1989)/26</t>
  </si>
  <si>
    <t>64,00</t>
  </si>
  <si>
    <t>Кущ Римма</t>
  </si>
  <si>
    <t>Open (21.11.1992)/24</t>
  </si>
  <si>
    <t>73,20</t>
  </si>
  <si>
    <t>117,5</t>
  </si>
  <si>
    <t>Бородин Александр</t>
  </si>
  <si>
    <t>Open (10.12.1997)/18</t>
  </si>
  <si>
    <t>67,30</t>
  </si>
  <si>
    <t>127,5</t>
  </si>
  <si>
    <t>137,5</t>
  </si>
  <si>
    <t>Баев Николай</t>
  </si>
  <si>
    <t>Teenage 15-19 (22.12.1999)/16</t>
  </si>
  <si>
    <t>73,90</t>
  </si>
  <si>
    <t>107,5</t>
  </si>
  <si>
    <t>112,5</t>
  </si>
  <si>
    <t>165,0</t>
  </si>
  <si>
    <t>Веретенников Никита</t>
  </si>
  <si>
    <t>Open (29.06.1996)/20</t>
  </si>
  <si>
    <t>73,40</t>
  </si>
  <si>
    <t>Сотников Алексей</t>
  </si>
  <si>
    <t>Teenage 15-19 (12.12.1996)/19</t>
  </si>
  <si>
    <t>97,60</t>
  </si>
  <si>
    <t>Сапрыгина Елена</t>
  </si>
  <si>
    <t>Open (05.06.1979)/37</t>
  </si>
  <si>
    <t>70,60</t>
  </si>
  <si>
    <t>Бурмистров Евгений</t>
  </si>
  <si>
    <t>Open (09.03.1979)/37</t>
  </si>
  <si>
    <t>59,90</t>
  </si>
  <si>
    <t>Муравьев Николай</t>
  </si>
  <si>
    <t>Open (02.03.1989)/27</t>
  </si>
  <si>
    <t>72,80</t>
  </si>
  <si>
    <t>Просняк Сергей</t>
  </si>
  <si>
    <t>Open (08.09.1986)/30</t>
  </si>
  <si>
    <t>94,00</t>
  </si>
  <si>
    <t>102,5</t>
  </si>
  <si>
    <t>Голдаев Илья</t>
  </si>
  <si>
    <t>Teenage 15-19 (12.02.1997)/19</t>
  </si>
  <si>
    <t>88,50</t>
  </si>
  <si>
    <t xml:space="preserve">Анжеро-Судженск/Кемеровская область </t>
  </si>
  <si>
    <t>225,0</t>
  </si>
  <si>
    <t>Ильиных Антон</t>
  </si>
  <si>
    <t>84,10</t>
  </si>
  <si>
    <t>290,0</t>
  </si>
  <si>
    <t>Богатчук Павел</t>
  </si>
  <si>
    <t>Open (09.05.1983)/33</t>
  </si>
  <si>
    <t>Зевякин Иван</t>
  </si>
  <si>
    <t>Open (28.06.1988)/28</t>
  </si>
  <si>
    <t>109,30</t>
  </si>
  <si>
    <t>325,0</t>
  </si>
  <si>
    <t>340,0</t>
  </si>
  <si>
    <t>355,0</t>
  </si>
  <si>
    <t>285,0</t>
  </si>
  <si>
    <t>Барабанова Татьяна</t>
  </si>
  <si>
    <t>Juniors 20-23 (21.01.1996)/20</t>
  </si>
  <si>
    <t>56,00</t>
  </si>
  <si>
    <t>Епихина Ольга</t>
  </si>
  <si>
    <t>Open (10.11.1988)/28</t>
  </si>
  <si>
    <t>Григорьев Дмитрий</t>
  </si>
  <si>
    <t>Juniors 20-23 (04.04.1993)/23</t>
  </si>
  <si>
    <t>65,70</t>
  </si>
  <si>
    <t>195,0</t>
  </si>
  <si>
    <t>Науменко Алексей</t>
  </si>
  <si>
    <t>Open (31.07.1991)/25</t>
  </si>
  <si>
    <t xml:space="preserve">Асино/Томская область </t>
  </si>
  <si>
    <t>Гордиенко Константин</t>
  </si>
  <si>
    <t>Open (13.03.1986)/30</t>
  </si>
  <si>
    <t>78,60</t>
  </si>
  <si>
    <t>Худяков Виктор</t>
  </si>
  <si>
    <t>Open (04.12.1979)/36</t>
  </si>
  <si>
    <t>82,40</t>
  </si>
  <si>
    <t>Давыдов Андрей</t>
  </si>
  <si>
    <t>Open (18.08.1992)/24</t>
  </si>
  <si>
    <t>103,40</t>
  </si>
  <si>
    <t>227,5</t>
  </si>
  <si>
    <t>167,5</t>
  </si>
  <si>
    <t>Подъем на бицес</t>
  </si>
  <si>
    <t>Армейский жим</t>
  </si>
  <si>
    <t>Васюкова Анастасия</t>
  </si>
  <si>
    <t>Open (10.08.1992)/24</t>
  </si>
  <si>
    <t>58,00</t>
  </si>
  <si>
    <t>25,0</t>
  </si>
  <si>
    <t>27,5</t>
  </si>
  <si>
    <t>30,0</t>
  </si>
  <si>
    <t>20,0</t>
  </si>
  <si>
    <t>22,5</t>
  </si>
  <si>
    <t>Темляков Антон</t>
  </si>
  <si>
    <t>Teen 13-19 (17.12.1997)/18</t>
  </si>
  <si>
    <t>63,10</t>
  </si>
  <si>
    <t>55,0</t>
  </si>
  <si>
    <t>Поплевичев Александр</t>
  </si>
  <si>
    <t>Open (01.06.1986)/30</t>
  </si>
  <si>
    <t>74,70</t>
  </si>
  <si>
    <t>60,0</t>
  </si>
  <si>
    <t>Темляков Александр</t>
  </si>
  <si>
    <t>Masters 40-49 (20.04.1972)/44</t>
  </si>
  <si>
    <t>93,30</t>
  </si>
  <si>
    <t xml:space="preserve">Gloss </t>
  </si>
  <si>
    <t>Вес</t>
  </si>
  <si>
    <t>Повторы</t>
  </si>
  <si>
    <t>Teen 13-19 (26.11.2001)/15</t>
  </si>
  <si>
    <t>59,50</t>
  </si>
  <si>
    <t>Teen 13-19 (08.06.2000)/16</t>
  </si>
  <si>
    <t>59,80</t>
  </si>
  <si>
    <t>Вивчар Виталий</t>
  </si>
  <si>
    <t>Open (13.04.1989)/27</t>
  </si>
  <si>
    <t>72,50</t>
  </si>
  <si>
    <t>Никулин Евгений</t>
  </si>
  <si>
    <t>Open (18.01.1983)/33</t>
  </si>
  <si>
    <t>81,90</t>
  </si>
  <si>
    <t>Васильев Сергей</t>
  </si>
  <si>
    <t>Open (29.09.1982)/34</t>
  </si>
  <si>
    <t>87,50</t>
  </si>
  <si>
    <t>Шишков Глеб</t>
  </si>
  <si>
    <t>Open (25.06.1997)/19</t>
  </si>
  <si>
    <t>88,40</t>
  </si>
  <si>
    <t>91,75</t>
  </si>
  <si>
    <t>Open (17.05.1994)/22</t>
  </si>
  <si>
    <t>98,90</t>
  </si>
  <si>
    <t>Феофанов Александр</t>
  </si>
  <si>
    <t>Open (17.01.1972)/44</t>
  </si>
  <si>
    <t>2671,5563</t>
  </si>
  <si>
    <t>2253,4159</t>
  </si>
  <si>
    <t>2184,5216</t>
  </si>
  <si>
    <t>Полянских Елена</t>
  </si>
  <si>
    <t>Masters 40-49 (09.12.1975)/40</t>
  </si>
  <si>
    <t>63,90</t>
  </si>
  <si>
    <t>32,5</t>
  </si>
  <si>
    <t>Teen 13-19 (12.12.1998)/17</t>
  </si>
  <si>
    <t>37,5</t>
  </si>
  <si>
    <t>Окушко Андрей</t>
  </si>
  <si>
    <t>Open (21.07.1982)/34</t>
  </si>
  <si>
    <t>78,95</t>
  </si>
  <si>
    <t xml:space="preserve">Коваженко К. </t>
  </si>
  <si>
    <t>Teen 13-19 (25.06.1997)/19</t>
  </si>
  <si>
    <t>Исаенков Андрей</t>
  </si>
  <si>
    <t>Masters 40-49 (22.08.1972)/44</t>
  </si>
  <si>
    <t>80,15</t>
  </si>
  <si>
    <t>Новожилов Никита</t>
  </si>
  <si>
    <t>Juniors 20-23 (17.05.1993)/23</t>
  </si>
  <si>
    <t>87,55</t>
  </si>
  <si>
    <t>177,5</t>
  </si>
  <si>
    <t>Гордеев Владимир</t>
  </si>
  <si>
    <t>Open (04.04.1983)/33</t>
  </si>
  <si>
    <t>89,40</t>
  </si>
  <si>
    <t>Бакеев Рустам</t>
  </si>
  <si>
    <t>Open (27.08.1979)/37</t>
  </si>
  <si>
    <t>99,90</t>
  </si>
  <si>
    <t>Фирсов Михаил</t>
  </si>
  <si>
    <t>Open (13.02.1981)/35</t>
  </si>
  <si>
    <t>73,60</t>
  </si>
  <si>
    <t>205,0</t>
  </si>
  <si>
    <t>Masters 40-49 (17.01.1972)/44</t>
  </si>
  <si>
    <t>98,60</t>
  </si>
  <si>
    <t>Водопьянов М.</t>
  </si>
  <si>
    <t>150</t>
  </si>
  <si>
    <t>160</t>
  </si>
  <si>
    <t xml:space="preserve">Самостоятельно </t>
  </si>
  <si>
    <t>Обухович А.</t>
  </si>
  <si>
    <t>Галкин В.</t>
  </si>
  <si>
    <t>Кочмарев Д.</t>
  </si>
  <si>
    <t>Чернов И.</t>
  </si>
  <si>
    <t>Феофанов А.</t>
  </si>
  <si>
    <t>Сынков В.</t>
  </si>
  <si>
    <t>Епихин А.</t>
  </si>
  <si>
    <t>СВС</t>
  </si>
  <si>
    <t>Зевякин И.</t>
  </si>
  <si>
    <t>Анжеро-Судженск</t>
  </si>
  <si>
    <t>Дух Войны</t>
  </si>
  <si>
    <t>Новожилов Н.</t>
  </si>
  <si>
    <t>Колеснинова А.</t>
  </si>
  <si>
    <t>Самостоятельно</t>
  </si>
  <si>
    <t>Обухович  А.</t>
  </si>
  <si>
    <t>Харламов И.</t>
  </si>
  <si>
    <t>Колесникова А.</t>
  </si>
  <si>
    <t xml:space="preserve">Кочмарев Д. </t>
  </si>
  <si>
    <t>Лично</t>
  </si>
  <si>
    <t>210</t>
  </si>
  <si>
    <t xml:space="preserve">Мыцков А. </t>
  </si>
  <si>
    <t xml:space="preserve">Галкин В </t>
  </si>
  <si>
    <t>Скосырский А.</t>
  </si>
  <si>
    <t>HummerFit</t>
  </si>
  <si>
    <t xml:space="preserve">Cамостоятельно </t>
  </si>
  <si>
    <t>Темляков А.В.</t>
  </si>
  <si>
    <t>Чапаев Р.</t>
  </si>
  <si>
    <t xml:space="preserve">Епихин А. </t>
  </si>
  <si>
    <t>3700</t>
  </si>
  <si>
    <t xml:space="preserve">Сотникова М. </t>
  </si>
  <si>
    <t>Teenage 15-19 (03.04.1998)/18</t>
  </si>
  <si>
    <t>Место</t>
  </si>
  <si>
    <t>Возрастная группа
Дата рождения/Возраст</t>
  </si>
  <si>
    <t>Собств. вес</t>
  </si>
  <si>
    <t>Город/область</t>
  </si>
  <si>
    <t>Результат</t>
  </si>
  <si>
    <t>1</t>
  </si>
  <si>
    <t>2</t>
  </si>
  <si>
    <t>3</t>
  </si>
  <si>
    <t>Тоннаж</t>
  </si>
  <si>
    <t xml:space="preserve"> Открытый турнир «Ermak Power Show Tomsk» и Чемпионат Сибири по пауэрлифтингу и его отдельным движениям, народному жиму, пауэрспорту версии IPL и «Союз пауэрлифтеров России»                                                                                    Судейский корпус
г. Томск, 03 - 04 декабря 2016 г.</t>
  </si>
  <si>
    <t>Главный судья соревнований: Епихин Антон / Томск НК</t>
  </si>
  <si>
    <t>Главный секретарь соревнований: Ковалев Михаил / Томск РК</t>
  </si>
  <si>
    <t>Секретари: Новожилов Никита / Томск, Епихин Илья / Томск</t>
  </si>
  <si>
    <t>Председатель апелляционного жюри: Длужневская Эльвира / Вологда МК</t>
  </si>
  <si>
    <t>Судьи: Ильиных Антон / Томск РК, Шелепов Александр  / Томск РК, Кочмарев Денис  / Томск РК, Захаров Алексей  / Томск РК, Чулков Виталий  / Томск РК, Щербаков Дмитрий  / Томск РК</t>
  </si>
  <si>
    <t xml:space="preserve">Анжеро-Судженск/Кемеровская область  </t>
  </si>
  <si>
    <t xml:space="preserve">Новосибирск/Новосибирская область </t>
  </si>
  <si>
    <t>0</t>
  </si>
  <si>
    <t>Gloss</t>
  </si>
  <si>
    <t>390,0</t>
  </si>
  <si>
    <t>3375,0</t>
  </si>
  <si>
    <t>3190,0</t>
  </si>
  <si>
    <t>2880,0</t>
  </si>
  <si>
    <t>3240,0</t>
  </si>
  <si>
    <t>2790,0</t>
  </si>
  <si>
    <t>132,8</t>
  </si>
  <si>
    <t>Открытый турнир «Ermak Power Show Tomsk» и Чемпионат Сибири по пауэрлифтингу и его отдельным движениям, народному жиму, пауэрспорту версии IPL и «Союз пауэрлифтеров России»                                                                          Пауэрлифтинг без экипировки ДК
г. Томск, 03 - 04 декабря 2016 г.</t>
  </si>
  <si>
    <t xml:space="preserve"> </t>
  </si>
  <si>
    <t>Открытый турнир «Ermak Power Show Tomsk» и Чемпионат Сибири по пауэрлифтингу, его отдельным движениям, народному жиму и пауэрспорту по версиям IPL/СПР                                                                                                                                Пауэрлифтинг без экипировки
г. Томск, 03 - 04 декабря 2016 г.</t>
  </si>
  <si>
    <t>Открытый турнир «Ermak Power Show Tomsk» и Чемпионат Сибири по пауэрлифтингу, его отдельным движениям, народному жиму и пауэрспорту по версиям IPL/СПР                                                                                                                                Пауэрлифтинг в однослойной экипировке
г. Томск, 03 - 04 декабря 2016 г.</t>
  </si>
  <si>
    <t>Открытый турнир «Ermak Power Show Tomsk» и Чемпионат Сибири по пауэрлифтингу, его отдельным движениям, народному жиму и пауэрспорту по версиям IPL/СПР                                                                                                                                Присед в бинтах ДК
г. Томск, 03 - 04 декабря 2016 г.</t>
  </si>
  <si>
    <t>Открытый турнир «Ermak Power Show Tomsk» и Чемпионат Сибири по пауэрлифтингу, его отдельным движениям, народному жиму и пауэрспорту по версиям IPL/СПР                                                                                                     Присед без экипировки ДК
г. Томск, 03 - 04 декабря 2016 г.</t>
  </si>
  <si>
    <t>Открытый турнир «Ermak Power Show Tomsk» и Чемпионат Сибири по пауэрлифтингу, его отдельным движениям, народному жиму и пауэрспорту по версиям IPL/СПР                                                                                                                Присед без экипировки
г. Томск, 03 - 04 декабря 2016 г.</t>
  </si>
  <si>
    <t>Открытый турнир «Ermak Power Show Tomsk» и Чемпионат Сибири по пауэрлифтингу, его отдельным движениям, народному жиму и пауэрспорту по версиям IPL/СПР                                                                                                                               Жим лежа без экипировки ДК
г. Томск, 03 - 04 декабря 2016 г.</t>
  </si>
  <si>
    <t>Открытый турнир «Ermak Power Show Tomsk» и Чемпионат Сибири по пауэрлифтингу, его отдельным движениям, народному жиму и пауэрспорту по версиям IPL/СПР                                                                                                                               Жим лежа без экипировки 
г. Томск, 03 - 04 декабря 2016 г.</t>
  </si>
  <si>
    <t>Открытый турнир «Ermak Power Show Tomsk» и Чемпионат Сибири по пауэрлифтингу, его отдельным движениям, народному жиму и пауэрспорту по версиям IPL/СПР                                                                                                                              Жим лежа в софт-экипировке ДК
г. Томск, 03 - 04 декабря 2016 г.</t>
  </si>
  <si>
    <t>Открытый турнир «Ermak Power Show Tomsk» и Чемпионат Сибири по пауэрлифтингу, его отдельным движениям, народному жиму и пауэрспорту по версиям IPL/СПР                                                                                                                                Жим лежа в софт-экипировке 
г. Томск, 03 - 04 декабря 2016 г.</t>
  </si>
  <si>
    <t>Открытый турнир «Ermak Power Show Tomsk» и Чемпионат Сибири по пауэрлифтингу, его отдельным движениям, народному жиму и пауэрспорту по версиям IPL/СПР                                                                                                       Жим лежа СФО
г. Томск, 03 - 04 декабря 2016 г.</t>
  </si>
  <si>
    <t>Открытый турнир «Ermak Power Show Tomsk» и Чемпионат Сибири по пауэрлифтингу, его отдельным движениям, народному жиму и пауэрспорту по версиям IPL/СПР                                                                                                   Становая тяга без экипировки ДК
г. Томск, 03 - 04 декабря 2016 г.</t>
  </si>
  <si>
    <t>Открытый турнир «Ermak Power Show Tomsk» и Чемпионат Сибири по пауэрлифтингу, его отдельным движениям, народному жиму и пауэрспорту по версиям IPL/СПР                                                         Становая тяга без экипировки 
г. Томск, 03 - 04 декабря 2016 г.</t>
  </si>
  <si>
    <t>Открытый турнир «Ermak Power Show Tomsk» и Чемпионат Сибири по пауэрлифтингу, его отдельным движениям, народному жиму и пауэрспорту по версиям IPL/СПР                                                                                                                               Народный жим (1/2 веса) ДК 
г. Томск, 03 - 04 декабря 2016 г.</t>
  </si>
  <si>
    <t>Открытый турнир «Ermak Power Show Tomsk» и Чемпионат Сибири по пауэрлифтингу, его отдельным движениям, народному жиму и пауэрспорту по версиям IPL/СПР                                                                                                                                Народный жим ДК 
г. Томск, 03 - 04 декабря 2016 г.</t>
  </si>
  <si>
    <t>Открытый турнир «Ermak Power Show Tomsk» и Чемпионат Сибири по пауэрлифтингу, его отдельным движениям, народному жиму и пауэрспорту по версиям IPL/СПР                                                                                                                                Народный жим (1 вес)
г. Томск, 03 - 04 декабря 2016 г.</t>
  </si>
  <si>
    <t>Открытый турнир «Ermak Power Show Tomsk» и Чемпионат Сибири по пауэрлифтингу, его отдельным движениям, народному жиму и пауэрспорту по версиям IPL/СПР                                                                                                                                Пауэрспорт ДК
г. Томск, 03 - 04 декабря 2016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</si>
</sst>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000"/>
    <numFmt numFmtId="174" formatCode="0.0000"/>
    <numFmt numFmtId="175" formatCode="0000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9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i/>
      <sz val="12"/>
      <name val="Arial Cyr"/>
      <family val="0"/>
    </font>
    <font>
      <strike/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b/>
      <sz val="28"/>
      <name val="Arial"/>
      <family val="2"/>
    </font>
    <font>
      <b/>
      <sz val="28"/>
      <name val="Arial Cyr"/>
      <family val="0"/>
    </font>
    <font>
      <b/>
      <strike/>
      <sz val="10"/>
      <name val="Arial Cyr"/>
      <family val="0"/>
    </font>
    <font>
      <sz val="2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trike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trike/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39" fillId="0" borderId="7" applyNumberFormat="0" applyFill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11">
    <xf numFmtId="0" fontId="0" fillId="0" borderId="0" xfId="0" applyAlignment="1">
      <alignment/>
    </xf>
    <xf numFmtId="49" fontId="0" fillId="0" borderId="0" xfId="0" applyNumberForma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6" fillId="0" borderId="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/>
    </xf>
    <xf numFmtId="49" fontId="0" fillId="0" borderId="10" xfId="0" applyNumberFormat="1" applyFill="1" applyBorder="1" applyAlignment="1">
      <alignment/>
    </xf>
    <xf numFmtId="49" fontId="48" fillId="0" borderId="10" xfId="0" applyNumberFormat="1" applyFont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49" fontId="0" fillId="0" borderId="10" xfId="0" applyNumberFormat="1" applyBorder="1" applyAlignment="1">
      <alignment horizontal="left" indent="1"/>
    </xf>
    <xf numFmtId="49" fontId="0" fillId="0" borderId="10" xfId="0" applyNumberFormat="1" applyFont="1" applyFill="1" applyBorder="1" applyAlignment="1">
      <alignment horizontal="left" indent="1"/>
    </xf>
    <xf numFmtId="49" fontId="0" fillId="0" borderId="11" xfId="0" applyNumberFormat="1" applyFill="1" applyBorder="1" applyAlignment="1">
      <alignment horizontal="left"/>
    </xf>
    <xf numFmtId="49" fontId="0" fillId="0" borderId="12" xfId="0" applyNumberFormat="1" applyFill="1" applyBorder="1" applyAlignment="1">
      <alignment horizontal="left"/>
    </xf>
    <xf numFmtId="49" fontId="0" fillId="0" borderId="13" xfId="0" applyNumberFormat="1" applyFill="1" applyBorder="1" applyAlignment="1">
      <alignment horizontal="left"/>
    </xf>
    <xf numFmtId="49" fontId="0" fillId="0" borderId="10" xfId="0" applyNumberFormat="1" applyFill="1" applyBorder="1" applyAlignment="1">
      <alignment horizontal="left"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1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72" fontId="1" fillId="0" borderId="13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0" fillId="0" borderId="11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172" fontId="1" fillId="0" borderId="10" xfId="0" applyNumberFormat="1" applyFont="1" applyBorder="1" applyAlignment="1">
      <alignment horizontal="center" vertical="center"/>
    </xf>
    <xf numFmtId="172" fontId="1" fillId="0" borderId="11" xfId="0" applyNumberFormat="1" applyFont="1" applyBorder="1" applyAlignment="1">
      <alignment horizontal="center" vertical="center"/>
    </xf>
    <xf numFmtId="172" fontId="1" fillId="0" borderId="13" xfId="0" applyNumberFormat="1" applyFont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 vertical="center"/>
    </xf>
    <xf numFmtId="49" fontId="48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33" borderId="11" xfId="0" applyNumberFormat="1" applyFont="1" applyFill="1" applyBorder="1" applyAlignment="1">
      <alignment horizontal="center" vertical="center"/>
    </xf>
    <xf numFmtId="49" fontId="48" fillId="0" borderId="11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center" vertical="center"/>
    </xf>
    <xf numFmtId="49" fontId="48" fillId="0" borderId="12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33" borderId="13" xfId="0" applyNumberFormat="1" applyFont="1" applyFill="1" applyBorder="1" applyAlignment="1">
      <alignment horizontal="center" vertical="center"/>
    </xf>
    <xf numFmtId="49" fontId="48" fillId="0" borderId="13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33" borderId="10" xfId="0" applyNumberFormat="1" applyFont="1" applyFill="1" applyBorder="1" applyAlignment="1">
      <alignment horizontal="center"/>
    </xf>
    <xf numFmtId="49" fontId="48" fillId="0" borderId="10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48" fillId="0" borderId="13" xfId="0" applyNumberFormat="1" applyFont="1" applyFill="1" applyBorder="1" applyAlignment="1">
      <alignment horizontal="center" vertical="center"/>
    </xf>
    <xf numFmtId="49" fontId="11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0" fontId="0" fillId="0" borderId="0" xfId="0" applyFill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172" fontId="0" fillId="0" borderId="0" xfId="0" applyNumberFormat="1" applyAlignment="1">
      <alignment/>
    </xf>
    <xf numFmtId="1" fontId="3" fillId="0" borderId="11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0" fontId="1" fillId="0" borderId="10" xfId="0" applyNumberFormat="1" applyFont="1" applyBorder="1" applyAlignment="1">
      <alignment horizontal="center"/>
    </xf>
    <xf numFmtId="0" fontId="1" fillId="0" borderId="10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/>
    </xf>
    <xf numFmtId="49" fontId="7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4" fillId="0" borderId="0" xfId="0" applyNumberFormat="1" applyFont="1" applyAlignment="1">
      <alignment horizontal="left"/>
    </xf>
    <xf numFmtId="49" fontId="2" fillId="0" borderId="10" xfId="0" applyNumberFormat="1" applyFont="1" applyBorder="1" applyAlignment="1">
      <alignment horizontal="left" vertical="center"/>
    </xf>
    <xf numFmtId="49" fontId="0" fillId="0" borderId="0" xfId="0" applyNumberFormat="1" applyAlignment="1">
      <alignment horizontal="left" wrapText="1"/>
    </xf>
    <xf numFmtId="49" fontId="0" fillId="0" borderId="10" xfId="0" applyNumberForma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0" fillId="0" borderId="11" xfId="0" applyNumberFormat="1" applyFont="1" applyFill="1" applyBorder="1" applyAlignment="1">
      <alignment/>
    </xf>
    <xf numFmtId="49" fontId="0" fillId="0" borderId="11" xfId="0" applyNumberForma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49" fontId="0" fillId="0" borderId="13" xfId="0" applyNumberFormat="1" applyFont="1" applyFill="1" applyBorder="1" applyAlignment="1">
      <alignment/>
    </xf>
    <xf numFmtId="49" fontId="0" fillId="0" borderId="13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left"/>
    </xf>
    <xf numFmtId="49" fontId="0" fillId="0" borderId="13" xfId="0" applyNumberFormat="1" applyBorder="1" applyAlignment="1">
      <alignment horizontal="center"/>
    </xf>
    <xf numFmtId="49" fontId="1" fillId="33" borderId="13" xfId="0" applyNumberFormat="1" applyFont="1" applyFill="1" applyBorder="1" applyAlignment="1">
      <alignment horizontal="center"/>
    </xf>
    <xf numFmtId="49" fontId="48" fillId="0" borderId="13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0" fillId="0" borderId="11" xfId="0" applyNumberFormat="1" applyFill="1" applyBorder="1" applyAlignment="1">
      <alignment/>
    </xf>
    <xf numFmtId="0" fontId="1" fillId="0" borderId="12" xfId="0" applyFont="1" applyBorder="1" applyAlignment="1">
      <alignment horizontal="center"/>
    </xf>
    <xf numFmtId="49" fontId="0" fillId="0" borderId="12" xfId="0" applyNumberFormat="1" applyFill="1" applyBorder="1" applyAlignment="1">
      <alignment/>
    </xf>
    <xf numFmtId="49" fontId="0" fillId="0" borderId="12" xfId="0" applyNumberFormat="1" applyBorder="1" applyAlignment="1">
      <alignment horizontal="left"/>
    </xf>
    <xf numFmtId="49" fontId="0" fillId="0" borderId="12" xfId="0" applyNumberFormat="1" applyBorder="1" applyAlignment="1">
      <alignment horizontal="center"/>
    </xf>
    <xf numFmtId="49" fontId="48" fillId="0" borderId="12" xfId="0" applyNumberFormat="1" applyFont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0" fillId="0" borderId="13" xfId="0" applyNumberFormat="1" applyFill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left"/>
    </xf>
    <xf numFmtId="49" fontId="0" fillId="0" borderId="11" xfId="0" applyNumberFormat="1" applyBorder="1" applyAlignment="1">
      <alignment horizontal="center"/>
    </xf>
    <xf numFmtId="49" fontId="1" fillId="33" borderId="11" xfId="0" applyNumberFormat="1" applyFont="1" applyFill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left" vertical="center"/>
    </xf>
    <xf numFmtId="49" fontId="48" fillId="0" borderId="11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49" fontId="48" fillId="0" borderId="13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49" fontId="0" fillId="0" borderId="11" xfId="0" applyNumberFormat="1" applyFill="1" applyBorder="1" applyAlignment="1">
      <alignment horizontal="left" vertical="center"/>
    </xf>
    <xf numFmtId="49" fontId="5" fillId="0" borderId="11" xfId="0" applyNumberFormat="1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48" fillId="0" borderId="12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0" fillId="0" borderId="13" xfId="0" applyNumberFormat="1" applyFill="1" applyBorder="1" applyAlignment="1">
      <alignment horizontal="left" vertical="center"/>
    </xf>
    <xf numFmtId="49" fontId="48" fillId="0" borderId="11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172" fontId="1" fillId="0" borderId="12" xfId="0" applyNumberFormat="1" applyFont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172" fontId="1" fillId="0" borderId="12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left" vertical="center"/>
    </xf>
    <xf numFmtId="172" fontId="1" fillId="0" borderId="10" xfId="0" applyNumberFormat="1" applyFont="1" applyFill="1" applyBorder="1" applyAlignment="1">
      <alignment horizontal="center" vertical="center"/>
    </xf>
    <xf numFmtId="172" fontId="1" fillId="0" borderId="0" xfId="0" applyNumberFormat="1" applyFont="1" applyAlignment="1">
      <alignment/>
    </xf>
    <xf numFmtId="49" fontId="8" fillId="0" borderId="14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49" fontId="4" fillId="0" borderId="16" xfId="0" applyNumberFormat="1" applyFont="1" applyBorder="1" applyAlignment="1">
      <alignment horizontal="center"/>
    </xf>
    <xf numFmtId="49" fontId="4" fillId="0" borderId="17" xfId="0" applyNumberFormat="1" applyFont="1" applyBorder="1" applyAlignment="1">
      <alignment horizontal="center"/>
    </xf>
    <xf numFmtId="49" fontId="2" fillId="0" borderId="18" xfId="0" applyNumberFormat="1" applyFont="1" applyFill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 wrapText="1"/>
    </xf>
    <xf numFmtId="49" fontId="10" fillId="0" borderId="20" xfId="0" applyNumberFormat="1" applyFont="1" applyFill="1" applyBorder="1" applyAlignment="1">
      <alignment horizontal="center" vertical="center"/>
    </xf>
    <xf numFmtId="49" fontId="10" fillId="0" borderId="21" xfId="0" applyNumberFormat="1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center"/>
    </xf>
    <xf numFmtId="49" fontId="10" fillId="0" borderId="24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172" fontId="2" fillId="0" borderId="18" xfId="0" applyNumberFormat="1" applyFont="1" applyFill="1" applyBorder="1" applyAlignment="1">
      <alignment horizontal="center" vertical="center"/>
    </xf>
    <xf numFmtId="172" fontId="2" fillId="0" borderId="11" xfId="0" applyNumberFormat="1" applyFont="1" applyFill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2" fillId="0" borderId="32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 wrapText="1"/>
    </xf>
    <xf numFmtId="49" fontId="9" fillId="0" borderId="20" xfId="0" applyNumberFormat="1" applyFont="1" applyFill="1" applyBorder="1" applyAlignment="1">
      <alignment horizontal="center" vertical="center"/>
    </xf>
    <xf numFmtId="49" fontId="9" fillId="0" borderId="21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49" fontId="9" fillId="0" borderId="23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 vertical="center"/>
    </xf>
    <xf numFmtId="49" fontId="12" fillId="0" borderId="23" xfId="0" applyNumberFormat="1" applyFont="1" applyFill="1" applyBorder="1" applyAlignment="1">
      <alignment horizontal="center" vertical="center"/>
    </xf>
    <xf numFmtId="49" fontId="12" fillId="0" borderId="24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1"/>
  <sheetViews>
    <sheetView workbookViewId="0" topLeftCell="A1">
      <selection activeCell="B1" sqref="B1:V2"/>
    </sheetView>
  </sheetViews>
  <sheetFormatPr defaultColWidth="8.75390625" defaultRowHeight="12.75"/>
  <cols>
    <col min="1" max="1" width="9.125" style="38" customWidth="1"/>
    <col min="2" max="2" width="26.00390625" style="7" bestFit="1" customWidth="1"/>
    <col min="3" max="3" width="27.125" style="94" bestFit="1" customWidth="1"/>
    <col min="4" max="4" width="10.625" style="94" bestFit="1" customWidth="1"/>
    <col min="5" max="5" width="8.375" style="94" bestFit="1" customWidth="1"/>
    <col min="6" max="6" width="18.875" style="94" customWidth="1"/>
    <col min="7" max="7" width="29.875" style="94" bestFit="1" customWidth="1"/>
    <col min="8" max="10" width="5.625" style="7" bestFit="1" customWidth="1"/>
    <col min="11" max="11" width="4.625" style="7" bestFit="1" customWidth="1"/>
    <col min="12" max="14" width="5.625" style="7" bestFit="1" customWidth="1"/>
    <col min="15" max="15" width="4.625" style="7" bestFit="1" customWidth="1"/>
    <col min="16" max="18" width="5.625" style="7" bestFit="1" customWidth="1"/>
    <col min="19" max="19" width="4.625" style="7" bestFit="1" customWidth="1"/>
    <col min="20" max="20" width="11.25390625" style="86" bestFit="1" customWidth="1"/>
    <col min="21" max="21" width="8.625" style="86" bestFit="1" customWidth="1"/>
    <col min="22" max="22" width="20.125" style="94" bestFit="1" customWidth="1"/>
  </cols>
  <sheetData>
    <row r="1" spans="1:22" s="1" customFormat="1" ht="93.75" customHeight="1">
      <c r="A1" s="37"/>
      <c r="B1" s="168" t="s">
        <v>440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70"/>
    </row>
    <row r="2" spans="1:22" s="1" customFormat="1" ht="101.25" customHeight="1" thickBot="1">
      <c r="A2" s="37"/>
      <c r="B2" s="171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3"/>
    </row>
    <row r="3" spans="1:22" s="2" customFormat="1" ht="12.75" customHeight="1">
      <c r="A3" s="184" t="s">
        <v>414</v>
      </c>
      <c r="B3" s="174" t="s">
        <v>0</v>
      </c>
      <c r="C3" s="176" t="s">
        <v>415</v>
      </c>
      <c r="D3" s="178" t="s">
        <v>416</v>
      </c>
      <c r="E3" s="167" t="s">
        <v>9</v>
      </c>
      <c r="F3" s="180" t="s">
        <v>7</v>
      </c>
      <c r="G3" s="180" t="s">
        <v>417</v>
      </c>
      <c r="H3" s="167" t="s">
        <v>1</v>
      </c>
      <c r="I3" s="167"/>
      <c r="J3" s="167"/>
      <c r="K3" s="167"/>
      <c r="L3" s="167" t="s">
        <v>2</v>
      </c>
      <c r="M3" s="167"/>
      <c r="N3" s="167"/>
      <c r="O3" s="167"/>
      <c r="P3" s="167" t="s">
        <v>3</v>
      </c>
      <c r="Q3" s="167"/>
      <c r="R3" s="167"/>
      <c r="S3" s="167"/>
      <c r="T3" s="182" t="s">
        <v>4</v>
      </c>
      <c r="U3" s="182" t="s">
        <v>6</v>
      </c>
      <c r="V3" s="186" t="s">
        <v>5</v>
      </c>
    </row>
    <row r="4" spans="1:22" s="2" customFormat="1" ht="21" customHeight="1">
      <c r="A4" s="185"/>
      <c r="B4" s="175"/>
      <c r="C4" s="177"/>
      <c r="D4" s="179"/>
      <c r="E4" s="177"/>
      <c r="F4" s="181"/>
      <c r="G4" s="181"/>
      <c r="H4" s="81">
        <v>1</v>
      </c>
      <c r="I4" s="81">
        <v>2</v>
      </c>
      <c r="J4" s="81">
        <v>3</v>
      </c>
      <c r="K4" s="81" t="s">
        <v>8</v>
      </c>
      <c r="L4" s="81">
        <v>1</v>
      </c>
      <c r="M4" s="81">
        <v>2</v>
      </c>
      <c r="N4" s="81">
        <v>3</v>
      </c>
      <c r="O4" s="81" t="s">
        <v>8</v>
      </c>
      <c r="P4" s="81">
        <v>1</v>
      </c>
      <c r="Q4" s="81">
        <v>2</v>
      </c>
      <c r="R4" s="81">
        <v>3</v>
      </c>
      <c r="S4" s="81" t="s">
        <v>8</v>
      </c>
      <c r="T4" s="183"/>
      <c r="U4" s="183"/>
      <c r="V4" s="187"/>
    </row>
    <row r="5" spans="1:22" ht="12.75" customHeight="1">
      <c r="A5" s="160" t="s">
        <v>81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</row>
    <row r="6" spans="1:22" ht="12.75">
      <c r="A6" s="82">
        <v>1</v>
      </c>
      <c r="B6" s="20" t="s">
        <v>199</v>
      </c>
      <c r="C6" s="91" t="s">
        <v>200</v>
      </c>
      <c r="D6" s="91" t="s">
        <v>201</v>
      </c>
      <c r="E6" s="91" t="str">
        <f>"1,2485"</f>
        <v>1,2485</v>
      </c>
      <c r="F6" s="91" t="s">
        <v>390</v>
      </c>
      <c r="G6" s="91" t="s">
        <v>14</v>
      </c>
      <c r="H6" s="51" t="s">
        <v>23</v>
      </c>
      <c r="I6" s="51" t="s">
        <v>15</v>
      </c>
      <c r="J6" s="52" t="s">
        <v>16</v>
      </c>
      <c r="K6" s="53"/>
      <c r="L6" s="51" t="s">
        <v>202</v>
      </c>
      <c r="M6" s="52" t="s">
        <v>203</v>
      </c>
      <c r="N6" s="51" t="s">
        <v>203</v>
      </c>
      <c r="O6" s="53"/>
      <c r="P6" s="51" t="s">
        <v>16</v>
      </c>
      <c r="Q6" s="51" t="s">
        <v>204</v>
      </c>
      <c r="R6" s="51" t="s">
        <v>164</v>
      </c>
      <c r="S6" s="53"/>
      <c r="T6" s="48">
        <v>247.5</v>
      </c>
      <c r="U6" s="48" t="str">
        <f>"309,0037"</f>
        <v>309,0037</v>
      </c>
      <c r="V6" s="91" t="s">
        <v>24</v>
      </c>
    </row>
    <row r="7" spans="1:22" s="80" customFormat="1" ht="12.75">
      <c r="A7" s="161"/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2"/>
      <c r="R7" s="162"/>
      <c r="S7" s="162"/>
      <c r="T7" s="162"/>
      <c r="U7" s="162"/>
      <c r="V7" s="163"/>
    </row>
    <row r="8" spans="1:22" ht="15.75">
      <c r="A8" s="164" t="s">
        <v>205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6"/>
    </row>
    <row r="9" spans="1:22" ht="12.75">
      <c r="A9" s="82">
        <v>1</v>
      </c>
      <c r="B9" s="20" t="s">
        <v>206</v>
      </c>
      <c r="C9" s="91" t="s">
        <v>207</v>
      </c>
      <c r="D9" s="91" t="s">
        <v>208</v>
      </c>
      <c r="E9" s="91" t="str">
        <f>"1,1933"</f>
        <v>1,1933</v>
      </c>
      <c r="F9" s="91" t="s">
        <v>116</v>
      </c>
      <c r="G9" s="91" t="s">
        <v>14</v>
      </c>
      <c r="H9" s="52" t="s">
        <v>30</v>
      </c>
      <c r="I9" s="51" t="s">
        <v>30</v>
      </c>
      <c r="J9" s="51" t="s">
        <v>23</v>
      </c>
      <c r="K9" s="53"/>
      <c r="L9" s="51" t="s">
        <v>85</v>
      </c>
      <c r="M9" s="52" t="s">
        <v>209</v>
      </c>
      <c r="N9" s="52" t="s">
        <v>209</v>
      </c>
      <c r="O9" s="53"/>
      <c r="P9" s="51" t="s">
        <v>15</v>
      </c>
      <c r="Q9" s="51" t="s">
        <v>17</v>
      </c>
      <c r="R9" s="51" t="s">
        <v>204</v>
      </c>
      <c r="S9" s="53"/>
      <c r="T9" s="48">
        <v>220</v>
      </c>
      <c r="U9" s="48" t="str">
        <f>"262,5260"</f>
        <v>262,5260</v>
      </c>
      <c r="V9" s="91" t="s">
        <v>404</v>
      </c>
    </row>
    <row r="10" spans="1:22" s="80" customFormat="1" ht="12.75">
      <c r="A10" s="161"/>
      <c r="B10" s="162"/>
      <c r="C10" s="162"/>
      <c r="D10" s="162"/>
      <c r="E10" s="162"/>
      <c r="F10" s="162"/>
      <c r="G10" s="162"/>
      <c r="H10" s="162"/>
      <c r="I10" s="162"/>
      <c r="J10" s="162"/>
      <c r="K10" s="162"/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3"/>
    </row>
    <row r="11" spans="1:22" ht="15.75">
      <c r="A11" s="160" t="s">
        <v>10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</row>
    <row r="12" spans="1:22" ht="12.75">
      <c r="A12" s="100">
        <v>1</v>
      </c>
      <c r="B12" s="101" t="s">
        <v>210</v>
      </c>
      <c r="C12" s="78" t="s">
        <v>211</v>
      </c>
      <c r="D12" s="78" t="s">
        <v>212</v>
      </c>
      <c r="E12" s="78" t="str">
        <f>"1,1149"</f>
        <v>1,1149</v>
      </c>
      <c r="F12" s="78" t="s">
        <v>390</v>
      </c>
      <c r="G12" s="78" t="s">
        <v>14</v>
      </c>
      <c r="H12" s="55" t="s">
        <v>165</v>
      </c>
      <c r="I12" s="55" t="s">
        <v>146</v>
      </c>
      <c r="J12" s="55" t="s">
        <v>213</v>
      </c>
      <c r="K12" s="57"/>
      <c r="L12" s="55" t="s">
        <v>23</v>
      </c>
      <c r="M12" s="55" t="s">
        <v>15</v>
      </c>
      <c r="N12" s="57"/>
      <c r="O12" s="57"/>
      <c r="P12" s="55" t="s">
        <v>100</v>
      </c>
      <c r="Q12" s="56" t="s">
        <v>101</v>
      </c>
      <c r="R12" s="55" t="s">
        <v>166</v>
      </c>
      <c r="S12" s="103"/>
      <c r="T12" s="49">
        <v>365</v>
      </c>
      <c r="U12" s="49" t="str">
        <f>"406,9385"</f>
        <v>406,9385</v>
      </c>
      <c r="V12" s="78" t="s">
        <v>24</v>
      </c>
    </row>
    <row r="13" spans="1:22" ht="12.75">
      <c r="A13" s="104">
        <v>2</v>
      </c>
      <c r="B13" s="105" t="s">
        <v>214</v>
      </c>
      <c r="C13" s="79" t="s">
        <v>215</v>
      </c>
      <c r="D13" s="79" t="s">
        <v>216</v>
      </c>
      <c r="E13" s="79" t="str">
        <f>"1,1266"</f>
        <v>1,1266</v>
      </c>
      <c r="F13" s="79" t="s">
        <v>217</v>
      </c>
      <c r="G13" s="79" t="s">
        <v>57</v>
      </c>
      <c r="H13" s="63" t="s">
        <v>29</v>
      </c>
      <c r="I13" s="63" t="s">
        <v>197</v>
      </c>
      <c r="J13" s="63" t="s">
        <v>218</v>
      </c>
      <c r="K13" s="65"/>
      <c r="L13" s="63" t="s">
        <v>86</v>
      </c>
      <c r="M13" s="63" t="s">
        <v>91</v>
      </c>
      <c r="N13" s="64" t="s">
        <v>202</v>
      </c>
      <c r="O13" s="65"/>
      <c r="P13" s="63" t="s">
        <v>23</v>
      </c>
      <c r="Q13" s="63" t="s">
        <v>219</v>
      </c>
      <c r="R13" s="63" t="s">
        <v>204</v>
      </c>
      <c r="S13" s="65"/>
      <c r="T13" s="50">
        <v>232.5</v>
      </c>
      <c r="U13" s="50" t="str">
        <f>"261,9345"</f>
        <v>261,9345</v>
      </c>
      <c r="V13" s="79" t="s">
        <v>403</v>
      </c>
    </row>
    <row r="14" spans="1:22" s="80" customFormat="1" ht="12.75">
      <c r="A14" s="161"/>
      <c r="B14" s="162"/>
      <c r="C14" s="162"/>
      <c r="D14" s="162"/>
      <c r="E14" s="162"/>
      <c r="F14" s="162"/>
      <c r="G14" s="162"/>
      <c r="H14" s="162"/>
      <c r="I14" s="162"/>
      <c r="J14" s="162"/>
      <c r="K14" s="162"/>
      <c r="L14" s="162"/>
      <c r="M14" s="162"/>
      <c r="N14" s="162"/>
      <c r="O14" s="162"/>
      <c r="P14" s="162"/>
      <c r="Q14" s="162"/>
      <c r="R14" s="162"/>
      <c r="S14" s="162"/>
      <c r="T14" s="162"/>
      <c r="U14" s="162"/>
      <c r="V14" s="163"/>
    </row>
    <row r="15" spans="1:22" ht="15.75">
      <c r="A15" s="160" t="s">
        <v>19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  <c r="P15" s="160"/>
      <c r="Q15" s="160"/>
      <c r="R15" s="160"/>
      <c r="S15" s="160"/>
      <c r="T15" s="160"/>
      <c r="U15" s="160"/>
      <c r="V15" s="160"/>
    </row>
    <row r="16" spans="1:22" ht="12.75">
      <c r="A16" s="100">
        <v>1</v>
      </c>
      <c r="B16" s="101" t="s">
        <v>220</v>
      </c>
      <c r="C16" s="78" t="s">
        <v>221</v>
      </c>
      <c r="D16" s="78" t="s">
        <v>222</v>
      </c>
      <c r="E16" s="78" t="str">
        <f>"1,0551"</f>
        <v>1,0551</v>
      </c>
      <c r="F16" s="78" t="s">
        <v>99</v>
      </c>
      <c r="G16" s="78" t="s">
        <v>14</v>
      </c>
      <c r="H16" s="56" t="s">
        <v>197</v>
      </c>
      <c r="I16" s="55" t="s">
        <v>197</v>
      </c>
      <c r="J16" s="55" t="s">
        <v>218</v>
      </c>
      <c r="K16" s="57"/>
      <c r="L16" s="55" t="s">
        <v>85</v>
      </c>
      <c r="M16" s="55" t="s">
        <v>86</v>
      </c>
      <c r="N16" s="55" t="s">
        <v>87</v>
      </c>
      <c r="O16" s="57"/>
      <c r="P16" s="55" t="s">
        <v>17</v>
      </c>
      <c r="Q16" s="55" t="s">
        <v>164</v>
      </c>
      <c r="R16" s="56" t="s">
        <v>223</v>
      </c>
      <c r="S16" s="57"/>
      <c r="T16" s="49">
        <v>235</v>
      </c>
      <c r="U16" s="49" t="str">
        <f>"247,9485"</f>
        <v>247,9485</v>
      </c>
      <c r="V16" s="78" t="s">
        <v>385</v>
      </c>
    </row>
    <row r="17" spans="1:22" ht="12.75">
      <c r="A17" s="104"/>
      <c r="B17" s="105" t="s">
        <v>224</v>
      </c>
      <c r="C17" s="79" t="s">
        <v>225</v>
      </c>
      <c r="D17" s="79" t="s">
        <v>226</v>
      </c>
      <c r="E17" s="79" t="str">
        <f>"1,0613"</f>
        <v>1,0613</v>
      </c>
      <c r="F17" s="79" t="s">
        <v>35</v>
      </c>
      <c r="G17" s="79" t="s">
        <v>14</v>
      </c>
      <c r="H17" s="64" t="s">
        <v>30</v>
      </c>
      <c r="I17" s="64" t="s">
        <v>23</v>
      </c>
      <c r="J17" s="63" t="s">
        <v>23</v>
      </c>
      <c r="K17" s="65"/>
      <c r="L17" s="64" t="s">
        <v>85</v>
      </c>
      <c r="M17" s="64" t="s">
        <v>85</v>
      </c>
      <c r="N17" s="64" t="s">
        <v>85</v>
      </c>
      <c r="O17" s="65"/>
      <c r="P17" s="63" t="s">
        <v>204</v>
      </c>
      <c r="Q17" s="63" t="s">
        <v>164</v>
      </c>
      <c r="R17" s="63" t="s">
        <v>165</v>
      </c>
      <c r="S17" s="65"/>
      <c r="T17" s="50">
        <v>0</v>
      </c>
      <c r="U17" s="50" t="str">
        <f>"0,0000"</f>
        <v>0,0000</v>
      </c>
      <c r="V17" s="79" t="s">
        <v>379</v>
      </c>
    </row>
    <row r="18" spans="1:22" s="80" customFormat="1" ht="12.75">
      <c r="A18" s="161"/>
      <c r="B18" s="162"/>
      <c r="C18" s="162"/>
      <c r="D18" s="162"/>
      <c r="E18" s="162"/>
      <c r="F18" s="162"/>
      <c r="G18" s="162"/>
      <c r="H18" s="162"/>
      <c r="I18" s="162"/>
      <c r="J18" s="162"/>
      <c r="K18" s="162"/>
      <c r="L18" s="162"/>
      <c r="M18" s="162"/>
      <c r="N18" s="162"/>
      <c r="O18" s="162"/>
      <c r="P18" s="162"/>
      <c r="Q18" s="162"/>
      <c r="R18" s="162"/>
      <c r="S18" s="162"/>
      <c r="T18" s="162"/>
      <c r="U18" s="162"/>
      <c r="V18" s="163"/>
    </row>
    <row r="19" spans="1:22" ht="15.75">
      <c r="A19" s="160" t="s">
        <v>102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  <c r="P19" s="160"/>
      <c r="Q19" s="160"/>
      <c r="R19" s="160"/>
      <c r="S19" s="160"/>
      <c r="T19" s="160"/>
      <c r="U19" s="160"/>
      <c r="V19" s="160"/>
    </row>
    <row r="20" spans="1:22" ht="12.75">
      <c r="A20" s="82">
        <v>1</v>
      </c>
      <c r="B20" s="20" t="s">
        <v>227</v>
      </c>
      <c r="C20" s="91" t="s">
        <v>228</v>
      </c>
      <c r="D20" s="91" t="s">
        <v>229</v>
      </c>
      <c r="E20" s="91" t="str">
        <f>"0,9655"</f>
        <v>0,9655</v>
      </c>
      <c r="F20" s="91" t="s">
        <v>401</v>
      </c>
      <c r="G20" s="91" t="s">
        <v>14</v>
      </c>
      <c r="H20" s="51" t="s">
        <v>230</v>
      </c>
      <c r="I20" s="51" t="s">
        <v>213</v>
      </c>
      <c r="J20" s="52" t="s">
        <v>111</v>
      </c>
      <c r="K20" s="53"/>
      <c r="L20" s="51" t="s">
        <v>28</v>
      </c>
      <c r="M20" s="51" t="s">
        <v>95</v>
      </c>
      <c r="N20" s="52" t="s">
        <v>29</v>
      </c>
      <c r="O20" s="53"/>
      <c r="P20" s="51" t="s">
        <v>126</v>
      </c>
      <c r="Q20" s="51" t="s">
        <v>182</v>
      </c>
      <c r="R20" s="51" t="s">
        <v>173</v>
      </c>
      <c r="S20" s="53"/>
      <c r="T20" s="48">
        <v>352.5</v>
      </c>
      <c r="U20" s="48" t="str">
        <f>"340,3387"</f>
        <v>340,3387</v>
      </c>
      <c r="V20" s="91" t="s">
        <v>405</v>
      </c>
    </row>
    <row r="21" spans="1:22" s="80" customFormat="1" ht="12.75">
      <c r="A21" s="161"/>
      <c r="B21" s="162"/>
      <c r="C21" s="162"/>
      <c r="D21" s="162"/>
      <c r="E21" s="162"/>
      <c r="F21" s="162"/>
      <c r="G21" s="162"/>
      <c r="H21" s="162"/>
      <c r="I21" s="162"/>
      <c r="J21" s="162"/>
      <c r="K21" s="162"/>
      <c r="L21" s="162"/>
      <c r="M21" s="162"/>
      <c r="N21" s="162"/>
      <c r="O21" s="162"/>
      <c r="P21" s="162"/>
      <c r="Q21" s="162"/>
      <c r="R21" s="162"/>
      <c r="S21" s="162"/>
      <c r="T21" s="162"/>
      <c r="U21" s="162"/>
      <c r="V21" s="163"/>
    </row>
    <row r="22" spans="1:22" ht="15.75">
      <c r="A22" s="160" t="s">
        <v>19</v>
      </c>
      <c r="B22" s="160"/>
      <c r="C22" s="160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</row>
    <row r="23" spans="1:22" ht="12.75">
      <c r="A23" s="82">
        <v>1</v>
      </c>
      <c r="B23" s="20" t="s">
        <v>231</v>
      </c>
      <c r="C23" s="91" t="s">
        <v>232</v>
      </c>
      <c r="D23" s="91" t="s">
        <v>233</v>
      </c>
      <c r="E23" s="91" t="str">
        <f>"0,7729"</f>
        <v>0,7729</v>
      </c>
      <c r="F23" s="91" t="s">
        <v>99</v>
      </c>
      <c r="G23" s="91" t="s">
        <v>14</v>
      </c>
      <c r="H23" s="51" t="s">
        <v>23</v>
      </c>
      <c r="I23" s="51" t="s">
        <v>16</v>
      </c>
      <c r="J23" s="51" t="s">
        <v>17</v>
      </c>
      <c r="K23" s="53"/>
      <c r="L23" s="51" t="s">
        <v>95</v>
      </c>
      <c r="M23" s="52" t="s">
        <v>23</v>
      </c>
      <c r="N23" s="52" t="s">
        <v>23</v>
      </c>
      <c r="O23" s="53"/>
      <c r="P23" s="51" t="s">
        <v>234</v>
      </c>
      <c r="Q23" s="51" t="s">
        <v>235</v>
      </c>
      <c r="R23" s="51" t="s">
        <v>127</v>
      </c>
      <c r="S23" s="53"/>
      <c r="T23" s="48">
        <v>312.5</v>
      </c>
      <c r="U23" s="48" t="str">
        <f>"241,5312"</f>
        <v>241,5312</v>
      </c>
      <c r="V23" s="91" t="s">
        <v>385</v>
      </c>
    </row>
    <row r="24" spans="1:22" s="80" customFormat="1" ht="12.75">
      <c r="A24" s="161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3"/>
    </row>
    <row r="25" spans="1:22" ht="15.75">
      <c r="A25" s="160" t="s">
        <v>102</v>
      </c>
      <c r="B25" s="160"/>
      <c r="C25" s="160"/>
      <c r="D25" s="160"/>
      <c r="E25" s="160"/>
      <c r="F25" s="160"/>
      <c r="G25" s="160"/>
      <c r="H25" s="160"/>
      <c r="I25" s="160"/>
      <c r="J25" s="160"/>
      <c r="K25" s="160"/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</row>
    <row r="26" spans="1:22" ht="12.75">
      <c r="A26" s="100">
        <v>1</v>
      </c>
      <c r="B26" s="101" t="s">
        <v>236</v>
      </c>
      <c r="C26" s="78" t="s">
        <v>237</v>
      </c>
      <c r="D26" s="78" t="s">
        <v>238</v>
      </c>
      <c r="E26" s="78" t="str">
        <f>"0,7200"</f>
        <v>0,7200</v>
      </c>
      <c r="F26" s="78" t="s">
        <v>99</v>
      </c>
      <c r="G26" s="78" t="s">
        <v>14</v>
      </c>
      <c r="H26" s="55" t="s">
        <v>132</v>
      </c>
      <c r="I26" s="55" t="s">
        <v>182</v>
      </c>
      <c r="J26" s="55" t="s">
        <v>163</v>
      </c>
      <c r="K26" s="103"/>
      <c r="L26" s="55" t="s">
        <v>204</v>
      </c>
      <c r="M26" s="55" t="s">
        <v>239</v>
      </c>
      <c r="N26" s="55" t="s">
        <v>240</v>
      </c>
      <c r="O26" s="103"/>
      <c r="P26" s="55" t="s">
        <v>101</v>
      </c>
      <c r="Q26" s="55" t="s">
        <v>241</v>
      </c>
      <c r="R26" s="55" t="s">
        <v>64</v>
      </c>
      <c r="S26" s="103"/>
      <c r="T26" s="49">
        <v>447.5</v>
      </c>
      <c r="U26" s="49" t="str">
        <f>"322,2000"</f>
        <v>322,2000</v>
      </c>
      <c r="V26" s="78" t="s">
        <v>400</v>
      </c>
    </row>
    <row r="27" spans="1:22" ht="12.75">
      <c r="A27" s="104">
        <v>1</v>
      </c>
      <c r="B27" s="105" t="s">
        <v>242</v>
      </c>
      <c r="C27" s="107" t="s">
        <v>243</v>
      </c>
      <c r="D27" s="107" t="s">
        <v>244</v>
      </c>
      <c r="E27" s="107" t="str">
        <f>"0,7235"</f>
        <v>0,7235</v>
      </c>
      <c r="F27" s="107" t="s">
        <v>99</v>
      </c>
      <c r="G27" s="107" t="s">
        <v>14</v>
      </c>
      <c r="H27" s="109" t="s">
        <v>239</v>
      </c>
      <c r="I27" s="109" t="s">
        <v>146</v>
      </c>
      <c r="J27" s="110" t="s">
        <v>111</v>
      </c>
      <c r="K27" s="111"/>
      <c r="L27" s="109" t="s">
        <v>204</v>
      </c>
      <c r="M27" s="110" t="s">
        <v>239</v>
      </c>
      <c r="N27" s="110" t="s">
        <v>239</v>
      </c>
      <c r="O27" s="111"/>
      <c r="P27" s="109" t="s">
        <v>101</v>
      </c>
      <c r="Q27" s="109" t="s">
        <v>142</v>
      </c>
      <c r="R27" s="109" t="s">
        <v>58</v>
      </c>
      <c r="S27" s="111"/>
      <c r="T27" s="35">
        <v>390</v>
      </c>
      <c r="U27" s="35" t="str">
        <f>"282,1650"</f>
        <v>282,1650</v>
      </c>
      <c r="V27" s="107" t="s">
        <v>400</v>
      </c>
    </row>
    <row r="28" spans="1:22" s="80" customFormat="1" ht="12.75">
      <c r="A28" s="161"/>
      <c r="B28" s="162"/>
      <c r="C28" s="162"/>
      <c r="D28" s="162"/>
      <c r="E28" s="162"/>
      <c r="F28" s="162"/>
      <c r="G28" s="162"/>
      <c r="H28" s="162"/>
      <c r="I28" s="162"/>
      <c r="J28" s="162"/>
      <c r="K28" s="162"/>
      <c r="L28" s="162"/>
      <c r="M28" s="162"/>
      <c r="N28" s="162"/>
      <c r="O28" s="162"/>
      <c r="P28" s="162"/>
      <c r="Q28" s="162"/>
      <c r="R28" s="162"/>
      <c r="S28" s="162"/>
      <c r="T28" s="162"/>
      <c r="U28" s="162"/>
      <c r="V28" s="163"/>
    </row>
    <row r="29" spans="1:22" ht="15.75">
      <c r="A29" s="160" t="s">
        <v>37</v>
      </c>
      <c r="B29" s="160"/>
      <c r="C29" s="160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0"/>
    </row>
    <row r="30" spans="1:22" ht="12.75">
      <c r="A30" s="82">
        <v>1</v>
      </c>
      <c r="B30" s="20" t="s">
        <v>245</v>
      </c>
      <c r="C30" s="92" t="s">
        <v>246</v>
      </c>
      <c r="D30" s="92" t="s">
        <v>247</v>
      </c>
      <c r="E30" s="92" t="str">
        <f>"0,6147"</f>
        <v>0,6147</v>
      </c>
      <c r="F30" s="92" t="s">
        <v>99</v>
      </c>
      <c r="G30" s="92" t="s">
        <v>106</v>
      </c>
      <c r="H30" s="67" t="s">
        <v>163</v>
      </c>
      <c r="I30" s="67" t="s">
        <v>58</v>
      </c>
      <c r="J30" s="17" t="s">
        <v>41</v>
      </c>
      <c r="K30" s="12"/>
      <c r="L30" s="67" t="s">
        <v>164</v>
      </c>
      <c r="M30" s="17" t="s">
        <v>240</v>
      </c>
      <c r="N30" s="17" t="s">
        <v>240</v>
      </c>
      <c r="O30" s="12"/>
      <c r="P30" s="67" t="s">
        <v>46</v>
      </c>
      <c r="Q30" s="67" t="s">
        <v>48</v>
      </c>
      <c r="R30" s="17" t="s">
        <v>177</v>
      </c>
      <c r="S30" s="12"/>
      <c r="T30" s="36">
        <v>490</v>
      </c>
      <c r="U30" s="36" t="str">
        <f>"301,2030"</f>
        <v>301,2030</v>
      </c>
      <c r="V30" s="92" t="s">
        <v>385</v>
      </c>
    </row>
    <row r="32" spans="2:3" ht="18">
      <c r="B32" s="8" t="s">
        <v>69</v>
      </c>
      <c r="C32" s="93"/>
    </row>
    <row r="33" spans="2:3" ht="15.75">
      <c r="B33" s="9" t="s">
        <v>147</v>
      </c>
      <c r="C33" s="95"/>
    </row>
    <row r="34" spans="2:6" ht="12.75" customHeight="1">
      <c r="B34" s="159" t="s">
        <v>77</v>
      </c>
      <c r="C34" s="159"/>
      <c r="D34" s="159"/>
      <c r="E34" s="159"/>
      <c r="F34" s="159"/>
    </row>
    <row r="35" spans="2:6" ht="13.5">
      <c r="B35" s="10" t="s">
        <v>71</v>
      </c>
      <c r="C35" s="96" t="s">
        <v>72</v>
      </c>
      <c r="D35" s="96" t="s">
        <v>73</v>
      </c>
      <c r="E35" s="96" t="s">
        <v>74</v>
      </c>
      <c r="F35" s="96" t="s">
        <v>75</v>
      </c>
    </row>
    <row r="36" spans="1:6" ht="12.75">
      <c r="A36" s="38">
        <v>1</v>
      </c>
      <c r="B36" s="21" t="s">
        <v>210</v>
      </c>
      <c r="C36" s="13" t="s">
        <v>77</v>
      </c>
      <c r="D36" s="48">
        <v>60</v>
      </c>
      <c r="E36" s="48">
        <v>365</v>
      </c>
      <c r="F36" s="85">
        <v>406.9385</v>
      </c>
    </row>
    <row r="37" spans="1:6" ht="12.75">
      <c r="A37" s="38">
        <v>2</v>
      </c>
      <c r="B37" s="21" t="s">
        <v>227</v>
      </c>
      <c r="C37" s="13" t="s">
        <v>77</v>
      </c>
      <c r="D37" s="48">
        <v>75</v>
      </c>
      <c r="E37" s="48">
        <v>352.5</v>
      </c>
      <c r="F37" s="85">
        <v>340.3387</v>
      </c>
    </row>
    <row r="38" spans="1:6" ht="12.75">
      <c r="A38" s="38">
        <v>3</v>
      </c>
      <c r="B38" s="21" t="s">
        <v>199</v>
      </c>
      <c r="C38" s="13" t="s">
        <v>77</v>
      </c>
      <c r="D38" s="48">
        <v>52</v>
      </c>
      <c r="E38" s="48">
        <v>247.5</v>
      </c>
      <c r="F38" s="85">
        <v>309.0037</v>
      </c>
    </row>
    <row r="230" spans="4:6" ht="12.75">
      <c r="D230" s="97"/>
      <c r="E230" s="97"/>
      <c r="F230" s="97"/>
    </row>
    <row r="231" spans="4:6" ht="12.75">
      <c r="D231" s="97"/>
      <c r="E231" s="97"/>
      <c r="F231" s="97"/>
    </row>
    <row r="254" ht="15" customHeight="1"/>
  </sheetData>
  <sheetProtection/>
  <mergeCells count="30">
    <mergeCell ref="F3:F4"/>
    <mergeCell ref="T3:T4"/>
    <mergeCell ref="A24:V24"/>
    <mergeCell ref="A28:V28"/>
    <mergeCell ref="U3:U4"/>
    <mergeCell ref="G3:G4"/>
    <mergeCell ref="A3:A4"/>
    <mergeCell ref="A5:V5"/>
    <mergeCell ref="V3:V4"/>
    <mergeCell ref="A11:V11"/>
    <mergeCell ref="A7:V7"/>
    <mergeCell ref="A8:V8"/>
    <mergeCell ref="H3:K3"/>
    <mergeCell ref="P3:S3"/>
    <mergeCell ref="L3:O3"/>
    <mergeCell ref="B1:V2"/>
    <mergeCell ref="B3:B4"/>
    <mergeCell ref="C3:C4"/>
    <mergeCell ref="D3:D4"/>
    <mergeCell ref="E3:E4"/>
    <mergeCell ref="B34:F34"/>
    <mergeCell ref="A25:V25"/>
    <mergeCell ref="A29:V29"/>
    <mergeCell ref="A10:V10"/>
    <mergeCell ref="A14:V14"/>
    <mergeCell ref="A18:V18"/>
    <mergeCell ref="A21:V21"/>
    <mergeCell ref="A22:V22"/>
    <mergeCell ref="A15:V15"/>
    <mergeCell ref="A19:V19"/>
  </mergeCells>
  <printOptions/>
  <pageMargins left="0.7" right="0.7" top="0.75" bottom="0.75" header="0.3" footer="0.3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9"/>
  <sheetViews>
    <sheetView workbookViewId="0" topLeftCell="A1">
      <selection activeCell="E16" sqref="E16"/>
    </sheetView>
  </sheetViews>
  <sheetFormatPr defaultColWidth="9.125" defaultRowHeight="12.75"/>
  <cols>
    <col min="1" max="1" width="9.125" style="37" customWidth="1"/>
    <col min="2" max="2" width="23.25390625" style="3" customWidth="1"/>
    <col min="3" max="3" width="26.875" style="4" bestFit="1" customWidth="1"/>
    <col min="4" max="4" width="10.625" style="4" bestFit="1" customWidth="1"/>
    <col min="5" max="5" width="8.375" style="4" bestFit="1" customWidth="1"/>
    <col min="6" max="6" width="21.125" style="4" customWidth="1"/>
    <col min="7" max="7" width="20.875" style="4" customWidth="1"/>
    <col min="8" max="10" width="5.625" style="1" bestFit="1" customWidth="1"/>
    <col min="11" max="11" width="4.625" style="1" bestFit="1" customWidth="1"/>
    <col min="12" max="12" width="11.25390625" style="3" bestFit="1" customWidth="1"/>
    <col min="13" max="13" width="8.625" style="1" bestFit="1" customWidth="1"/>
    <col min="14" max="14" width="17.375" style="4" customWidth="1"/>
    <col min="15" max="16384" width="9.125" style="1" customWidth="1"/>
  </cols>
  <sheetData>
    <row r="1" spans="2:14" ht="111.75" customHeight="1">
      <c r="B1" s="168" t="s">
        <v>450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</row>
    <row r="2" spans="2:14" ht="104.25" customHeight="1" thickBot="1">
      <c r="B2" s="171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3"/>
    </row>
    <row r="3" spans="1:14" s="2" customFormat="1" ht="12.75" customHeight="1">
      <c r="A3" s="184" t="s">
        <v>414</v>
      </c>
      <c r="B3" s="174" t="s">
        <v>0</v>
      </c>
      <c r="C3" s="176" t="s">
        <v>415</v>
      </c>
      <c r="D3" s="178" t="s">
        <v>416</v>
      </c>
      <c r="E3" s="167" t="s">
        <v>9</v>
      </c>
      <c r="F3" s="167" t="s">
        <v>7</v>
      </c>
      <c r="G3" s="167" t="s">
        <v>417</v>
      </c>
      <c r="H3" s="167" t="s">
        <v>2</v>
      </c>
      <c r="I3" s="167"/>
      <c r="J3" s="167"/>
      <c r="K3" s="167"/>
      <c r="L3" s="167" t="s">
        <v>418</v>
      </c>
      <c r="M3" s="167" t="s">
        <v>6</v>
      </c>
      <c r="N3" s="191" t="s">
        <v>5</v>
      </c>
    </row>
    <row r="4" spans="1:14" s="2" customFormat="1" ht="21" customHeight="1">
      <c r="A4" s="185"/>
      <c r="B4" s="175"/>
      <c r="C4" s="177"/>
      <c r="D4" s="179"/>
      <c r="E4" s="177"/>
      <c r="F4" s="177"/>
      <c r="G4" s="177"/>
      <c r="H4" s="81">
        <v>1</v>
      </c>
      <c r="I4" s="81">
        <v>2</v>
      </c>
      <c r="J4" s="81">
        <v>3</v>
      </c>
      <c r="K4" s="81" t="s">
        <v>8</v>
      </c>
      <c r="L4" s="177"/>
      <c r="M4" s="177"/>
      <c r="N4" s="192"/>
    </row>
    <row r="5" spans="1:14" ht="15.75" customHeight="1">
      <c r="A5" s="201" t="s">
        <v>102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</row>
    <row r="6" spans="1:14" ht="12.75">
      <c r="A6" s="47" t="s">
        <v>419</v>
      </c>
      <c r="B6" s="43" t="s">
        <v>373</v>
      </c>
      <c r="C6" s="98" t="s">
        <v>374</v>
      </c>
      <c r="D6" s="98" t="s">
        <v>375</v>
      </c>
      <c r="E6" s="98" t="str">
        <f>"0,6983"</f>
        <v>0,6983</v>
      </c>
      <c r="F6" s="98" t="s">
        <v>390</v>
      </c>
      <c r="G6" s="98" t="s">
        <v>14</v>
      </c>
      <c r="H6" s="51" t="s">
        <v>53</v>
      </c>
      <c r="I6" s="75" t="s">
        <v>376</v>
      </c>
      <c r="J6" s="75" t="s">
        <v>376</v>
      </c>
      <c r="K6" s="74"/>
      <c r="L6" s="76" t="s">
        <v>53</v>
      </c>
      <c r="M6" s="76" t="str">
        <f>"132,6770"</f>
        <v>132,6770</v>
      </c>
      <c r="N6" s="98" t="s">
        <v>383</v>
      </c>
    </row>
    <row r="7" spans="1:14" ht="12.75">
      <c r="A7" s="202"/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</row>
    <row r="8" spans="1:14" ht="15.75">
      <c r="A8" s="201" t="s">
        <v>37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</row>
    <row r="9" spans="1:14" ht="12.75">
      <c r="A9" s="47" t="s">
        <v>419</v>
      </c>
      <c r="B9" s="43" t="s">
        <v>344</v>
      </c>
      <c r="C9" s="26" t="s">
        <v>377</v>
      </c>
      <c r="D9" s="26" t="s">
        <v>378</v>
      </c>
      <c r="E9" s="26" t="str">
        <f>"0,5848"</f>
        <v>0,5848</v>
      </c>
      <c r="F9" s="26" t="s">
        <v>390</v>
      </c>
      <c r="G9" s="26" t="s">
        <v>14</v>
      </c>
      <c r="H9" s="67" t="s">
        <v>47</v>
      </c>
      <c r="I9" s="68" t="s">
        <v>265</v>
      </c>
      <c r="J9" s="68" t="s">
        <v>265</v>
      </c>
      <c r="K9" s="19"/>
      <c r="L9" s="47" t="s">
        <v>47</v>
      </c>
      <c r="M9" s="47" t="str">
        <f>"128,0887"</f>
        <v>128,0887</v>
      </c>
      <c r="N9" s="26" t="s">
        <v>24</v>
      </c>
    </row>
  </sheetData>
  <sheetProtection/>
  <mergeCells count="15">
    <mergeCell ref="A8:N8"/>
    <mergeCell ref="H3:K3"/>
    <mergeCell ref="L3:L4"/>
    <mergeCell ref="M3:M4"/>
    <mergeCell ref="A3:A4"/>
    <mergeCell ref="A5:N5"/>
    <mergeCell ref="A7:N7"/>
    <mergeCell ref="N3:N4"/>
    <mergeCell ref="B1:N2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C21" sqref="C21"/>
    </sheetView>
  </sheetViews>
  <sheetFormatPr defaultColWidth="8.75390625" defaultRowHeight="12.75"/>
  <cols>
    <col min="1" max="1" width="9.125" style="38" customWidth="1"/>
    <col min="2" max="2" width="20.625" style="7" customWidth="1"/>
    <col min="3" max="3" width="25.625" style="94" customWidth="1"/>
    <col min="4" max="4" width="10.625" style="94" bestFit="1" customWidth="1"/>
    <col min="5" max="5" width="8.375" style="94" bestFit="1" customWidth="1"/>
    <col min="6" max="6" width="22.75390625" style="94" bestFit="1" customWidth="1"/>
    <col min="7" max="7" width="24.125" style="94" bestFit="1" customWidth="1"/>
    <col min="8" max="8" width="4.625" style="7" bestFit="1" customWidth="1"/>
    <col min="9" max="10" width="5.625" style="7" bestFit="1" customWidth="1"/>
    <col min="11" max="11" width="4.625" style="7" bestFit="1" customWidth="1"/>
    <col min="12" max="12" width="11.25390625" style="86" bestFit="1" customWidth="1"/>
    <col min="13" max="13" width="7.625" style="7" bestFit="1" customWidth="1"/>
    <col min="14" max="14" width="15.625" style="94" customWidth="1"/>
  </cols>
  <sheetData>
    <row r="1" spans="1:14" s="1" customFormat="1" ht="119.25" customHeight="1">
      <c r="A1" s="37"/>
      <c r="B1" s="168" t="s">
        <v>451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</row>
    <row r="2" spans="1:14" s="1" customFormat="1" ht="96.75" customHeight="1" thickBot="1">
      <c r="A2" s="37"/>
      <c r="B2" s="171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3"/>
    </row>
    <row r="3" spans="1:14" s="2" customFormat="1" ht="12.75" customHeight="1">
      <c r="A3" s="184" t="s">
        <v>414</v>
      </c>
      <c r="B3" s="174" t="s">
        <v>0</v>
      </c>
      <c r="C3" s="176" t="s">
        <v>415</v>
      </c>
      <c r="D3" s="178" t="s">
        <v>416</v>
      </c>
      <c r="E3" s="167" t="s">
        <v>9</v>
      </c>
      <c r="F3" s="167" t="s">
        <v>7</v>
      </c>
      <c r="G3" s="167" t="s">
        <v>417</v>
      </c>
      <c r="H3" s="167" t="s">
        <v>2</v>
      </c>
      <c r="I3" s="167"/>
      <c r="J3" s="167"/>
      <c r="K3" s="167"/>
      <c r="L3" s="182" t="s">
        <v>418</v>
      </c>
      <c r="M3" s="167" t="s">
        <v>6</v>
      </c>
      <c r="N3" s="186" t="s">
        <v>5</v>
      </c>
    </row>
    <row r="4" spans="1:14" s="2" customFormat="1" ht="21" customHeight="1">
      <c r="A4" s="185"/>
      <c r="B4" s="175"/>
      <c r="C4" s="177"/>
      <c r="D4" s="179"/>
      <c r="E4" s="177"/>
      <c r="F4" s="177"/>
      <c r="G4" s="177"/>
      <c r="H4" s="81">
        <v>1</v>
      </c>
      <c r="I4" s="81">
        <v>2</v>
      </c>
      <c r="J4" s="81">
        <v>3</v>
      </c>
      <c r="K4" s="81" t="s">
        <v>8</v>
      </c>
      <c r="L4" s="183"/>
      <c r="M4" s="177"/>
      <c r="N4" s="187"/>
    </row>
    <row r="5" spans="1:14" ht="12.75" customHeight="1">
      <c r="A5" s="160" t="s">
        <v>102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</row>
    <row r="6" spans="1:14" ht="12.75">
      <c r="A6" s="82">
        <v>1</v>
      </c>
      <c r="B6" s="16" t="s">
        <v>248</v>
      </c>
      <c r="C6" s="92" t="s">
        <v>249</v>
      </c>
      <c r="D6" s="92" t="s">
        <v>250</v>
      </c>
      <c r="E6" s="92" t="str">
        <f>"0,9890"</f>
        <v>0,9890</v>
      </c>
      <c r="F6" s="92" t="s">
        <v>35</v>
      </c>
      <c r="G6" s="92" t="s">
        <v>14</v>
      </c>
      <c r="H6" s="67" t="s">
        <v>218</v>
      </c>
      <c r="I6" s="67" t="s">
        <v>16</v>
      </c>
      <c r="J6" s="67" t="s">
        <v>219</v>
      </c>
      <c r="K6" s="15"/>
      <c r="L6" s="36">
        <v>92.5</v>
      </c>
      <c r="M6" s="34" t="str">
        <f>"91,4825"</f>
        <v>91,4825</v>
      </c>
      <c r="N6" s="92" t="s">
        <v>24</v>
      </c>
    </row>
    <row r="7" spans="1:14" ht="12.75">
      <c r="A7" s="199"/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</row>
    <row r="8" spans="1:14" ht="15.75">
      <c r="A8" s="160" t="s">
        <v>10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</row>
    <row r="9" spans="1:14" ht="12.75">
      <c r="A9" s="82">
        <v>1</v>
      </c>
      <c r="B9" s="16" t="s">
        <v>251</v>
      </c>
      <c r="C9" s="91" t="s">
        <v>252</v>
      </c>
      <c r="D9" s="91" t="s">
        <v>253</v>
      </c>
      <c r="E9" s="91" t="str">
        <f>"0,8542"</f>
        <v>0,8542</v>
      </c>
      <c r="F9" s="91" t="s">
        <v>35</v>
      </c>
      <c r="G9" s="91" t="s">
        <v>106</v>
      </c>
      <c r="H9" s="51" t="s">
        <v>95</v>
      </c>
      <c r="I9" s="51" t="s">
        <v>30</v>
      </c>
      <c r="J9" s="53"/>
      <c r="K9" s="53"/>
      <c r="L9" s="48">
        <v>75</v>
      </c>
      <c r="M9" s="54" t="str">
        <f>"64,0650"</f>
        <v>64,0650</v>
      </c>
      <c r="N9" s="91" t="s">
        <v>383</v>
      </c>
    </row>
    <row r="10" spans="1:14" ht="12.75">
      <c r="A10" s="199"/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</row>
    <row r="11" spans="1:14" ht="15.75">
      <c r="A11" s="160" t="s">
        <v>102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</row>
    <row r="12" spans="1:14" ht="12.75">
      <c r="A12" s="82">
        <v>1</v>
      </c>
      <c r="B12" s="16" t="s">
        <v>254</v>
      </c>
      <c r="C12" s="91" t="s">
        <v>255</v>
      </c>
      <c r="D12" s="91" t="s">
        <v>256</v>
      </c>
      <c r="E12" s="91" t="str">
        <f>"0,7278"</f>
        <v>0,7278</v>
      </c>
      <c r="F12" s="91" t="s">
        <v>35</v>
      </c>
      <c r="G12" s="91" t="s">
        <v>14</v>
      </c>
      <c r="H12" s="51" t="s">
        <v>23</v>
      </c>
      <c r="I12" s="52" t="s">
        <v>15</v>
      </c>
      <c r="J12" s="52" t="s">
        <v>15</v>
      </c>
      <c r="K12" s="53"/>
      <c r="L12" s="48">
        <v>80</v>
      </c>
      <c r="M12" s="54" t="str">
        <f>"58,2240"</f>
        <v>58,2240</v>
      </c>
      <c r="N12" s="91" t="s">
        <v>397</v>
      </c>
    </row>
    <row r="13" spans="1:14" ht="12.75">
      <c r="A13" s="199"/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</row>
    <row r="14" spans="1:14" ht="15.75">
      <c r="A14" s="160" t="s">
        <v>37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</row>
    <row r="15" spans="1:14" ht="12.75">
      <c r="A15" s="82">
        <v>1</v>
      </c>
      <c r="B15" s="16" t="s">
        <v>257</v>
      </c>
      <c r="C15" s="91" t="s">
        <v>258</v>
      </c>
      <c r="D15" s="91" t="s">
        <v>259</v>
      </c>
      <c r="E15" s="91" t="str">
        <f>"0,6250"</f>
        <v>0,6250</v>
      </c>
      <c r="F15" s="91" t="s">
        <v>35</v>
      </c>
      <c r="G15" s="91" t="s">
        <v>14</v>
      </c>
      <c r="H15" s="51" t="s">
        <v>16</v>
      </c>
      <c r="I15" s="51" t="s">
        <v>260</v>
      </c>
      <c r="J15" s="52" t="s">
        <v>165</v>
      </c>
      <c r="K15" s="53"/>
      <c r="L15" s="48">
        <v>102.5</v>
      </c>
      <c r="M15" s="54" t="str">
        <f>"64,0625"</f>
        <v>64,0625</v>
      </c>
      <c r="N15" s="91" t="s">
        <v>383</v>
      </c>
    </row>
  </sheetData>
  <sheetProtection/>
  <mergeCells count="19">
    <mergeCell ref="M3:M4"/>
    <mergeCell ref="A3:A4"/>
    <mergeCell ref="A7:N7"/>
    <mergeCell ref="A10:N10"/>
    <mergeCell ref="A13:N13"/>
    <mergeCell ref="A5:N5"/>
    <mergeCell ref="A8:N8"/>
    <mergeCell ref="A11:N11"/>
    <mergeCell ref="N3:N4"/>
    <mergeCell ref="A14:N14"/>
    <mergeCell ref="B1:N2"/>
    <mergeCell ref="B3:B4"/>
    <mergeCell ref="C3:C4"/>
    <mergeCell ref="D3:D4"/>
    <mergeCell ref="E3:E4"/>
    <mergeCell ref="F3:F4"/>
    <mergeCell ref="G3:G4"/>
    <mergeCell ref="H3:K3"/>
    <mergeCell ref="L3:L4"/>
  </mergeCells>
  <printOptions/>
  <pageMargins left="0.7" right="0.7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31"/>
  <sheetViews>
    <sheetView workbookViewId="0" topLeftCell="A1">
      <selection activeCell="P4" sqref="P4"/>
    </sheetView>
  </sheetViews>
  <sheetFormatPr defaultColWidth="8.75390625" defaultRowHeight="12.75"/>
  <cols>
    <col min="1" max="1" width="9.125" style="38" customWidth="1"/>
    <col min="2" max="2" width="20.375" style="7" customWidth="1"/>
    <col min="3" max="3" width="27.125" style="94" bestFit="1" customWidth="1"/>
    <col min="4" max="4" width="10.625" style="94" bestFit="1" customWidth="1"/>
    <col min="5" max="5" width="8.375" style="94" bestFit="1" customWidth="1"/>
    <col min="6" max="6" width="22.75390625" style="94" bestFit="1" customWidth="1"/>
    <col min="7" max="7" width="21.75390625" style="94" customWidth="1"/>
    <col min="8" max="10" width="5.625" style="7" bestFit="1" customWidth="1"/>
    <col min="11" max="11" width="4.625" style="7" bestFit="1" customWidth="1"/>
    <col min="12" max="12" width="11.25390625" style="86" bestFit="1" customWidth="1"/>
    <col min="13" max="13" width="8.625" style="7" bestFit="1" customWidth="1"/>
    <col min="14" max="14" width="14.375" style="94" customWidth="1"/>
  </cols>
  <sheetData>
    <row r="1" spans="1:14" s="1" customFormat="1" ht="95.25" customHeight="1">
      <c r="A1" s="37"/>
      <c r="B1" s="168" t="s">
        <v>452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</row>
    <row r="2" spans="1:14" s="1" customFormat="1" ht="108" customHeight="1" thickBot="1">
      <c r="A2" s="37"/>
      <c r="B2" s="171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3"/>
    </row>
    <row r="3" spans="1:14" s="2" customFormat="1" ht="12.75" customHeight="1">
      <c r="A3" s="184" t="s">
        <v>414</v>
      </c>
      <c r="B3" s="174" t="s">
        <v>0</v>
      </c>
      <c r="C3" s="176" t="s">
        <v>415</v>
      </c>
      <c r="D3" s="178" t="s">
        <v>416</v>
      </c>
      <c r="E3" s="167" t="s">
        <v>9</v>
      </c>
      <c r="F3" s="167" t="s">
        <v>7</v>
      </c>
      <c r="G3" s="167" t="s">
        <v>417</v>
      </c>
      <c r="H3" s="167" t="s">
        <v>3</v>
      </c>
      <c r="I3" s="167"/>
      <c r="J3" s="167"/>
      <c r="K3" s="167"/>
      <c r="L3" s="182" t="s">
        <v>418</v>
      </c>
      <c r="M3" s="167" t="s">
        <v>6</v>
      </c>
      <c r="N3" s="186" t="s">
        <v>5</v>
      </c>
    </row>
    <row r="4" spans="1:14" s="2" customFormat="1" ht="21" customHeight="1">
      <c r="A4" s="185"/>
      <c r="B4" s="175"/>
      <c r="C4" s="177"/>
      <c r="D4" s="179"/>
      <c r="E4" s="177"/>
      <c r="F4" s="177"/>
      <c r="G4" s="177"/>
      <c r="H4" s="81">
        <v>1</v>
      </c>
      <c r="I4" s="81">
        <v>2</v>
      </c>
      <c r="J4" s="81">
        <v>3</v>
      </c>
      <c r="K4" s="81" t="s">
        <v>8</v>
      </c>
      <c r="L4" s="183"/>
      <c r="M4" s="177"/>
      <c r="N4" s="187"/>
    </row>
    <row r="5" spans="1:14" ht="16.5" customHeight="1">
      <c r="A5" s="160" t="s">
        <v>81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</row>
    <row r="6" spans="1:14" ht="12.75">
      <c r="A6" s="82">
        <v>1</v>
      </c>
      <c r="B6" s="16" t="s">
        <v>82</v>
      </c>
      <c r="C6" s="91" t="s">
        <v>83</v>
      </c>
      <c r="D6" s="91" t="s">
        <v>84</v>
      </c>
      <c r="E6" s="91" t="str">
        <f>"1,2635"</f>
        <v>1,2635</v>
      </c>
      <c r="F6" s="91" t="s">
        <v>390</v>
      </c>
      <c r="G6" s="91" t="s">
        <v>14</v>
      </c>
      <c r="H6" s="51" t="s">
        <v>219</v>
      </c>
      <c r="I6" s="51" t="s">
        <v>260</v>
      </c>
      <c r="J6" s="51" t="s">
        <v>164</v>
      </c>
      <c r="K6" s="53"/>
      <c r="L6" s="48">
        <v>105</v>
      </c>
      <c r="M6" s="54" t="str">
        <f>"132,6675"</f>
        <v>132,6675</v>
      </c>
      <c r="N6" s="91" t="s">
        <v>395</v>
      </c>
    </row>
    <row r="7" spans="1:14" ht="12.75">
      <c r="A7" s="199"/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</row>
    <row r="8" spans="1:14" ht="15.75">
      <c r="A8" s="203" t="s">
        <v>205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</row>
    <row r="9" spans="1:14" ht="12.75">
      <c r="A9" s="82">
        <v>1</v>
      </c>
      <c r="B9" s="16" t="s">
        <v>278</v>
      </c>
      <c r="C9" s="91" t="s">
        <v>279</v>
      </c>
      <c r="D9" s="91" t="s">
        <v>280</v>
      </c>
      <c r="E9" s="91" t="str">
        <f>"1,1766"</f>
        <v>1,1766</v>
      </c>
      <c r="F9" s="91" t="s">
        <v>155</v>
      </c>
      <c r="G9" s="91" t="s">
        <v>14</v>
      </c>
      <c r="H9" s="51" t="s">
        <v>15</v>
      </c>
      <c r="I9" s="52" t="s">
        <v>16</v>
      </c>
      <c r="J9" s="52" t="s">
        <v>16</v>
      </c>
      <c r="K9" s="53"/>
      <c r="L9" s="48">
        <v>85</v>
      </c>
      <c r="M9" s="54" t="str">
        <f>"100,0110"</f>
        <v>100,0110</v>
      </c>
      <c r="N9" s="91" t="s">
        <v>389</v>
      </c>
    </row>
    <row r="10" spans="1:14" ht="12.75">
      <c r="A10" s="199"/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</row>
    <row r="11" spans="1:14" ht="15.75">
      <c r="A11" s="160" t="s">
        <v>10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</row>
    <row r="12" spans="1:14" ht="12.75">
      <c r="A12" s="82">
        <v>1</v>
      </c>
      <c r="B12" s="16" t="s">
        <v>281</v>
      </c>
      <c r="C12" s="91" t="s">
        <v>282</v>
      </c>
      <c r="D12" s="91" t="s">
        <v>94</v>
      </c>
      <c r="E12" s="91" t="str">
        <f>"1,1192"</f>
        <v>1,1192</v>
      </c>
      <c r="F12" s="91" t="s">
        <v>155</v>
      </c>
      <c r="G12" s="91" t="s">
        <v>14</v>
      </c>
      <c r="H12" s="51" t="s">
        <v>30</v>
      </c>
      <c r="I12" s="51" t="s">
        <v>15</v>
      </c>
      <c r="J12" s="52" t="s">
        <v>219</v>
      </c>
      <c r="K12" s="53"/>
      <c r="L12" s="48">
        <v>85</v>
      </c>
      <c r="M12" s="54" t="str">
        <f>"95,1320"</f>
        <v>95,1320</v>
      </c>
      <c r="N12" s="91" t="s">
        <v>389</v>
      </c>
    </row>
    <row r="13" spans="1:14" ht="12.75">
      <c r="A13" s="199"/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</row>
    <row r="14" spans="1:14" ht="15.75">
      <c r="A14" s="160" t="s">
        <v>19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</row>
    <row r="15" spans="1:14" ht="12.75">
      <c r="A15" s="82">
        <v>1</v>
      </c>
      <c r="B15" s="16" t="s">
        <v>224</v>
      </c>
      <c r="C15" s="91" t="s">
        <v>225</v>
      </c>
      <c r="D15" s="91" t="s">
        <v>226</v>
      </c>
      <c r="E15" s="91" t="str">
        <f>"1,0613"</f>
        <v>1,0613</v>
      </c>
      <c r="F15" s="91" t="s">
        <v>35</v>
      </c>
      <c r="G15" s="91" t="s">
        <v>14</v>
      </c>
      <c r="H15" s="51" t="s">
        <v>204</v>
      </c>
      <c r="I15" s="51" t="s">
        <v>164</v>
      </c>
      <c r="J15" s="51" t="s">
        <v>165</v>
      </c>
      <c r="K15" s="14"/>
      <c r="L15" s="48">
        <v>110</v>
      </c>
      <c r="M15" s="54" t="str">
        <f>"116,7430"</f>
        <v>116,7430</v>
      </c>
      <c r="N15" s="91" t="s">
        <v>379</v>
      </c>
    </row>
    <row r="16" spans="1:14" ht="12.75">
      <c r="A16" s="199"/>
      <c r="B16" s="199"/>
      <c r="C16" s="199"/>
      <c r="D16" s="199"/>
      <c r="E16" s="199"/>
      <c r="F16" s="199"/>
      <c r="G16" s="199"/>
      <c r="H16" s="199"/>
      <c r="I16" s="199"/>
      <c r="J16" s="199"/>
      <c r="K16" s="199"/>
      <c r="L16" s="199"/>
      <c r="M16" s="199"/>
      <c r="N16" s="199"/>
    </row>
    <row r="17" spans="1:14" ht="15.75">
      <c r="A17" s="160" t="s">
        <v>19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</row>
    <row r="18" spans="1:14" ht="12.75">
      <c r="A18" s="82">
        <v>1</v>
      </c>
      <c r="B18" s="16" t="s">
        <v>283</v>
      </c>
      <c r="C18" s="91" t="s">
        <v>284</v>
      </c>
      <c r="D18" s="91" t="s">
        <v>285</v>
      </c>
      <c r="E18" s="91" t="str">
        <f>"0,7881"</f>
        <v>0,7881</v>
      </c>
      <c r="F18" s="91" t="s">
        <v>155</v>
      </c>
      <c r="G18" s="91" t="s">
        <v>14</v>
      </c>
      <c r="H18" s="52" t="s">
        <v>163</v>
      </c>
      <c r="I18" s="51" t="s">
        <v>58</v>
      </c>
      <c r="J18" s="52" t="s">
        <v>286</v>
      </c>
      <c r="K18" s="14"/>
      <c r="L18" s="48">
        <v>170</v>
      </c>
      <c r="M18" s="54" t="str">
        <f>"133,9770"</f>
        <v>133,9770</v>
      </c>
      <c r="N18" s="91" t="s">
        <v>394</v>
      </c>
    </row>
    <row r="19" spans="1:14" ht="12.75">
      <c r="A19" s="199"/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</row>
    <row r="20" spans="1:14" ht="15.75">
      <c r="A20" s="160" t="s">
        <v>102</v>
      </c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</row>
    <row r="21" spans="1:14" ht="12.75">
      <c r="A21" s="82">
        <v>1</v>
      </c>
      <c r="B21" s="16" t="s">
        <v>287</v>
      </c>
      <c r="C21" s="91" t="s">
        <v>288</v>
      </c>
      <c r="D21" s="91" t="s">
        <v>256</v>
      </c>
      <c r="E21" s="91" t="str">
        <f>"0,7278"</f>
        <v>0,7278</v>
      </c>
      <c r="F21" s="91" t="s">
        <v>35</v>
      </c>
      <c r="G21" s="91" t="s">
        <v>289</v>
      </c>
      <c r="H21" s="51" t="s">
        <v>58</v>
      </c>
      <c r="I21" s="51" t="s">
        <v>65</v>
      </c>
      <c r="J21" s="51" t="s">
        <v>198</v>
      </c>
      <c r="K21" s="53"/>
      <c r="L21" s="48">
        <v>187.5</v>
      </c>
      <c r="M21" s="54" t="str">
        <f>"136,4625"</f>
        <v>136,4625</v>
      </c>
      <c r="N21" s="91" t="s">
        <v>382</v>
      </c>
    </row>
    <row r="22" spans="1:14" ht="12.75">
      <c r="A22" s="199"/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</row>
    <row r="23" spans="1:14" ht="15.75">
      <c r="A23" s="160" t="s">
        <v>117</v>
      </c>
      <c r="B23" s="160"/>
      <c r="C23" s="160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0"/>
    </row>
    <row r="24" spans="1:14" ht="12.75">
      <c r="A24" s="100">
        <v>1</v>
      </c>
      <c r="B24" s="112" t="s">
        <v>290</v>
      </c>
      <c r="C24" s="78" t="s">
        <v>291</v>
      </c>
      <c r="D24" s="78" t="s">
        <v>292</v>
      </c>
      <c r="E24" s="78" t="str">
        <f>"0,6905"</f>
        <v>0,6905</v>
      </c>
      <c r="F24" s="78" t="s">
        <v>35</v>
      </c>
      <c r="G24" s="78" t="s">
        <v>14</v>
      </c>
      <c r="H24" s="55" t="s">
        <v>46</v>
      </c>
      <c r="I24" s="55" t="s">
        <v>188</v>
      </c>
      <c r="J24" s="56" t="s">
        <v>265</v>
      </c>
      <c r="K24" s="57"/>
      <c r="L24" s="49">
        <v>220</v>
      </c>
      <c r="M24" s="58" t="str">
        <f>"151,9100"</f>
        <v>151,9100</v>
      </c>
      <c r="N24" s="78" t="s">
        <v>383</v>
      </c>
    </row>
    <row r="25" spans="1:14" ht="12.75">
      <c r="A25" s="104">
        <v>2</v>
      </c>
      <c r="B25" s="120" t="s">
        <v>293</v>
      </c>
      <c r="C25" s="79" t="s">
        <v>294</v>
      </c>
      <c r="D25" s="79" t="s">
        <v>295</v>
      </c>
      <c r="E25" s="79" t="str">
        <f>"0,6704"</f>
        <v>0,6704</v>
      </c>
      <c r="F25" s="79" t="s">
        <v>35</v>
      </c>
      <c r="G25" s="79" t="s">
        <v>14</v>
      </c>
      <c r="H25" s="63" t="s">
        <v>47</v>
      </c>
      <c r="I25" s="63" t="s">
        <v>188</v>
      </c>
      <c r="J25" s="64" t="s">
        <v>265</v>
      </c>
      <c r="K25" s="65"/>
      <c r="L25" s="50">
        <v>220</v>
      </c>
      <c r="M25" s="66" t="str">
        <f>"147,4880"</f>
        <v>147,4880</v>
      </c>
      <c r="N25" s="79" t="s">
        <v>383</v>
      </c>
    </row>
    <row r="26" spans="1:14" ht="12.7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</row>
    <row r="27" spans="1:14" ht="15.75">
      <c r="A27" s="160" t="s">
        <v>37</v>
      </c>
      <c r="B27" s="160"/>
      <c r="C27" s="160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</row>
    <row r="28" spans="1:14" ht="12.75">
      <c r="A28" s="82">
        <v>1</v>
      </c>
      <c r="B28" s="16" t="s">
        <v>245</v>
      </c>
      <c r="C28" s="91" t="s">
        <v>246</v>
      </c>
      <c r="D28" s="91" t="s">
        <v>247</v>
      </c>
      <c r="E28" s="91" t="str">
        <f>"0,6147"</f>
        <v>0,6147</v>
      </c>
      <c r="F28" s="91" t="s">
        <v>99</v>
      </c>
      <c r="G28" s="91" t="s">
        <v>106</v>
      </c>
      <c r="H28" s="67" t="s">
        <v>46</v>
      </c>
      <c r="I28" s="67" t="s">
        <v>48</v>
      </c>
      <c r="J28" s="17" t="s">
        <v>177</v>
      </c>
      <c r="K28" s="18"/>
      <c r="L28" s="157">
        <v>215</v>
      </c>
      <c r="M28" s="76" t="str">
        <f>"132,1605"</f>
        <v>132,1605</v>
      </c>
      <c r="N28" s="91" t="s">
        <v>385</v>
      </c>
    </row>
    <row r="29" spans="1:14" ht="12.75">
      <c r="A29" s="199"/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</row>
    <row r="30" spans="1:14" ht="15.75">
      <c r="A30" s="160" t="s">
        <v>60</v>
      </c>
      <c r="B30" s="160"/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</row>
    <row r="31" spans="1:14" ht="12.75">
      <c r="A31" s="82">
        <v>1</v>
      </c>
      <c r="B31" s="16" t="s">
        <v>296</v>
      </c>
      <c r="C31" s="91" t="s">
        <v>297</v>
      </c>
      <c r="D31" s="91" t="s">
        <v>298</v>
      </c>
      <c r="E31" s="91" t="str">
        <f>"0,6009"</f>
        <v>0,6009</v>
      </c>
      <c r="F31" s="91" t="s">
        <v>35</v>
      </c>
      <c r="G31" s="91" t="s">
        <v>14</v>
      </c>
      <c r="H31" s="51" t="s">
        <v>47</v>
      </c>
      <c r="I31" s="51" t="s">
        <v>188</v>
      </c>
      <c r="J31" s="51" t="s">
        <v>299</v>
      </c>
      <c r="K31" s="14"/>
      <c r="L31" s="48">
        <v>227.5</v>
      </c>
      <c r="M31" s="54" t="str">
        <f>"136,7047"</f>
        <v>136,7047</v>
      </c>
      <c r="N31" s="92" t="s">
        <v>396</v>
      </c>
    </row>
  </sheetData>
  <sheetProtection/>
  <mergeCells count="29">
    <mergeCell ref="A17:N17"/>
    <mergeCell ref="A14:N14"/>
    <mergeCell ref="A11:N11"/>
    <mergeCell ref="A8:N8"/>
    <mergeCell ref="A19:N19"/>
    <mergeCell ref="A22:N22"/>
    <mergeCell ref="A26:N26"/>
    <mergeCell ref="A29:N29"/>
    <mergeCell ref="A30:N30"/>
    <mergeCell ref="A27:N27"/>
    <mergeCell ref="A23:N23"/>
    <mergeCell ref="A20:N20"/>
    <mergeCell ref="A3:A4"/>
    <mergeCell ref="A5:N5"/>
    <mergeCell ref="A7:N7"/>
    <mergeCell ref="A10:N10"/>
    <mergeCell ref="A13:N13"/>
    <mergeCell ref="A16:N16"/>
    <mergeCell ref="N3:N4"/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</mergeCells>
  <printOptions/>
  <pageMargins left="0.7" right="0.7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0"/>
  <sheetViews>
    <sheetView workbookViewId="0" topLeftCell="A1">
      <selection activeCell="F26" sqref="F25:F26"/>
    </sheetView>
  </sheetViews>
  <sheetFormatPr defaultColWidth="8.75390625" defaultRowHeight="12.75"/>
  <cols>
    <col min="1" max="1" width="9.125" style="38" customWidth="1"/>
    <col min="2" max="2" width="26.00390625" style="7" bestFit="1" customWidth="1"/>
    <col min="3" max="3" width="27.125" style="94" bestFit="1" customWidth="1"/>
    <col min="4" max="4" width="10.625" style="94" bestFit="1" customWidth="1"/>
    <col min="5" max="5" width="8.375" style="94" bestFit="1" customWidth="1"/>
    <col min="6" max="6" width="22.75390625" style="94" bestFit="1" customWidth="1"/>
    <col min="7" max="7" width="37.25390625" style="94" bestFit="1" customWidth="1"/>
    <col min="8" max="10" width="5.625" style="7" bestFit="1" customWidth="1"/>
    <col min="11" max="11" width="4.625" style="7" bestFit="1" customWidth="1"/>
    <col min="12" max="12" width="11.25390625" style="86" bestFit="1" customWidth="1"/>
    <col min="13" max="13" width="8.625" style="7" bestFit="1" customWidth="1"/>
    <col min="14" max="14" width="16.00390625" style="94" bestFit="1" customWidth="1"/>
  </cols>
  <sheetData>
    <row r="1" spans="1:14" s="1" customFormat="1" ht="114" customHeight="1">
      <c r="A1" s="37"/>
      <c r="B1" s="168" t="s">
        <v>453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</row>
    <row r="2" spans="1:14" s="1" customFormat="1" ht="85.5" customHeight="1" thickBot="1">
      <c r="A2" s="37"/>
      <c r="B2" s="171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3"/>
    </row>
    <row r="3" spans="1:14" s="2" customFormat="1" ht="12.75" customHeight="1">
      <c r="A3" s="184" t="s">
        <v>414</v>
      </c>
      <c r="B3" s="174" t="s">
        <v>0</v>
      </c>
      <c r="C3" s="176" t="s">
        <v>415</v>
      </c>
      <c r="D3" s="178" t="s">
        <v>416</v>
      </c>
      <c r="E3" s="167" t="s">
        <v>9</v>
      </c>
      <c r="F3" s="167" t="s">
        <v>7</v>
      </c>
      <c r="G3" s="167" t="s">
        <v>417</v>
      </c>
      <c r="H3" s="167" t="s">
        <v>3</v>
      </c>
      <c r="I3" s="167"/>
      <c r="J3" s="167"/>
      <c r="K3" s="167"/>
      <c r="L3" s="182" t="s">
        <v>418</v>
      </c>
      <c r="M3" s="167" t="s">
        <v>6</v>
      </c>
      <c r="N3" s="186" t="s">
        <v>5</v>
      </c>
    </row>
    <row r="4" spans="1:14" s="2" customFormat="1" ht="21" customHeight="1">
      <c r="A4" s="185"/>
      <c r="B4" s="175"/>
      <c r="C4" s="177"/>
      <c r="D4" s="179"/>
      <c r="E4" s="177"/>
      <c r="F4" s="177"/>
      <c r="G4" s="177"/>
      <c r="H4" s="81">
        <v>1</v>
      </c>
      <c r="I4" s="81">
        <v>2</v>
      </c>
      <c r="J4" s="81">
        <v>3</v>
      </c>
      <c r="K4" s="81" t="s">
        <v>8</v>
      </c>
      <c r="L4" s="183"/>
      <c r="M4" s="177"/>
      <c r="N4" s="187"/>
    </row>
    <row r="5" spans="1:14" ht="15.75" customHeight="1">
      <c r="A5" s="164" t="s">
        <v>19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6"/>
    </row>
    <row r="6" spans="1:14" ht="12.75">
      <c r="A6" s="82">
        <v>1</v>
      </c>
      <c r="B6" s="16" t="s">
        <v>25</v>
      </c>
      <c r="C6" s="92" t="s">
        <v>26</v>
      </c>
      <c r="D6" s="92" t="s">
        <v>27</v>
      </c>
      <c r="E6" s="92" t="str">
        <f>"0,8078"</f>
        <v>0,8078</v>
      </c>
      <c r="F6" s="92" t="s">
        <v>390</v>
      </c>
      <c r="G6" s="92" t="s">
        <v>14</v>
      </c>
      <c r="H6" s="67" t="s">
        <v>204</v>
      </c>
      <c r="I6" s="67" t="s">
        <v>165</v>
      </c>
      <c r="J6" s="17" t="s">
        <v>223</v>
      </c>
      <c r="K6" s="15"/>
      <c r="L6" s="36">
        <v>110</v>
      </c>
      <c r="M6" s="34" t="str">
        <f>"88,8580"</f>
        <v>88,8580</v>
      </c>
      <c r="N6" s="92" t="s">
        <v>388</v>
      </c>
    </row>
    <row r="7" spans="1:14" ht="12.75">
      <c r="A7" s="199"/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</row>
    <row r="8" spans="1:14" ht="15.75">
      <c r="A8" s="164" t="s">
        <v>31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6"/>
    </row>
    <row r="9" spans="1:14" ht="12.75">
      <c r="A9" s="100">
        <v>1</v>
      </c>
      <c r="B9" s="112" t="s">
        <v>261</v>
      </c>
      <c r="C9" s="124" t="s">
        <v>262</v>
      </c>
      <c r="D9" s="124" t="s">
        <v>263</v>
      </c>
      <c r="E9" s="124" t="str">
        <f>"0,6440"</f>
        <v>0,6440</v>
      </c>
      <c r="F9" s="124" t="s">
        <v>392</v>
      </c>
      <c r="G9" s="124" t="s">
        <v>264</v>
      </c>
      <c r="H9" s="126" t="s">
        <v>47</v>
      </c>
      <c r="I9" s="126" t="s">
        <v>265</v>
      </c>
      <c r="J9" s="140" t="s">
        <v>183</v>
      </c>
      <c r="K9" s="127"/>
      <c r="L9" s="154">
        <v>225</v>
      </c>
      <c r="M9" s="32" t="str">
        <f>"144,9000"</f>
        <v>144,9000</v>
      </c>
      <c r="N9" s="124" t="s">
        <v>391</v>
      </c>
    </row>
    <row r="10" spans="1:14" ht="12.75">
      <c r="A10" s="113">
        <v>2</v>
      </c>
      <c r="B10" s="114" t="s">
        <v>266</v>
      </c>
      <c r="C10" s="115" t="s">
        <v>413</v>
      </c>
      <c r="D10" s="115" t="s">
        <v>267</v>
      </c>
      <c r="E10" s="115" t="str">
        <f>"0,6624"</f>
        <v>0,6624</v>
      </c>
      <c r="F10" s="115" t="s">
        <v>393</v>
      </c>
      <c r="G10" s="115" t="s">
        <v>14</v>
      </c>
      <c r="H10" s="118" t="s">
        <v>182</v>
      </c>
      <c r="I10" s="118" t="s">
        <v>163</v>
      </c>
      <c r="J10" s="117" t="s">
        <v>58</v>
      </c>
      <c r="K10" s="119"/>
      <c r="L10" s="153">
        <v>160</v>
      </c>
      <c r="M10" s="39" t="str">
        <f>"105,9840"</f>
        <v>105,9840</v>
      </c>
      <c r="N10" s="115" t="s">
        <v>389</v>
      </c>
    </row>
    <row r="11" spans="1:14" ht="12.75">
      <c r="A11" s="113">
        <v>1</v>
      </c>
      <c r="B11" s="29" t="s">
        <v>32</v>
      </c>
      <c r="C11" s="115" t="s">
        <v>33</v>
      </c>
      <c r="D11" s="115" t="s">
        <v>34</v>
      </c>
      <c r="E11" s="115" t="str">
        <f>"0,6475"</f>
        <v>0,6475</v>
      </c>
      <c r="F11" s="115" t="s">
        <v>406</v>
      </c>
      <c r="G11" s="115" t="s">
        <v>430</v>
      </c>
      <c r="H11" s="118" t="s">
        <v>177</v>
      </c>
      <c r="I11" s="118" t="s">
        <v>174</v>
      </c>
      <c r="J11" s="117" t="s">
        <v>178</v>
      </c>
      <c r="K11" s="141"/>
      <c r="L11" s="153">
        <v>250</v>
      </c>
      <c r="M11" s="39" t="str">
        <f>"161,8750"</f>
        <v>161,8750</v>
      </c>
      <c r="N11" s="115" t="s">
        <v>407</v>
      </c>
    </row>
    <row r="12" spans="1:14" ht="12.75">
      <c r="A12" s="104">
        <v>1</v>
      </c>
      <c r="B12" s="30" t="s">
        <v>32</v>
      </c>
      <c r="C12" s="107" t="s">
        <v>36</v>
      </c>
      <c r="D12" s="107" t="s">
        <v>34</v>
      </c>
      <c r="E12" s="107" t="str">
        <f>"0,6475"</f>
        <v>0,6475</v>
      </c>
      <c r="F12" s="107" t="s">
        <v>406</v>
      </c>
      <c r="G12" s="107" t="s">
        <v>430</v>
      </c>
      <c r="H12" s="109" t="s">
        <v>177</v>
      </c>
      <c r="I12" s="109" t="s">
        <v>174</v>
      </c>
      <c r="J12" s="110" t="s">
        <v>178</v>
      </c>
      <c r="K12" s="142"/>
      <c r="L12" s="35">
        <v>250</v>
      </c>
      <c r="M12" s="33" t="str">
        <f>"168,9975"</f>
        <v>168,9975</v>
      </c>
      <c r="N12" s="107" t="s">
        <v>407</v>
      </c>
    </row>
    <row r="13" spans="1:14" ht="12.75">
      <c r="A13" s="199"/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</row>
    <row r="14" spans="1:14" ht="15.75">
      <c r="A14" s="160" t="s">
        <v>37</v>
      </c>
      <c r="B14" s="160"/>
      <c r="C14" s="160"/>
      <c r="D14" s="160"/>
      <c r="E14" s="160"/>
      <c r="F14" s="160"/>
      <c r="G14" s="160"/>
      <c r="H14" s="160"/>
      <c r="I14" s="160"/>
      <c r="J14" s="160"/>
      <c r="K14" s="160"/>
      <c r="L14" s="160"/>
      <c r="M14" s="160"/>
      <c r="N14" s="160"/>
    </row>
    <row r="15" spans="1:14" ht="12.75">
      <c r="A15" s="143">
        <v>1</v>
      </c>
      <c r="B15" s="112" t="s">
        <v>49</v>
      </c>
      <c r="C15" s="78" t="s">
        <v>50</v>
      </c>
      <c r="D15" s="78" t="s">
        <v>51</v>
      </c>
      <c r="E15" s="78" t="str">
        <f>"0,6321"</f>
        <v>0,6321</v>
      </c>
      <c r="F15" s="78" t="s">
        <v>393</v>
      </c>
      <c r="G15" s="78" t="s">
        <v>52</v>
      </c>
      <c r="H15" s="55" t="s">
        <v>174</v>
      </c>
      <c r="I15" s="55" t="s">
        <v>175</v>
      </c>
      <c r="J15" s="56" t="s">
        <v>268</v>
      </c>
      <c r="K15" s="57"/>
      <c r="L15" s="49">
        <v>270</v>
      </c>
      <c r="M15" s="58" t="str">
        <f>"170,6670"</f>
        <v>170,6670</v>
      </c>
      <c r="N15" s="78" t="s">
        <v>382</v>
      </c>
    </row>
    <row r="16" spans="1:14" ht="12.75">
      <c r="A16" s="144">
        <v>2</v>
      </c>
      <c r="B16" s="120" t="s">
        <v>269</v>
      </c>
      <c r="C16" s="79" t="s">
        <v>270</v>
      </c>
      <c r="D16" s="79" t="s">
        <v>154</v>
      </c>
      <c r="E16" s="79" t="str">
        <f>"0,6086"</f>
        <v>0,6086</v>
      </c>
      <c r="F16" s="79" t="s">
        <v>392</v>
      </c>
      <c r="G16" s="79" t="s">
        <v>264</v>
      </c>
      <c r="H16" s="63" t="s">
        <v>158</v>
      </c>
      <c r="I16" s="63" t="s">
        <v>174</v>
      </c>
      <c r="J16" s="64" t="s">
        <v>178</v>
      </c>
      <c r="K16" s="65"/>
      <c r="L16" s="50">
        <v>250</v>
      </c>
      <c r="M16" s="66" t="str">
        <f>"152,1500"</f>
        <v>152,1500</v>
      </c>
      <c r="N16" s="79" t="s">
        <v>391</v>
      </c>
    </row>
    <row r="17" spans="1:14" ht="12.75">
      <c r="A17" s="199"/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</row>
    <row r="18" spans="1:14" ht="15.75">
      <c r="A18" s="164" t="s">
        <v>60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6"/>
    </row>
    <row r="19" spans="1:14" ht="12.75">
      <c r="A19" s="100">
        <v>1</v>
      </c>
      <c r="B19" s="112" t="s">
        <v>271</v>
      </c>
      <c r="C19" s="78" t="s">
        <v>272</v>
      </c>
      <c r="D19" s="78" t="s">
        <v>273</v>
      </c>
      <c r="E19" s="78" t="str">
        <f>"0,5897"</f>
        <v>0,5897</v>
      </c>
      <c r="F19" s="78" t="s">
        <v>392</v>
      </c>
      <c r="G19" s="78" t="s">
        <v>429</v>
      </c>
      <c r="H19" s="55" t="s">
        <v>274</v>
      </c>
      <c r="I19" s="55" t="s">
        <v>275</v>
      </c>
      <c r="J19" s="56" t="s">
        <v>276</v>
      </c>
      <c r="K19" s="57"/>
      <c r="L19" s="49">
        <v>340</v>
      </c>
      <c r="M19" s="58" t="str">
        <f>"200,4980"</f>
        <v>200,4980</v>
      </c>
      <c r="N19" s="78" t="s">
        <v>382</v>
      </c>
    </row>
    <row r="20" spans="1:14" ht="12.75">
      <c r="A20" s="104">
        <v>2</v>
      </c>
      <c r="B20" s="120" t="s">
        <v>66</v>
      </c>
      <c r="C20" s="79" t="s">
        <v>67</v>
      </c>
      <c r="D20" s="79" t="s">
        <v>68</v>
      </c>
      <c r="E20" s="79" t="str">
        <f>"0,5952"</f>
        <v>0,5952</v>
      </c>
      <c r="F20" s="79" t="s">
        <v>35</v>
      </c>
      <c r="G20" s="79" t="s">
        <v>14</v>
      </c>
      <c r="H20" s="63" t="s">
        <v>277</v>
      </c>
      <c r="I20" s="63" t="s">
        <v>156</v>
      </c>
      <c r="J20" s="64" t="s">
        <v>157</v>
      </c>
      <c r="K20" s="65"/>
      <c r="L20" s="50">
        <v>300</v>
      </c>
      <c r="M20" s="66" t="str">
        <f>"178,5600"</f>
        <v>178,5600</v>
      </c>
      <c r="N20" s="79" t="s">
        <v>383</v>
      </c>
    </row>
  </sheetData>
  <sheetProtection/>
  <mergeCells count="19">
    <mergeCell ref="A3:A4"/>
    <mergeCell ref="A7:N7"/>
    <mergeCell ref="A13:N13"/>
    <mergeCell ref="A17:N17"/>
    <mergeCell ref="A14:N14"/>
    <mergeCell ref="A18:N18"/>
    <mergeCell ref="A8:N8"/>
    <mergeCell ref="N3:N4"/>
    <mergeCell ref="A5:N5"/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</mergeCells>
  <printOptions/>
  <pageMargins left="0.7" right="0.7" top="0.75" bottom="0.75" header="0.3" footer="0.3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D17" sqref="D17"/>
    </sheetView>
  </sheetViews>
  <sheetFormatPr defaultColWidth="8.75390625" defaultRowHeight="12.75"/>
  <cols>
    <col min="1" max="1" width="9.125" style="38" customWidth="1"/>
    <col min="2" max="2" width="23.125" style="7" customWidth="1"/>
    <col min="3" max="3" width="25.375" style="94" customWidth="1"/>
    <col min="4" max="4" width="10.625" style="94" bestFit="1" customWidth="1"/>
    <col min="5" max="5" width="15.00390625" style="94" bestFit="1" customWidth="1"/>
    <col min="6" max="6" width="20.125" style="7" customWidth="1"/>
    <col min="7" max="7" width="24.125" style="7" bestFit="1" customWidth="1"/>
    <col min="8" max="8" width="4.75390625" style="7" customWidth="1"/>
    <col min="9" max="9" width="9.625" style="88" bestFit="1" customWidth="1"/>
    <col min="10" max="10" width="11.25390625" style="7" bestFit="1" customWidth="1"/>
    <col min="11" max="11" width="9.625" style="7" bestFit="1" customWidth="1"/>
    <col min="12" max="12" width="16.75390625" style="7" bestFit="1" customWidth="1"/>
  </cols>
  <sheetData>
    <row r="1" spans="1:12" s="1" customFormat="1" ht="105.75" customHeight="1">
      <c r="A1" s="37"/>
      <c r="B1" s="168" t="s">
        <v>454</v>
      </c>
      <c r="C1" s="169"/>
      <c r="D1" s="169"/>
      <c r="E1" s="169"/>
      <c r="F1" s="169"/>
      <c r="G1" s="169"/>
      <c r="H1" s="169"/>
      <c r="I1" s="169"/>
      <c r="J1" s="169"/>
      <c r="K1" s="169"/>
      <c r="L1" s="170"/>
    </row>
    <row r="2" spans="1:12" s="1" customFormat="1" ht="114.75" customHeight="1" thickBot="1">
      <c r="A2" s="37"/>
      <c r="B2" s="171"/>
      <c r="C2" s="172"/>
      <c r="D2" s="172"/>
      <c r="E2" s="172"/>
      <c r="F2" s="172"/>
      <c r="G2" s="172"/>
      <c r="H2" s="172"/>
      <c r="I2" s="172"/>
      <c r="J2" s="172"/>
      <c r="K2" s="172"/>
      <c r="L2" s="173"/>
    </row>
    <row r="3" spans="1:12" s="2" customFormat="1" ht="12.75" customHeight="1">
      <c r="A3" s="184" t="s">
        <v>414</v>
      </c>
      <c r="B3" s="174" t="s">
        <v>0</v>
      </c>
      <c r="C3" s="176" t="s">
        <v>415</v>
      </c>
      <c r="D3" s="178" t="s">
        <v>416</v>
      </c>
      <c r="E3" s="167" t="s">
        <v>432</v>
      </c>
      <c r="F3" s="167" t="s">
        <v>7</v>
      </c>
      <c r="G3" s="167" t="s">
        <v>417</v>
      </c>
      <c r="H3" s="167" t="s">
        <v>2</v>
      </c>
      <c r="I3" s="167"/>
      <c r="J3" s="167" t="s">
        <v>422</v>
      </c>
      <c r="K3" s="167" t="s">
        <v>6</v>
      </c>
      <c r="L3" s="191" t="s">
        <v>5</v>
      </c>
    </row>
    <row r="4" spans="1:12" s="2" customFormat="1" ht="21" customHeight="1">
      <c r="A4" s="185"/>
      <c r="B4" s="175"/>
      <c r="C4" s="177"/>
      <c r="D4" s="179"/>
      <c r="E4" s="177"/>
      <c r="F4" s="177"/>
      <c r="G4" s="177"/>
      <c r="H4" s="81" t="s">
        <v>323</v>
      </c>
      <c r="I4" s="87" t="s">
        <v>324</v>
      </c>
      <c r="J4" s="177"/>
      <c r="K4" s="177"/>
      <c r="L4" s="192"/>
    </row>
    <row r="5" spans="1:12" ht="16.5" customHeight="1">
      <c r="A5" s="160" t="s">
        <v>19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</row>
    <row r="6" spans="1:12" ht="12.75">
      <c r="A6" s="82">
        <v>1</v>
      </c>
      <c r="B6" s="27" t="s">
        <v>349</v>
      </c>
      <c r="C6" s="92" t="s">
        <v>350</v>
      </c>
      <c r="D6" s="92" t="s">
        <v>351</v>
      </c>
      <c r="E6" s="92" t="str">
        <f>"0,9392"</f>
        <v>0,9392</v>
      </c>
      <c r="F6" s="92" t="s">
        <v>35</v>
      </c>
      <c r="G6" s="92" t="s">
        <v>106</v>
      </c>
      <c r="H6" s="34" t="s">
        <v>352</v>
      </c>
      <c r="I6" s="89">
        <v>12</v>
      </c>
      <c r="J6" s="34" t="s">
        <v>433</v>
      </c>
      <c r="K6" s="34" t="str">
        <f>"366,2880"</f>
        <v>366,2880</v>
      </c>
      <c r="L6" s="92" t="s">
        <v>412</v>
      </c>
    </row>
    <row r="7" spans="1:12" ht="12.75">
      <c r="A7" s="199"/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</row>
    <row r="8" spans="1:12" ht="15.75">
      <c r="A8" s="160" t="s">
        <v>102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</row>
    <row r="9" spans="1:12" ht="12.75">
      <c r="A9" s="82">
        <v>1</v>
      </c>
      <c r="B9" s="27" t="s">
        <v>103</v>
      </c>
      <c r="C9" s="92" t="s">
        <v>353</v>
      </c>
      <c r="D9" s="92" t="s">
        <v>105</v>
      </c>
      <c r="E9" s="92" t="str">
        <f>"0,7034"</f>
        <v>0,7034</v>
      </c>
      <c r="F9" s="92" t="s">
        <v>35</v>
      </c>
      <c r="G9" s="92" t="s">
        <v>106</v>
      </c>
      <c r="H9" s="34" t="s">
        <v>354</v>
      </c>
      <c r="I9" s="89">
        <v>43</v>
      </c>
      <c r="J9" s="34">
        <v>1612.5</v>
      </c>
      <c r="K9" s="34" t="str">
        <f>"1134,2325"</f>
        <v>1134,2325</v>
      </c>
      <c r="L9" s="92" t="s">
        <v>382</v>
      </c>
    </row>
  </sheetData>
  <sheetProtection/>
  <mergeCells count="15">
    <mergeCell ref="A8:L8"/>
    <mergeCell ref="H3:I3"/>
    <mergeCell ref="J3:J4"/>
    <mergeCell ref="K3:K4"/>
    <mergeCell ref="A3:A4"/>
    <mergeCell ref="A7:L7"/>
    <mergeCell ref="A5:L5"/>
    <mergeCell ref="L3:L4"/>
    <mergeCell ref="B1:L2"/>
    <mergeCell ref="B3:B4"/>
    <mergeCell ref="C3:C4"/>
    <mergeCell ref="D3:D4"/>
    <mergeCell ref="E3:E4"/>
    <mergeCell ref="F3:F4"/>
    <mergeCell ref="G3:G4"/>
  </mergeCells>
  <printOptions/>
  <pageMargins left="0.7" right="0.7" top="0.75" bottom="0.75" header="0.3" footer="0.3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C16" sqref="C16"/>
    </sheetView>
  </sheetViews>
  <sheetFormatPr defaultColWidth="9.125" defaultRowHeight="12.75"/>
  <cols>
    <col min="1" max="1" width="9.125" style="37" customWidth="1"/>
    <col min="2" max="2" width="23.625" style="3" customWidth="1"/>
    <col min="3" max="3" width="24.875" style="4" customWidth="1"/>
    <col min="4" max="4" width="10.625" style="4" bestFit="1" customWidth="1"/>
    <col min="5" max="5" width="15.00390625" style="4" bestFit="1" customWidth="1"/>
    <col min="6" max="6" width="20.25390625" style="4" customWidth="1"/>
    <col min="7" max="7" width="22.25390625" style="4" bestFit="1" customWidth="1"/>
    <col min="8" max="8" width="4.75390625" style="1" bestFit="1" customWidth="1"/>
    <col min="9" max="9" width="9.625" style="1" bestFit="1" customWidth="1"/>
    <col min="10" max="10" width="11.25390625" style="3" bestFit="1" customWidth="1"/>
    <col min="11" max="11" width="9.625" style="1" bestFit="1" customWidth="1"/>
    <col min="12" max="12" width="16.875" style="4" bestFit="1" customWidth="1"/>
    <col min="13" max="16384" width="9.125" style="1" customWidth="1"/>
  </cols>
  <sheetData>
    <row r="1" spans="2:12" ht="70.5" customHeight="1">
      <c r="B1" s="168" t="s">
        <v>455</v>
      </c>
      <c r="C1" s="169"/>
      <c r="D1" s="169"/>
      <c r="E1" s="169"/>
      <c r="F1" s="169"/>
      <c r="G1" s="169"/>
      <c r="H1" s="169"/>
      <c r="I1" s="169"/>
      <c r="J1" s="169"/>
      <c r="K1" s="169"/>
      <c r="L1" s="170"/>
    </row>
    <row r="2" spans="2:12" ht="141.75" customHeight="1" thickBot="1">
      <c r="B2" s="171"/>
      <c r="C2" s="172"/>
      <c r="D2" s="172"/>
      <c r="E2" s="172"/>
      <c r="F2" s="172"/>
      <c r="G2" s="172"/>
      <c r="H2" s="172"/>
      <c r="I2" s="172"/>
      <c r="J2" s="172"/>
      <c r="K2" s="172"/>
      <c r="L2" s="173"/>
    </row>
    <row r="3" spans="1:12" s="2" customFormat="1" ht="12.75" customHeight="1">
      <c r="A3" s="184" t="s">
        <v>414</v>
      </c>
      <c r="B3" s="174" t="s">
        <v>0</v>
      </c>
      <c r="C3" s="176" t="s">
        <v>415</v>
      </c>
      <c r="D3" s="178" t="s">
        <v>416</v>
      </c>
      <c r="E3" s="167" t="s">
        <v>432</v>
      </c>
      <c r="F3" s="167" t="s">
        <v>7</v>
      </c>
      <c r="G3" s="167" t="s">
        <v>417</v>
      </c>
      <c r="H3" s="167" t="s">
        <v>2</v>
      </c>
      <c r="I3" s="167"/>
      <c r="J3" s="167" t="s">
        <v>422</v>
      </c>
      <c r="K3" s="167" t="s">
        <v>6</v>
      </c>
      <c r="L3" s="186" t="s">
        <v>5</v>
      </c>
    </row>
    <row r="4" spans="1:12" s="2" customFormat="1" ht="21" customHeight="1">
      <c r="A4" s="185"/>
      <c r="B4" s="175"/>
      <c r="C4" s="177"/>
      <c r="D4" s="179"/>
      <c r="E4" s="177"/>
      <c r="F4" s="177"/>
      <c r="G4" s="177"/>
      <c r="H4" s="81" t="s">
        <v>323</v>
      </c>
      <c r="I4" s="81" t="s">
        <v>324</v>
      </c>
      <c r="J4" s="177"/>
      <c r="K4" s="177"/>
      <c r="L4" s="187"/>
    </row>
    <row r="5" spans="1:12" ht="18.75" customHeight="1">
      <c r="A5" s="201" t="s">
        <v>102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</row>
    <row r="6" spans="1:12" ht="12.75">
      <c r="A6" s="44" t="s">
        <v>419</v>
      </c>
      <c r="B6" s="40" t="s">
        <v>113</v>
      </c>
      <c r="C6" s="23" t="s">
        <v>114</v>
      </c>
      <c r="D6" s="23" t="s">
        <v>115</v>
      </c>
      <c r="E6" s="23" t="str">
        <f>"0,6885"</f>
        <v>0,6885</v>
      </c>
      <c r="F6" s="23" t="s">
        <v>116</v>
      </c>
      <c r="G6" s="23" t="s">
        <v>14</v>
      </c>
      <c r="H6" s="44" t="s">
        <v>30</v>
      </c>
      <c r="I6" s="145">
        <v>45</v>
      </c>
      <c r="J6" s="44" t="s">
        <v>434</v>
      </c>
      <c r="K6" s="44" t="str">
        <f>"2323,8562"</f>
        <v>2323,8562</v>
      </c>
      <c r="L6" s="23" t="s">
        <v>384</v>
      </c>
    </row>
    <row r="7" spans="1:12" ht="12.75">
      <c r="A7" s="46" t="s">
        <v>420</v>
      </c>
      <c r="B7" s="42" t="s">
        <v>329</v>
      </c>
      <c r="C7" s="25" t="s">
        <v>330</v>
      </c>
      <c r="D7" s="25" t="s">
        <v>331</v>
      </c>
      <c r="E7" s="25" t="str">
        <f>"0,7064"</f>
        <v>0,7064</v>
      </c>
      <c r="F7" s="25" t="s">
        <v>116</v>
      </c>
      <c r="G7" s="25" t="s">
        <v>14</v>
      </c>
      <c r="H7" s="46" t="s">
        <v>29</v>
      </c>
      <c r="I7" s="146">
        <v>44</v>
      </c>
      <c r="J7" s="46" t="s">
        <v>435</v>
      </c>
      <c r="K7" s="46" t="str">
        <f>"2253,4159"</f>
        <v>2253,4159</v>
      </c>
      <c r="L7" s="25" t="s">
        <v>382</v>
      </c>
    </row>
    <row r="8" spans="1:12" ht="12.75">
      <c r="A8" s="202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</row>
    <row r="9" spans="1:12" ht="15.75">
      <c r="A9" s="201" t="s">
        <v>117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</row>
    <row r="10" spans="1:12" ht="12.75">
      <c r="A10" s="47" t="s">
        <v>419</v>
      </c>
      <c r="B10" s="43" t="s">
        <v>355</v>
      </c>
      <c r="C10" s="26" t="s">
        <v>356</v>
      </c>
      <c r="D10" s="26" t="s">
        <v>357</v>
      </c>
      <c r="E10" s="26" t="str">
        <f>"0,6638"</f>
        <v>0,6638</v>
      </c>
      <c r="F10" s="26" t="s">
        <v>155</v>
      </c>
      <c r="G10" s="26" t="s">
        <v>289</v>
      </c>
      <c r="H10" s="47" t="s">
        <v>23</v>
      </c>
      <c r="I10" s="90">
        <v>36</v>
      </c>
      <c r="J10" s="47" t="s">
        <v>436</v>
      </c>
      <c r="K10" s="47" t="str">
        <f>"1911,7440"</f>
        <v>1911,7440</v>
      </c>
      <c r="L10" s="26" t="s">
        <v>358</v>
      </c>
    </row>
    <row r="11" spans="1:12" ht="12.75">
      <c r="A11" s="202"/>
      <c r="B11" s="202"/>
      <c r="C11" s="202"/>
      <c r="D11" s="202"/>
      <c r="E11" s="202"/>
      <c r="F11" s="202"/>
      <c r="G11" s="202"/>
      <c r="H11" s="202"/>
      <c r="I11" s="202"/>
      <c r="J11" s="202"/>
      <c r="K11" s="202"/>
      <c r="L11" s="202"/>
    </row>
    <row r="12" spans="1:12" ht="15.75">
      <c r="A12" s="201" t="s">
        <v>31</v>
      </c>
      <c r="B12" s="201"/>
      <c r="C12" s="201"/>
      <c r="D12" s="201"/>
      <c r="E12" s="201"/>
      <c r="F12" s="201"/>
      <c r="G12" s="201"/>
      <c r="H12" s="201"/>
      <c r="I12" s="201"/>
      <c r="J12" s="201"/>
      <c r="K12" s="201"/>
      <c r="L12" s="201"/>
    </row>
    <row r="13" spans="1:12" ht="12.75">
      <c r="A13" s="44" t="s">
        <v>419</v>
      </c>
      <c r="B13" s="40" t="s">
        <v>338</v>
      </c>
      <c r="C13" s="23" t="s">
        <v>359</v>
      </c>
      <c r="D13" s="23" t="s">
        <v>340</v>
      </c>
      <c r="E13" s="23" t="str">
        <f>"0,6181"</f>
        <v>0,6181</v>
      </c>
      <c r="F13" s="23" t="s">
        <v>35</v>
      </c>
      <c r="G13" s="23" t="s">
        <v>14</v>
      </c>
      <c r="H13" s="44" t="s">
        <v>16</v>
      </c>
      <c r="I13" s="145">
        <v>36</v>
      </c>
      <c r="J13" s="44" t="s">
        <v>437</v>
      </c>
      <c r="K13" s="44" t="str">
        <f>"2002,6440"</f>
        <v>2002,6440</v>
      </c>
      <c r="L13" s="23" t="s">
        <v>382</v>
      </c>
    </row>
    <row r="14" spans="1:12" ht="12.75">
      <c r="A14" s="45" t="s">
        <v>419</v>
      </c>
      <c r="B14" s="41" t="s">
        <v>338</v>
      </c>
      <c r="C14" s="24" t="s">
        <v>339</v>
      </c>
      <c r="D14" s="24" t="s">
        <v>340</v>
      </c>
      <c r="E14" s="24" t="str">
        <f>"0,6181"</f>
        <v>0,6181</v>
      </c>
      <c r="F14" s="24" t="s">
        <v>35</v>
      </c>
      <c r="G14" s="24" t="s">
        <v>14</v>
      </c>
      <c r="H14" s="45" t="s">
        <v>16</v>
      </c>
      <c r="I14" s="147">
        <v>36</v>
      </c>
      <c r="J14" s="45" t="s">
        <v>437</v>
      </c>
      <c r="K14" s="45" t="str">
        <f>"2002,6440"</f>
        <v>2002,6440</v>
      </c>
      <c r="L14" s="24" t="s">
        <v>382</v>
      </c>
    </row>
    <row r="15" spans="1:12" ht="12.75">
      <c r="A15" s="46" t="s">
        <v>420</v>
      </c>
      <c r="B15" s="42" t="s">
        <v>123</v>
      </c>
      <c r="C15" s="25" t="s">
        <v>124</v>
      </c>
      <c r="D15" s="25" t="s">
        <v>125</v>
      </c>
      <c r="E15" s="25" t="str">
        <f>"0,6126"</f>
        <v>0,6126</v>
      </c>
      <c r="F15" s="25" t="s">
        <v>35</v>
      </c>
      <c r="G15" s="25" t="s">
        <v>14</v>
      </c>
      <c r="H15" s="46" t="s">
        <v>16</v>
      </c>
      <c r="I15" s="146">
        <v>31</v>
      </c>
      <c r="J15" s="46" t="s">
        <v>438</v>
      </c>
      <c r="K15" s="46" t="str">
        <f>"1709,1541"</f>
        <v>1709,1541</v>
      </c>
      <c r="L15" s="25" t="s">
        <v>24</v>
      </c>
    </row>
  </sheetData>
  <sheetProtection/>
  <mergeCells count="17">
    <mergeCell ref="A12:L12"/>
    <mergeCell ref="A9:L9"/>
    <mergeCell ref="A5:L5"/>
    <mergeCell ref="G3:G4"/>
    <mergeCell ref="H3:I3"/>
    <mergeCell ref="J3:J4"/>
    <mergeCell ref="K3:K4"/>
    <mergeCell ref="A3:A4"/>
    <mergeCell ref="A11:L11"/>
    <mergeCell ref="A8:L8"/>
    <mergeCell ref="L3:L4"/>
    <mergeCell ref="B1:L2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B1" sqref="B1:L2"/>
    </sheetView>
  </sheetViews>
  <sheetFormatPr defaultColWidth="8.75390625" defaultRowHeight="12.75"/>
  <cols>
    <col min="1" max="1" width="9.125" style="38" customWidth="1"/>
    <col min="2" max="2" width="21.75390625" style="7" customWidth="1"/>
    <col min="3" max="3" width="24.875" style="94" customWidth="1"/>
    <col min="4" max="4" width="10.625" style="94" bestFit="1" customWidth="1"/>
    <col min="5" max="5" width="15.00390625" style="94" bestFit="1" customWidth="1"/>
    <col min="6" max="6" width="22.75390625" style="94" bestFit="1" customWidth="1"/>
    <col min="7" max="7" width="23.125" style="94" bestFit="1" customWidth="1"/>
    <col min="8" max="8" width="5.625" style="31" bestFit="1" customWidth="1"/>
    <col min="9" max="9" width="9.625" style="31" bestFit="1" customWidth="1"/>
    <col min="10" max="10" width="11.25390625" style="158" bestFit="1" customWidth="1"/>
    <col min="11" max="11" width="9.625" style="7" bestFit="1" customWidth="1"/>
    <col min="12" max="12" width="15.75390625" style="94" bestFit="1" customWidth="1"/>
  </cols>
  <sheetData>
    <row r="1" spans="1:12" s="1" customFormat="1" ht="95.25" customHeight="1">
      <c r="A1" s="37"/>
      <c r="B1" s="168" t="s">
        <v>456</v>
      </c>
      <c r="C1" s="169"/>
      <c r="D1" s="169"/>
      <c r="E1" s="169"/>
      <c r="F1" s="169"/>
      <c r="G1" s="169"/>
      <c r="H1" s="169"/>
      <c r="I1" s="169"/>
      <c r="J1" s="169"/>
      <c r="K1" s="169"/>
      <c r="L1" s="170"/>
    </row>
    <row r="2" spans="1:12" s="1" customFormat="1" ht="121.5" customHeight="1" thickBot="1">
      <c r="A2" s="37"/>
      <c r="B2" s="171"/>
      <c r="C2" s="172"/>
      <c r="D2" s="172"/>
      <c r="E2" s="172"/>
      <c r="F2" s="172"/>
      <c r="G2" s="172"/>
      <c r="H2" s="172"/>
      <c r="I2" s="172"/>
      <c r="J2" s="172"/>
      <c r="K2" s="172"/>
      <c r="L2" s="173"/>
    </row>
    <row r="3" spans="1:12" s="2" customFormat="1" ht="12.75" customHeight="1">
      <c r="A3" s="184" t="s">
        <v>414</v>
      </c>
      <c r="B3" s="174" t="s">
        <v>0</v>
      </c>
      <c r="C3" s="176" t="s">
        <v>415</v>
      </c>
      <c r="D3" s="178" t="s">
        <v>416</v>
      </c>
      <c r="E3" s="167" t="s">
        <v>432</v>
      </c>
      <c r="F3" s="167" t="s">
        <v>7</v>
      </c>
      <c r="G3" s="167" t="s">
        <v>417</v>
      </c>
      <c r="H3" s="167" t="s">
        <v>2</v>
      </c>
      <c r="I3" s="167"/>
      <c r="J3" s="182" t="s">
        <v>422</v>
      </c>
      <c r="K3" s="167" t="s">
        <v>6</v>
      </c>
      <c r="L3" s="186" t="s">
        <v>5</v>
      </c>
    </row>
    <row r="4" spans="1:12" s="2" customFormat="1" ht="21" customHeight="1">
      <c r="A4" s="185"/>
      <c r="B4" s="175"/>
      <c r="C4" s="177"/>
      <c r="D4" s="179"/>
      <c r="E4" s="177"/>
      <c r="F4" s="177"/>
      <c r="G4" s="177"/>
      <c r="H4" s="81" t="s">
        <v>323</v>
      </c>
      <c r="I4" s="81" t="s">
        <v>324</v>
      </c>
      <c r="J4" s="183"/>
      <c r="K4" s="177"/>
      <c r="L4" s="187"/>
    </row>
    <row r="5" spans="1:12" ht="18" customHeight="1">
      <c r="A5" s="160" t="s">
        <v>10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</row>
    <row r="6" spans="1:12" ht="12.75">
      <c r="A6" s="100">
        <v>1</v>
      </c>
      <c r="B6" s="28" t="s">
        <v>11</v>
      </c>
      <c r="C6" s="78" t="s">
        <v>325</v>
      </c>
      <c r="D6" s="78" t="s">
        <v>326</v>
      </c>
      <c r="E6" s="78" t="str">
        <f>"0,8396"</f>
        <v>0,8396</v>
      </c>
      <c r="F6" s="78" t="s">
        <v>390</v>
      </c>
      <c r="G6" s="78" t="s">
        <v>14</v>
      </c>
      <c r="H6" s="58" t="s">
        <v>318</v>
      </c>
      <c r="I6" s="148">
        <v>24</v>
      </c>
      <c r="J6" s="49">
        <v>1440</v>
      </c>
      <c r="K6" s="102" t="str">
        <f>"1209,0960"</f>
        <v>1209,0960</v>
      </c>
      <c r="L6" s="78" t="s">
        <v>383</v>
      </c>
    </row>
    <row r="7" spans="1:12" ht="12.75">
      <c r="A7" s="104">
        <v>2</v>
      </c>
      <c r="B7" s="30" t="s">
        <v>20</v>
      </c>
      <c r="C7" s="79" t="s">
        <v>327</v>
      </c>
      <c r="D7" s="79" t="s">
        <v>328</v>
      </c>
      <c r="E7" s="79" t="str">
        <f>"0,8356"</f>
        <v>0,8356</v>
      </c>
      <c r="F7" s="79" t="s">
        <v>390</v>
      </c>
      <c r="G7" s="79" t="s">
        <v>14</v>
      </c>
      <c r="H7" s="66" t="s">
        <v>318</v>
      </c>
      <c r="I7" s="149">
        <v>21</v>
      </c>
      <c r="J7" s="50">
        <v>1260</v>
      </c>
      <c r="K7" s="106" t="str">
        <f>"1052,7930"</f>
        <v>1052,7930</v>
      </c>
      <c r="L7" s="79" t="s">
        <v>24</v>
      </c>
    </row>
    <row r="8" spans="1:12" ht="12.75">
      <c r="A8" s="199"/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</row>
    <row r="9" spans="1:12" ht="15.75">
      <c r="A9" s="160" t="s">
        <v>102</v>
      </c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</row>
    <row r="10" spans="1:12" ht="12.75">
      <c r="A10" s="82">
        <v>1</v>
      </c>
      <c r="B10" s="27" t="s">
        <v>329</v>
      </c>
      <c r="C10" s="92" t="s">
        <v>330</v>
      </c>
      <c r="D10" s="92" t="s">
        <v>331</v>
      </c>
      <c r="E10" s="92" t="str">
        <f>"0,7064"</f>
        <v>0,7064</v>
      </c>
      <c r="F10" s="92" t="s">
        <v>116</v>
      </c>
      <c r="G10" s="92" t="s">
        <v>14</v>
      </c>
      <c r="H10" s="34" t="s">
        <v>29</v>
      </c>
      <c r="I10" s="89">
        <v>44</v>
      </c>
      <c r="J10" s="36">
        <v>3190</v>
      </c>
      <c r="K10" s="11" t="str">
        <f>"2253,4159"</f>
        <v>2253,4159</v>
      </c>
      <c r="L10" s="91" t="s">
        <v>382</v>
      </c>
    </row>
    <row r="11" spans="1:12" ht="12.75">
      <c r="A11" s="199"/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</row>
    <row r="12" spans="1:12" ht="15.75">
      <c r="A12" s="160" t="s">
        <v>117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</row>
    <row r="13" spans="1:12" ht="12.75">
      <c r="A13" s="82">
        <v>1</v>
      </c>
      <c r="B13" s="27" t="s">
        <v>332</v>
      </c>
      <c r="C13" s="92" t="s">
        <v>333</v>
      </c>
      <c r="D13" s="92" t="s">
        <v>334</v>
      </c>
      <c r="E13" s="92" t="str">
        <f>"0,6477"</f>
        <v>0,6477</v>
      </c>
      <c r="F13" s="92" t="s">
        <v>35</v>
      </c>
      <c r="G13" s="92" t="s">
        <v>52</v>
      </c>
      <c r="H13" s="34" t="s">
        <v>218</v>
      </c>
      <c r="I13" s="89">
        <v>50</v>
      </c>
      <c r="J13" s="36">
        <v>4125</v>
      </c>
      <c r="K13" s="11" t="str">
        <f>"2671,5563"</f>
        <v>2671,5563</v>
      </c>
      <c r="L13" s="91" t="s">
        <v>382</v>
      </c>
    </row>
    <row r="14" spans="1:12" ht="12.75">
      <c r="A14" s="199"/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</row>
    <row r="15" spans="1:12" ht="15.75">
      <c r="A15" s="160" t="s">
        <v>31</v>
      </c>
      <c r="B15" s="160"/>
      <c r="C15" s="160"/>
      <c r="D15" s="160"/>
      <c r="E15" s="160"/>
      <c r="F15" s="160"/>
      <c r="G15" s="160"/>
      <c r="H15" s="160"/>
      <c r="I15" s="160"/>
      <c r="J15" s="160"/>
      <c r="K15" s="160"/>
      <c r="L15" s="160"/>
    </row>
    <row r="16" spans="1:12" ht="12.75">
      <c r="A16" s="100">
        <v>1</v>
      </c>
      <c r="B16" s="28" t="s">
        <v>335</v>
      </c>
      <c r="C16" s="124" t="s">
        <v>336</v>
      </c>
      <c r="D16" s="124" t="s">
        <v>337</v>
      </c>
      <c r="E16" s="124" t="str">
        <f>"0,6217"</f>
        <v>0,6217</v>
      </c>
      <c r="F16" s="124" t="s">
        <v>155</v>
      </c>
      <c r="G16" s="124" t="s">
        <v>14</v>
      </c>
      <c r="H16" s="32" t="s">
        <v>107</v>
      </c>
      <c r="I16" s="150">
        <v>37</v>
      </c>
      <c r="J16" s="154">
        <v>3237.5</v>
      </c>
      <c r="K16" s="125" t="str">
        <f>"2012,9156"</f>
        <v>2012,9156</v>
      </c>
      <c r="L16" s="78" t="s">
        <v>410</v>
      </c>
    </row>
    <row r="17" spans="1:12" ht="12.75">
      <c r="A17" s="104">
        <v>2</v>
      </c>
      <c r="B17" s="30" t="s">
        <v>338</v>
      </c>
      <c r="C17" s="107" t="s">
        <v>339</v>
      </c>
      <c r="D17" s="107" t="s">
        <v>340</v>
      </c>
      <c r="E17" s="107" t="str">
        <f>"0,6181"</f>
        <v>0,6181</v>
      </c>
      <c r="F17" s="107" t="s">
        <v>35</v>
      </c>
      <c r="G17" s="107" t="s">
        <v>14</v>
      </c>
      <c r="H17" s="33" t="s">
        <v>16</v>
      </c>
      <c r="I17" s="152">
        <v>36</v>
      </c>
      <c r="J17" s="35">
        <v>3240</v>
      </c>
      <c r="K17" s="108" t="str">
        <f>"2002,6440"</f>
        <v>2002,6440</v>
      </c>
      <c r="L17" s="79" t="s">
        <v>382</v>
      </c>
    </row>
    <row r="18" spans="1:12" ht="12.75">
      <c r="A18" s="199"/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</row>
    <row r="19" spans="1:12" ht="15.75">
      <c r="A19" s="160" t="s">
        <v>37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</row>
    <row r="20" spans="1:12" ht="12.75">
      <c r="A20" s="100">
        <v>1</v>
      </c>
      <c r="B20" s="28" t="s">
        <v>49</v>
      </c>
      <c r="C20" s="124" t="s">
        <v>50</v>
      </c>
      <c r="D20" s="124" t="s">
        <v>341</v>
      </c>
      <c r="E20" s="124" t="str">
        <f>"0,6055"</f>
        <v>0,6055</v>
      </c>
      <c r="F20" s="124" t="s">
        <v>155</v>
      </c>
      <c r="G20" s="124" t="s">
        <v>52</v>
      </c>
      <c r="H20" s="32" t="s">
        <v>219</v>
      </c>
      <c r="I20" s="150">
        <v>40</v>
      </c>
      <c r="J20" s="154" t="s">
        <v>411</v>
      </c>
      <c r="K20" s="125" t="str">
        <f>"2184,5216"</f>
        <v>2184,5216</v>
      </c>
      <c r="L20" s="78" t="s">
        <v>382</v>
      </c>
    </row>
    <row r="21" spans="1:12" ht="12.75">
      <c r="A21" s="113">
        <v>2</v>
      </c>
      <c r="B21" s="29" t="s">
        <v>38</v>
      </c>
      <c r="C21" s="115" t="s">
        <v>342</v>
      </c>
      <c r="D21" s="115" t="s">
        <v>343</v>
      </c>
      <c r="E21" s="115" t="str">
        <f>"0,5840"</f>
        <v>0,5840</v>
      </c>
      <c r="F21" s="115" t="s">
        <v>35</v>
      </c>
      <c r="G21" s="115" t="s">
        <v>14</v>
      </c>
      <c r="H21" s="39" t="s">
        <v>204</v>
      </c>
      <c r="I21" s="151">
        <v>32</v>
      </c>
      <c r="J21" s="153">
        <v>3200</v>
      </c>
      <c r="K21" s="116" t="str">
        <f>"1868,9600"</f>
        <v>1868,9600</v>
      </c>
      <c r="L21" s="128" t="s">
        <v>382</v>
      </c>
    </row>
    <row r="22" spans="1:12" ht="12.75">
      <c r="A22" s="104">
        <v>3</v>
      </c>
      <c r="B22" s="30" t="s">
        <v>344</v>
      </c>
      <c r="C22" s="107" t="s">
        <v>345</v>
      </c>
      <c r="D22" s="107" t="s">
        <v>343</v>
      </c>
      <c r="E22" s="107" t="str">
        <f>"0,5840"</f>
        <v>0,5840</v>
      </c>
      <c r="F22" s="107" t="s">
        <v>390</v>
      </c>
      <c r="G22" s="107" t="s">
        <v>14</v>
      </c>
      <c r="H22" s="33" t="s">
        <v>204</v>
      </c>
      <c r="I22" s="152">
        <v>25</v>
      </c>
      <c r="J22" s="35">
        <v>2500</v>
      </c>
      <c r="K22" s="108" t="str">
        <f>"1460,1250"</f>
        <v>1460,1250</v>
      </c>
      <c r="L22" s="79" t="s">
        <v>383</v>
      </c>
    </row>
    <row r="24" spans="2:6" ht="18">
      <c r="B24" s="204" t="s">
        <v>69</v>
      </c>
      <c r="C24" s="204"/>
      <c r="D24" s="204"/>
      <c r="E24" s="204"/>
      <c r="F24" s="204"/>
    </row>
    <row r="25" spans="2:6" ht="13.5">
      <c r="B25" s="10" t="s">
        <v>71</v>
      </c>
      <c r="C25" s="10" t="s">
        <v>72</v>
      </c>
      <c r="D25" s="10" t="s">
        <v>73</v>
      </c>
      <c r="E25" s="10" t="s">
        <v>74</v>
      </c>
      <c r="F25" s="96" t="s">
        <v>322</v>
      </c>
    </row>
    <row r="26" spans="1:6" ht="12.75">
      <c r="A26" s="38">
        <v>1</v>
      </c>
      <c r="B26" s="21" t="s">
        <v>332</v>
      </c>
      <c r="C26" s="13" t="s">
        <v>77</v>
      </c>
      <c r="D26" s="48" t="s">
        <v>148</v>
      </c>
      <c r="E26" s="48">
        <v>4125</v>
      </c>
      <c r="F26" s="54" t="s">
        <v>346</v>
      </c>
    </row>
    <row r="27" spans="1:6" ht="12.75">
      <c r="A27" s="38">
        <v>2</v>
      </c>
      <c r="B27" s="21" t="s">
        <v>329</v>
      </c>
      <c r="C27" s="13" t="s">
        <v>77</v>
      </c>
      <c r="D27" s="48">
        <v>75</v>
      </c>
      <c r="E27" s="48">
        <v>3190</v>
      </c>
      <c r="F27" s="54" t="s">
        <v>347</v>
      </c>
    </row>
    <row r="28" spans="1:6" ht="12.75">
      <c r="A28" s="38">
        <v>3</v>
      </c>
      <c r="B28" s="21" t="s">
        <v>49</v>
      </c>
      <c r="C28" s="13" t="s">
        <v>77</v>
      </c>
      <c r="D28" s="48">
        <v>100</v>
      </c>
      <c r="E28" s="48">
        <v>3607.5</v>
      </c>
      <c r="F28" s="54" t="s">
        <v>348</v>
      </c>
    </row>
  </sheetData>
  <sheetProtection/>
  <mergeCells count="22">
    <mergeCell ref="A11:L11"/>
    <mergeCell ref="A14:L14"/>
    <mergeCell ref="G3:G4"/>
    <mergeCell ref="H3:I3"/>
    <mergeCell ref="J3:J4"/>
    <mergeCell ref="K3:K4"/>
    <mergeCell ref="A15:L15"/>
    <mergeCell ref="A12:L12"/>
    <mergeCell ref="A3:A4"/>
    <mergeCell ref="A5:L5"/>
    <mergeCell ref="A9:L9"/>
    <mergeCell ref="A8:L8"/>
    <mergeCell ref="B24:F24"/>
    <mergeCell ref="L3:L4"/>
    <mergeCell ref="A18:L18"/>
    <mergeCell ref="A19:L19"/>
    <mergeCell ref="B1:L2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15"/>
  <sheetViews>
    <sheetView workbookViewId="0" topLeftCell="A1">
      <selection activeCell="D9" sqref="D9"/>
    </sheetView>
  </sheetViews>
  <sheetFormatPr defaultColWidth="9.125" defaultRowHeight="12.75"/>
  <cols>
    <col min="1" max="1" width="9.125" style="37" customWidth="1"/>
    <col min="2" max="2" width="23.875" style="3" customWidth="1"/>
    <col min="3" max="3" width="26.875" style="4" bestFit="1" customWidth="1"/>
    <col min="4" max="4" width="10.625" style="4" bestFit="1" customWidth="1"/>
    <col min="5" max="5" width="15.00390625" style="4" bestFit="1" customWidth="1"/>
    <col min="6" max="6" width="20.125" style="4" customWidth="1"/>
    <col min="7" max="7" width="35.25390625" style="4" customWidth="1"/>
    <col min="8" max="10" width="4.625" style="1" bestFit="1" customWidth="1"/>
    <col min="11" max="11" width="5.625" style="1" customWidth="1"/>
    <col min="12" max="15" width="4.625" style="1" bestFit="1" customWidth="1"/>
    <col min="16" max="16" width="11.25390625" style="3" bestFit="1" customWidth="1"/>
    <col min="17" max="17" width="8.625" style="1" bestFit="1" customWidth="1"/>
    <col min="18" max="18" width="15.375" style="4" bestFit="1" customWidth="1"/>
    <col min="19" max="16384" width="9.125" style="1" customWidth="1"/>
  </cols>
  <sheetData>
    <row r="1" spans="2:18" ht="90" customHeight="1">
      <c r="B1" s="168" t="s">
        <v>457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70"/>
    </row>
    <row r="2" spans="2:18" ht="105" customHeight="1" thickBot="1">
      <c r="B2" s="171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3"/>
    </row>
    <row r="3" spans="1:18" s="2" customFormat="1" ht="12.75" customHeight="1">
      <c r="A3" s="184" t="s">
        <v>414</v>
      </c>
      <c r="B3" s="174" t="s">
        <v>0</v>
      </c>
      <c r="C3" s="176" t="s">
        <v>415</v>
      </c>
      <c r="D3" s="178" t="s">
        <v>416</v>
      </c>
      <c r="E3" s="167" t="s">
        <v>432</v>
      </c>
      <c r="F3" s="167" t="s">
        <v>7</v>
      </c>
      <c r="G3" s="167" t="s">
        <v>417</v>
      </c>
      <c r="H3" s="167" t="s">
        <v>301</v>
      </c>
      <c r="I3" s="167"/>
      <c r="J3" s="167"/>
      <c r="K3" s="167"/>
      <c r="L3" s="167" t="s">
        <v>302</v>
      </c>
      <c r="M3" s="167"/>
      <c r="N3" s="167"/>
      <c r="O3" s="167"/>
      <c r="P3" s="167" t="s">
        <v>4</v>
      </c>
      <c r="Q3" s="167" t="s">
        <v>6</v>
      </c>
      <c r="R3" s="186" t="s">
        <v>5</v>
      </c>
    </row>
    <row r="4" spans="1:18" s="2" customFormat="1" ht="21" customHeight="1">
      <c r="A4" s="185"/>
      <c r="B4" s="175"/>
      <c r="C4" s="177"/>
      <c r="D4" s="179"/>
      <c r="E4" s="177"/>
      <c r="F4" s="177"/>
      <c r="G4" s="177"/>
      <c r="H4" s="81">
        <v>1</v>
      </c>
      <c r="I4" s="81">
        <v>2</v>
      </c>
      <c r="J4" s="81">
        <v>3</v>
      </c>
      <c r="K4" s="81" t="s">
        <v>8</v>
      </c>
      <c r="L4" s="81">
        <v>1</v>
      </c>
      <c r="M4" s="81">
        <v>2</v>
      </c>
      <c r="N4" s="81">
        <v>3</v>
      </c>
      <c r="O4" s="81" t="s">
        <v>8</v>
      </c>
      <c r="P4" s="177"/>
      <c r="Q4" s="177"/>
      <c r="R4" s="187"/>
    </row>
    <row r="5" spans="1:18" ht="19.5" customHeight="1">
      <c r="A5" s="201" t="s">
        <v>10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</row>
    <row r="6" spans="1:18" ht="12.75">
      <c r="A6" s="47" t="s">
        <v>419</v>
      </c>
      <c r="B6" s="43" t="s">
        <v>303</v>
      </c>
      <c r="C6" s="26" t="s">
        <v>304</v>
      </c>
      <c r="D6" s="26" t="s">
        <v>305</v>
      </c>
      <c r="E6" s="26" t="str">
        <f>"1,0149"</f>
        <v>1,0149</v>
      </c>
      <c r="F6" s="26" t="s">
        <v>35</v>
      </c>
      <c r="G6" s="26" t="s">
        <v>430</v>
      </c>
      <c r="H6" s="67" t="s">
        <v>306</v>
      </c>
      <c r="I6" s="67" t="s">
        <v>307</v>
      </c>
      <c r="J6" s="68" t="s">
        <v>308</v>
      </c>
      <c r="K6" s="19"/>
      <c r="L6" s="67" t="s">
        <v>309</v>
      </c>
      <c r="M6" s="67" t="s">
        <v>310</v>
      </c>
      <c r="N6" s="67" t="s">
        <v>306</v>
      </c>
      <c r="O6" s="19"/>
      <c r="P6" s="47" t="s">
        <v>202</v>
      </c>
      <c r="Q6" s="47" t="str">
        <f>"53,2822"</f>
        <v>53,2822</v>
      </c>
      <c r="R6" s="26" t="s">
        <v>407</v>
      </c>
    </row>
    <row r="7" spans="1:18" ht="12.75">
      <c r="A7" s="202"/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</row>
    <row r="8" spans="1:18" ht="15.75">
      <c r="A8" s="201" t="s">
        <v>19</v>
      </c>
      <c r="B8" s="201"/>
      <c r="C8" s="201"/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</row>
    <row r="9" spans="1:18" ht="12.75">
      <c r="A9" s="47" t="s">
        <v>419</v>
      </c>
      <c r="B9" s="43" t="s">
        <v>311</v>
      </c>
      <c r="C9" s="26" t="s">
        <v>312</v>
      </c>
      <c r="D9" s="26" t="s">
        <v>313</v>
      </c>
      <c r="E9" s="26" t="str">
        <f>"0,7942"</f>
        <v>0,7942</v>
      </c>
      <c r="F9" s="26" t="s">
        <v>35</v>
      </c>
      <c r="G9" s="26" t="s">
        <v>430</v>
      </c>
      <c r="H9" s="67" t="s">
        <v>28</v>
      </c>
      <c r="I9" s="67" t="s">
        <v>122</v>
      </c>
      <c r="J9" s="67" t="s">
        <v>95</v>
      </c>
      <c r="K9" s="19"/>
      <c r="L9" s="67" t="s">
        <v>202</v>
      </c>
      <c r="M9" s="67" t="s">
        <v>314</v>
      </c>
      <c r="N9" s="67" t="s">
        <v>203</v>
      </c>
      <c r="O9" s="19"/>
      <c r="P9" s="47" t="s">
        <v>234</v>
      </c>
      <c r="Q9" s="47" t="str">
        <f>"101,2605"</f>
        <v>101,2605</v>
      </c>
      <c r="R9" s="26" t="s">
        <v>408</v>
      </c>
    </row>
    <row r="10" spans="1:18" ht="12.75">
      <c r="A10" s="202"/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</row>
    <row r="11" spans="1:18" ht="15.75">
      <c r="A11" s="201" t="s">
        <v>102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</row>
    <row r="12" spans="1:18" ht="12.75">
      <c r="A12" s="47" t="s">
        <v>419</v>
      </c>
      <c r="B12" s="43" t="s">
        <v>315</v>
      </c>
      <c r="C12" s="26" t="s">
        <v>316</v>
      </c>
      <c r="D12" s="26" t="s">
        <v>317</v>
      </c>
      <c r="E12" s="26" t="str">
        <f>"0,6906"</f>
        <v>0,6906</v>
      </c>
      <c r="F12" s="26" t="s">
        <v>35</v>
      </c>
      <c r="G12" s="26" t="s">
        <v>430</v>
      </c>
      <c r="H12" s="67" t="s">
        <v>95</v>
      </c>
      <c r="I12" s="67" t="s">
        <v>30</v>
      </c>
      <c r="J12" s="67" t="s">
        <v>218</v>
      </c>
      <c r="K12" s="19"/>
      <c r="L12" s="67" t="s">
        <v>314</v>
      </c>
      <c r="M12" s="68" t="s">
        <v>318</v>
      </c>
      <c r="N12" s="67" t="s">
        <v>28</v>
      </c>
      <c r="O12" s="19"/>
      <c r="P12" s="47" t="s">
        <v>127</v>
      </c>
      <c r="Q12" s="47" t="str">
        <f>"101,8635"</f>
        <v>101,8635</v>
      </c>
      <c r="R12" s="26" t="s">
        <v>409</v>
      </c>
    </row>
    <row r="13" spans="1:18" ht="12.75">
      <c r="A13" s="202"/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</row>
    <row r="14" spans="1:18" ht="15.75">
      <c r="A14" s="201" t="s">
        <v>37</v>
      </c>
      <c r="B14" s="201"/>
      <c r="C14" s="201"/>
      <c r="D14" s="201"/>
      <c r="E14" s="201"/>
      <c r="F14" s="201"/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</row>
    <row r="15" spans="1:18" ht="12.75">
      <c r="A15" s="47" t="s">
        <v>419</v>
      </c>
      <c r="B15" s="43" t="s">
        <v>319</v>
      </c>
      <c r="C15" s="26" t="s">
        <v>320</v>
      </c>
      <c r="D15" s="26" t="s">
        <v>321</v>
      </c>
      <c r="E15" s="26" t="str">
        <f>"0,6003"</f>
        <v>0,6003</v>
      </c>
      <c r="F15" s="26" t="s">
        <v>35</v>
      </c>
      <c r="G15" s="26" t="s">
        <v>430</v>
      </c>
      <c r="H15" s="67" t="s">
        <v>28</v>
      </c>
      <c r="I15" s="67" t="s">
        <v>95</v>
      </c>
      <c r="J15" s="67" t="s">
        <v>30</v>
      </c>
      <c r="K15" s="19"/>
      <c r="L15" s="67" t="s">
        <v>202</v>
      </c>
      <c r="M15" s="67" t="s">
        <v>314</v>
      </c>
      <c r="N15" s="67" t="s">
        <v>203</v>
      </c>
      <c r="O15" s="19"/>
      <c r="P15" s="47" t="s">
        <v>439</v>
      </c>
      <c r="Q15" s="47" t="str">
        <f>"82,9600"</f>
        <v>82,9600</v>
      </c>
      <c r="R15" s="26" t="s">
        <v>382</v>
      </c>
    </row>
  </sheetData>
  <sheetProtection/>
  <mergeCells count="20">
    <mergeCell ref="A3:A4"/>
    <mergeCell ref="A5:R5"/>
    <mergeCell ref="A13:R13"/>
    <mergeCell ref="A10:R10"/>
    <mergeCell ref="A7:R7"/>
    <mergeCell ref="A8:R8"/>
    <mergeCell ref="A11:R11"/>
    <mergeCell ref="Q3:Q4"/>
    <mergeCell ref="R3:R4"/>
    <mergeCell ref="P3:P4"/>
    <mergeCell ref="A14:R14"/>
    <mergeCell ref="B1:R2"/>
    <mergeCell ref="B3:B4"/>
    <mergeCell ref="C3:C4"/>
    <mergeCell ref="D3:D4"/>
    <mergeCell ref="E3:E4"/>
    <mergeCell ref="F3:F4"/>
    <mergeCell ref="G3:G4"/>
    <mergeCell ref="H3:K3"/>
    <mergeCell ref="L3:O3"/>
  </mergeCells>
  <printOptions/>
  <pageMargins left="0.7" right="0.7" top="0.75" bottom="0.75" header="0.3" footer="0.3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8"/>
  <sheetViews>
    <sheetView tabSelected="1" workbookViewId="0" topLeftCell="D1">
      <selection activeCell="G11" sqref="G11"/>
    </sheetView>
  </sheetViews>
  <sheetFormatPr defaultColWidth="8.75390625" defaultRowHeight="12.75"/>
  <cols>
    <col min="1" max="11" width="15.875" style="0" customWidth="1"/>
  </cols>
  <sheetData>
    <row r="1" spans="1:11" ht="36.75" customHeight="1">
      <c r="A1" s="205" t="s">
        <v>423</v>
      </c>
      <c r="B1" s="206"/>
      <c r="C1" s="206"/>
      <c r="D1" s="206"/>
      <c r="E1" s="206"/>
      <c r="F1" s="206"/>
      <c r="G1" s="206"/>
      <c r="H1" s="206"/>
      <c r="I1" s="206"/>
      <c r="J1" s="206"/>
      <c r="K1" s="207"/>
    </row>
    <row r="2" spans="1:11" ht="111" customHeight="1" thickBot="1">
      <c r="A2" s="208"/>
      <c r="B2" s="209"/>
      <c r="C2" s="209"/>
      <c r="D2" s="209"/>
      <c r="E2" s="209"/>
      <c r="F2" s="209"/>
      <c r="G2" s="209"/>
      <c r="H2" s="209"/>
      <c r="I2" s="209"/>
      <c r="J2" s="209"/>
      <c r="K2" s="210"/>
    </row>
    <row r="4" ht="12.75">
      <c r="A4" t="s">
        <v>424</v>
      </c>
    </row>
    <row r="5" ht="12.75">
      <c r="A5" t="s">
        <v>425</v>
      </c>
    </row>
    <row r="6" ht="12.75">
      <c r="A6" t="s">
        <v>427</v>
      </c>
    </row>
    <row r="7" ht="12.75">
      <c r="A7" t="s">
        <v>426</v>
      </c>
    </row>
    <row r="8" ht="12.75">
      <c r="A8" t="s">
        <v>428</v>
      </c>
    </row>
  </sheetData>
  <sheetProtection/>
  <mergeCells count="1">
    <mergeCell ref="A1:K2"/>
  </mergeCells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9"/>
  <sheetViews>
    <sheetView workbookViewId="0" topLeftCell="B1">
      <selection activeCell="E28" sqref="E28"/>
    </sheetView>
  </sheetViews>
  <sheetFormatPr defaultColWidth="8.75390625" defaultRowHeight="12.75"/>
  <cols>
    <col min="1" max="1" width="9.125" style="38" customWidth="1"/>
    <col min="2" max="2" width="26.00390625" style="7" bestFit="1" customWidth="1"/>
    <col min="3" max="3" width="27.125" style="94" bestFit="1" customWidth="1"/>
    <col min="4" max="4" width="10.625" style="94" bestFit="1" customWidth="1"/>
    <col min="5" max="5" width="8.375" style="94" bestFit="1" customWidth="1"/>
    <col min="6" max="6" width="22.75390625" style="94" bestFit="1" customWidth="1"/>
    <col min="7" max="7" width="35.75390625" style="94" customWidth="1"/>
    <col min="8" max="10" width="5.625" style="7" bestFit="1" customWidth="1"/>
    <col min="11" max="11" width="4.625" style="7" bestFit="1" customWidth="1"/>
    <col min="12" max="14" width="5.625" style="7" bestFit="1" customWidth="1"/>
    <col min="15" max="15" width="4.625" style="7" bestFit="1" customWidth="1"/>
    <col min="16" max="18" width="5.625" style="7" bestFit="1" customWidth="1"/>
    <col min="19" max="19" width="4.625" style="7" bestFit="1" customWidth="1"/>
    <col min="20" max="20" width="11.25390625" style="86" bestFit="1" customWidth="1"/>
    <col min="21" max="21" width="8.625" style="7" bestFit="1" customWidth="1"/>
    <col min="22" max="22" width="15.75390625" style="94" bestFit="1" customWidth="1"/>
  </cols>
  <sheetData>
    <row r="1" spans="1:22" s="1" customFormat="1" ht="69.75" customHeight="1">
      <c r="A1" s="37"/>
      <c r="B1" s="168" t="s">
        <v>442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70"/>
    </row>
    <row r="2" spans="1:22" s="1" customFormat="1" ht="107.25" customHeight="1" thickBot="1">
      <c r="A2" s="37"/>
      <c r="B2" s="171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3"/>
    </row>
    <row r="3" spans="1:22" s="2" customFormat="1" ht="12.75" customHeight="1">
      <c r="A3" s="184" t="s">
        <v>414</v>
      </c>
      <c r="B3" s="174" t="s">
        <v>0</v>
      </c>
      <c r="C3" s="176" t="s">
        <v>415</v>
      </c>
      <c r="D3" s="178" t="s">
        <v>416</v>
      </c>
      <c r="E3" s="167" t="s">
        <v>9</v>
      </c>
      <c r="F3" s="180" t="s">
        <v>7</v>
      </c>
      <c r="G3" s="180" t="s">
        <v>417</v>
      </c>
      <c r="H3" s="167" t="s">
        <v>1</v>
      </c>
      <c r="I3" s="167"/>
      <c r="J3" s="167"/>
      <c r="K3" s="167"/>
      <c r="L3" s="167" t="s">
        <v>2</v>
      </c>
      <c r="M3" s="167"/>
      <c r="N3" s="167"/>
      <c r="O3" s="167"/>
      <c r="P3" s="167" t="s">
        <v>3</v>
      </c>
      <c r="Q3" s="167"/>
      <c r="R3" s="167"/>
      <c r="S3" s="167"/>
      <c r="T3" s="182" t="s">
        <v>4</v>
      </c>
      <c r="U3" s="167" t="s">
        <v>6</v>
      </c>
      <c r="V3" s="186" t="s">
        <v>5</v>
      </c>
    </row>
    <row r="4" spans="1:22" s="2" customFormat="1" ht="21" customHeight="1">
      <c r="A4" s="185"/>
      <c r="B4" s="175"/>
      <c r="C4" s="177"/>
      <c r="D4" s="179"/>
      <c r="E4" s="177"/>
      <c r="F4" s="181"/>
      <c r="G4" s="181"/>
      <c r="H4" s="81">
        <v>1</v>
      </c>
      <c r="I4" s="81">
        <v>2</v>
      </c>
      <c r="J4" s="81">
        <v>3</v>
      </c>
      <c r="K4" s="81" t="s">
        <v>8</v>
      </c>
      <c r="L4" s="81">
        <v>1</v>
      </c>
      <c r="M4" s="81">
        <v>2</v>
      </c>
      <c r="N4" s="81">
        <v>3</v>
      </c>
      <c r="O4" s="81" t="s">
        <v>8</v>
      </c>
      <c r="P4" s="81">
        <v>1</v>
      </c>
      <c r="Q4" s="81">
        <v>2</v>
      </c>
      <c r="R4" s="81">
        <v>3</v>
      </c>
      <c r="S4" s="81" t="s">
        <v>8</v>
      </c>
      <c r="T4" s="183"/>
      <c r="U4" s="177"/>
      <c r="V4" s="187"/>
    </row>
    <row r="5" spans="1:22" ht="15.75">
      <c r="A5" s="164" t="s">
        <v>117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6"/>
    </row>
    <row r="6" spans="1:22" ht="12.75">
      <c r="A6" s="82">
        <v>1</v>
      </c>
      <c r="B6" s="16" t="s">
        <v>160</v>
      </c>
      <c r="C6" s="91" t="s">
        <v>161</v>
      </c>
      <c r="D6" s="91" t="s">
        <v>162</v>
      </c>
      <c r="E6" s="91" t="str">
        <f>"0,6922"</f>
        <v>0,6922</v>
      </c>
      <c r="F6" s="91" t="s">
        <v>392</v>
      </c>
      <c r="G6" s="91" t="s">
        <v>429</v>
      </c>
      <c r="H6" s="51" t="s">
        <v>132</v>
      </c>
      <c r="I6" s="51" t="s">
        <v>127</v>
      </c>
      <c r="J6" s="52" t="s">
        <v>163</v>
      </c>
      <c r="K6" s="53"/>
      <c r="L6" s="51" t="s">
        <v>17</v>
      </c>
      <c r="M6" s="51" t="s">
        <v>164</v>
      </c>
      <c r="N6" s="52" t="s">
        <v>165</v>
      </c>
      <c r="O6" s="53"/>
      <c r="P6" s="51" t="s">
        <v>166</v>
      </c>
      <c r="Q6" s="51" t="s">
        <v>64</v>
      </c>
      <c r="R6" s="51" t="s">
        <v>42</v>
      </c>
      <c r="S6" s="53"/>
      <c r="T6" s="48">
        <v>437.5</v>
      </c>
      <c r="U6" s="54" t="str">
        <f>"302,8375"</f>
        <v>302,8375</v>
      </c>
      <c r="V6" s="91" t="s">
        <v>167</v>
      </c>
    </row>
    <row r="7" spans="1:22" ht="12.75">
      <c r="A7" s="188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189"/>
      <c r="Q7" s="189"/>
      <c r="R7" s="189"/>
      <c r="S7" s="189"/>
      <c r="T7" s="189"/>
      <c r="U7" s="189"/>
      <c r="V7" s="190"/>
    </row>
    <row r="8" spans="1:22" ht="15.75">
      <c r="A8" s="164" t="s">
        <v>31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6"/>
    </row>
    <row r="9" spans="1:22" ht="12.75">
      <c r="A9" s="100">
        <v>1</v>
      </c>
      <c r="B9" s="112" t="s">
        <v>168</v>
      </c>
      <c r="C9" s="78" t="s">
        <v>169</v>
      </c>
      <c r="D9" s="78" t="s">
        <v>170</v>
      </c>
      <c r="E9" s="78" t="str">
        <f>"0,6421"</f>
        <v>0,6421</v>
      </c>
      <c r="F9" s="78" t="s">
        <v>99</v>
      </c>
      <c r="G9" s="78" t="s">
        <v>14</v>
      </c>
      <c r="H9" s="55" t="s">
        <v>53</v>
      </c>
      <c r="I9" s="55" t="s">
        <v>171</v>
      </c>
      <c r="J9" s="55" t="s">
        <v>172</v>
      </c>
      <c r="K9" s="57"/>
      <c r="L9" s="55" t="s">
        <v>100</v>
      </c>
      <c r="M9" s="55" t="s">
        <v>101</v>
      </c>
      <c r="N9" s="55" t="s">
        <v>173</v>
      </c>
      <c r="O9" s="57"/>
      <c r="P9" s="55" t="s">
        <v>174</v>
      </c>
      <c r="Q9" s="55" t="s">
        <v>175</v>
      </c>
      <c r="R9" s="55" t="s">
        <v>176</v>
      </c>
      <c r="S9" s="57"/>
      <c r="T9" s="49">
        <v>650</v>
      </c>
      <c r="U9" s="58" t="str">
        <f>"417,3650"</f>
        <v>417,3650</v>
      </c>
      <c r="V9" s="78" t="s">
        <v>385</v>
      </c>
    </row>
    <row r="10" spans="1:22" ht="12.75">
      <c r="A10" s="113">
        <v>1</v>
      </c>
      <c r="B10" s="114" t="s">
        <v>32</v>
      </c>
      <c r="C10" s="115" t="s">
        <v>33</v>
      </c>
      <c r="D10" s="115" t="s">
        <v>34</v>
      </c>
      <c r="E10" s="115" t="str">
        <f>"0,6475"</f>
        <v>0,6475</v>
      </c>
      <c r="F10" s="115" t="s">
        <v>406</v>
      </c>
      <c r="G10" s="115" t="s">
        <v>430</v>
      </c>
      <c r="H10" s="117" t="s">
        <v>46</v>
      </c>
      <c r="I10" s="118" t="s">
        <v>46</v>
      </c>
      <c r="J10" s="118" t="s">
        <v>47</v>
      </c>
      <c r="K10" s="119"/>
      <c r="L10" s="118" t="s">
        <v>58</v>
      </c>
      <c r="M10" s="118" t="s">
        <v>41</v>
      </c>
      <c r="N10" s="119"/>
      <c r="O10" s="119"/>
      <c r="P10" s="118" t="s">
        <v>177</v>
      </c>
      <c r="Q10" s="118" t="s">
        <v>174</v>
      </c>
      <c r="R10" s="117" t="s">
        <v>178</v>
      </c>
      <c r="S10" s="119"/>
      <c r="T10" s="153">
        <v>640</v>
      </c>
      <c r="U10" s="39" t="str">
        <f>"414,4000"</f>
        <v>414,4000</v>
      </c>
      <c r="V10" s="115" t="s">
        <v>407</v>
      </c>
    </row>
    <row r="11" spans="1:22" ht="12.75">
      <c r="A11" s="113">
        <v>2</v>
      </c>
      <c r="B11" s="114" t="s">
        <v>179</v>
      </c>
      <c r="C11" s="115" t="s">
        <v>180</v>
      </c>
      <c r="D11" s="115" t="s">
        <v>181</v>
      </c>
      <c r="E11" s="115" t="str">
        <f>"0,6428"</f>
        <v>0,6428</v>
      </c>
      <c r="F11" s="115" t="s">
        <v>390</v>
      </c>
      <c r="G11" s="115" t="s">
        <v>14</v>
      </c>
      <c r="H11" s="118" t="s">
        <v>46</v>
      </c>
      <c r="I11" s="118" t="s">
        <v>47</v>
      </c>
      <c r="J11" s="117" t="s">
        <v>48</v>
      </c>
      <c r="K11" s="119"/>
      <c r="L11" s="118" t="s">
        <v>182</v>
      </c>
      <c r="M11" s="118" t="s">
        <v>166</v>
      </c>
      <c r="N11" s="119"/>
      <c r="O11" s="119"/>
      <c r="P11" s="118" t="s">
        <v>183</v>
      </c>
      <c r="Q11" s="118" t="s">
        <v>174</v>
      </c>
      <c r="R11" s="118" t="s">
        <v>184</v>
      </c>
      <c r="S11" s="119"/>
      <c r="T11" s="153">
        <v>627.5</v>
      </c>
      <c r="U11" s="39" t="str">
        <f>"403,3570"</f>
        <v>403,3570</v>
      </c>
      <c r="V11" s="115" t="s">
        <v>383</v>
      </c>
    </row>
    <row r="12" spans="1:22" ht="12.75">
      <c r="A12" s="104">
        <v>1</v>
      </c>
      <c r="B12" s="120" t="s">
        <v>32</v>
      </c>
      <c r="C12" s="107" t="s">
        <v>36</v>
      </c>
      <c r="D12" s="107" t="s">
        <v>34</v>
      </c>
      <c r="E12" s="107" t="str">
        <f>"0,6475"</f>
        <v>0,6475</v>
      </c>
      <c r="F12" s="107" t="s">
        <v>406</v>
      </c>
      <c r="G12" s="107" t="s">
        <v>430</v>
      </c>
      <c r="H12" s="110" t="s">
        <v>46</v>
      </c>
      <c r="I12" s="109" t="s">
        <v>46</v>
      </c>
      <c r="J12" s="109" t="s">
        <v>47</v>
      </c>
      <c r="K12" s="111"/>
      <c r="L12" s="109" t="s">
        <v>58</v>
      </c>
      <c r="M12" s="109" t="s">
        <v>41</v>
      </c>
      <c r="N12" s="111"/>
      <c r="O12" s="111"/>
      <c r="P12" s="109" t="s">
        <v>177</v>
      </c>
      <c r="Q12" s="109" t="s">
        <v>174</v>
      </c>
      <c r="R12" s="110" t="s">
        <v>178</v>
      </c>
      <c r="S12" s="111"/>
      <c r="T12" s="35">
        <v>640</v>
      </c>
      <c r="U12" s="33" t="str">
        <f>"414,4000"</f>
        <v>414,4000</v>
      </c>
      <c r="V12" s="107" t="s">
        <v>407</v>
      </c>
    </row>
    <row r="13" spans="1:22" ht="12.75">
      <c r="A13" s="188"/>
      <c r="B13" s="189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90"/>
    </row>
    <row r="14" spans="1:22" ht="15.75">
      <c r="A14" s="164" t="s">
        <v>37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  <c r="Q14" s="165"/>
      <c r="R14" s="165"/>
      <c r="S14" s="165"/>
      <c r="T14" s="165"/>
      <c r="U14" s="165"/>
      <c r="V14" s="166"/>
    </row>
    <row r="15" spans="1:22" ht="12.75">
      <c r="A15" s="100">
        <v>1</v>
      </c>
      <c r="B15" s="112" t="s">
        <v>185</v>
      </c>
      <c r="C15" s="78" t="s">
        <v>186</v>
      </c>
      <c r="D15" s="78" t="s">
        <v>187</v>
      </c>
      <c r="E15" s="78" t="str">
        <f>"0,6108"</f>
        <v>0,6108</v>
      </c>
      <c r="F15" s="78" t="s">
        <v>392</v>
      </c>
      <c r="G15" s="78" t="s">
        <v>429</v>
      </c>
      <c r="H15" s="55" t="s">
        <v>41</v>
      </c>
      <c r="I15" s="55" t="s">
        <v>46</v>
      </c>
      <c r="J15" s="55" t="s">
        <v>47</v>
      </c>
      <c r="K15" s="57"/>
      <c r="L15" s="55" t="s">
        <v>132</v>
      </c>
      <c r="M15" s="55" t="s">
        <v>101</v>
      </c>
      <c r="N15" s="55" t="s">
        <v>163</v>
      </c>
      <c r="O15" s="57"/>
      <c r="P15" s="55" t="s">
        <v>46</v>
      </c>
      <c r="Q15" s="55" t="s">
        <v>188</v>
      </c>
      <c r="R15" s="56" t="s">
        <v>183</v>
      </c>
      <c r="S15" s="57"/>
      <c r="T15" s="49">
        <v>590</v>
      </c>
      <c r="U15" s="58" t="str">
        <f>"360,3720"</f>
        <v>360,3720</v>
      </c>
      <c r="V15" s="78" t="s">
        <v>167</v>
      </c>
    </row>
    <row r="16" spans="1:22" ht="12.75">
      <c r="A16" s="104">
        <v>1</v>
      </c>
      <c r="B16" s="120" t="s">
        <v>189</v>
      </c>
      <c r="C16" s="79" t="s">
        <v>190</v>
      </c>
      <c r="D16" s="79" t="s">
        <v>191</v>
      </c>
      <c r="E16" s="79" t="str">
        <f>"0,6116"</f>
        <v>0,6116</v>
      </c>
      <c r="F16" s="79" t="s">
        <v>35</v>
      </c>
      <c r="G16" s="79" t="s">
        <v>192</v>
      </c>
      <c r="H16" s="63" t="s">
        <v>53</v>
      </c>
      <c r="I16" s="63" t="s">
        <v>46</v>
      </c>
      <c r="J16" s="63" t="s">
        <v>47</v>
      </c>
      <c r="K16" s="65"/>
      <c r="L16" s="63" t="s">
        <v>132</v>
      </c>
      <c r="M16" s="63" t="s">
        <v>127</v>
      </c>
      <c r="N16" s="63" t="s">
        <v>166</v>
      </c>
      <c r="O16" s="65"/>
      <c r="P16" s="63" t="s">
        <v>158</v>
      </c>
      <c r="Q16" s="63" t="s">
        <v>177</v>
      </c>
      <c r="R16" s="63" t="s">
        <v>193</v>
      </c>
      <c r="S16" s="65"/>
      <c r="T16" s="50">
        <v>620</v>
      </c>
      <c r="U16" s="66" t="str">
        <f>"379,1920"</f>
        <v>379,1920</v>
      </c>
      <c r="V16" s="79" t="s">
        <v>382</v>
      </c>
    </row>
    <row r="17" spans="1:22" ht="12.75">
      <c r="A17" s="188"/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89"/>
      <c r="V17" s="190"/>
    </row>
    <row r="18" spans="1:22" ht="15.75">
      <c r="A18" s="164" t="s">
        <v>60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166"/>
    </row>
    <row r="19" spans="1:22" ht="12.75">
      <c r="A19" s="82">
        <v>1</v>
      </c>
      <c r="B19" s="16" t="s">
        <v>194</v>
      </c>
      <c r="C19" s="91" t="s">
        <v>195</v>
      </c>
      <c r="D19" s="91" t="s">
        <v>196</v>
      </c>
      <c r="E19" s="91" t="str">
        <f>"0,5958"</f>
        <v>0,5958</v>
      </c>
      <c r="F19" s="91" t="s">
        <v>392</v>
      </c>
      <c r="G19" s="91" t="s">
        <v>429</v>
      </c>
      <c r="H19" s="51" t="s">
        <v>111</v>
      </c>
      <c r="I19" s="51" t="s">
        <v>126</v>
      </c>
      <c r="J19" s="51" t="s">
        <v>101</v>
      </c>
      <c r="K19" s="53"/>
      <c r="L19" s="51" t="s">
        <v>95</v>
      </c>
      <c r="M19" s="51" t="s">
        <v>197</v>
      </c>
      <c r="N19" s="52" t="s">
        <v>23</v>
      </c>
      <c r="O19" s="53"/>
      <c r="P19" s="51" t="s">
        <v>58</v>
      </c>
      <c r="Q19" s="51" t="s">
        <v>65</v>
      </c>
      <c r="R19" s="51" t="s">
        <v>198</v>
      </c>
      <c r="S19" s="53"/>
      <c r="T19" s="48">
        <v>417.5</v>
      </c>
      <c r="U19" s="54" t="str">
        <f>"248,7465"</f>
        <v>248,7465</v>
      </c>
      <c r="V19" s="91" t="s">
        <v>167</v>
      </c>
    </row>
  </sheetData>
  <sheetProtection/>
  <mergeCells count="21">
    <mergeCell ref="V3:V4"/>
    <mergeCell ref="P3:S3"/>
    <mergeCell ref="A3:A4"/>
    <mergeCell ref="A5:V5"/>
    <mergeCell ref="A7:V7"/>
    <mergeCell ref="A13:V13"/>
    <mergeCell ref="A17:V17"/>
    <mergeCell ref="A8:V8"/>
    <mergeCell ref="A14:V14"/>
    <mergeCell ref="T3:T4"/>
    <mergeCell ref="U3:U4"/>
    <mergeCell ref="A18:V18"/>
    <mergeCell ref="B1:V2"/>
    <mergeCell ref="B3:B4"/>
    <mergeCell ref="C3:C4"/>
    <mergeCell ref="D3:D4"/>
    <mergeCell ref="E3:E4"/>
    <mergeCell ref="F3:F4"/>
    <mergeCell ref="G3:G4"/>
    <mergeCell ref="H3:K3"/>
    <mergeCell ref="L3:O3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"/>
  <sheetViews>
    <sheetView workbookViewId="0" topLeftCell="A1">
      <selection activeCell="G15" sqref="G15"/>
    </sheetView>
  </sheetViews>
  <sheetFormatPr defaultColWidth="8.75390625" defaultRowHeight="12.75"/>
  <cols>
    <col min="1" max="1" width="8.75390625" style="0" customWidth="1"/>
    <col min="2" max="2" width="26.00390625" style="7" bestFit="1" customWidth="1"/>
    <col min="3" max="3" width="28.375" style="94" customWidth="1"/>
    <col min="4" max="4" width="10.625" style="94" bestFit="1" customWidth="1"/>
    <col min="5" max="5" width="8.375" style="94" bestFit="1" customWidth="1"/>
    <col min="6" max="6" width="22.75390625" style="7" bestFit="1" customWidth="1"/>
    <col min="7" max="7" width="22.125" style="7" bestFit="1" customWidth="1"/>
    <col min="8" max="10" width="5.625" style="7" bestFit="1" customWidth="1"/>
    <col min="11" max="11" width="4.625" style="7" bestFit="1" customWidth="1"/>
    <col min="12" max="14" width="5.625" style="7" bestFit="1" customWidth="1"/>
    <col min="15" max="15" width="4.625" style="7" bestFit="1" customWidth="1"/>
    <col min="16" max="18" width="5.625" style="7" bestFit="1" customWidth="1"/>
    <col min="19" max="19" width="4.625" style="7" bestFit="1" customWidth="1"/>
    <col min="20" max="20" width="11.25390625" style="7" bestFit="1" customWidth="1"/>
    <col min="21" max="21" width="8.625" style="7" bestFit="1" customWidth="1"/>
    <col min="22" max="22" width="24.625" style="7" customWidth="1"/>
  </cols>
  <sheetData>
    <row r="1" spans="2:22" s="1" customFormat="1" ht="78.75" customHeight="1">
      <c r="B1" s="168" t="s">
        <v>443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69"/>
      <c r="T1" s="169"/>
      <c r="U1" s="169"/>
      <c r="V1" s="170"/>
    </row>
    <row r="2" spans="2:22" s="1" customFormat="1" ht="123" customHeight="1" thickBot="1">
      <c r="B2" s="171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3"/>
    </row>
    <row r="3" spans="1:22" s="2" customFormat="1" ht="12.75" customHeight="1">
      <c r="A3" s="184" t="s">
        <v>414</v>
      </c>
      <c r="B3" s="174" t="s">
        <v>0</v>
      </c>
      <c r="C3" s="176" t="s">
        <v>415</v>
      </c>
      <c r="D3" s="178" t="s">
        <v>416</v>
      </c>
      <c r="E3" s="167" t="s">
        <v>9</v>
      </c>
      <c r="F3" s="167" t="s">
        <v>7</v>
      </c>
      <c r="G3" s="167" t="s">
        <v>417</v>
      </c>
      <c r="H3" s="167" t="s">
        <v>1</v>
      </c>
      <c r="I3" s="167"/>
      <c r="J3" s="167"/>
      <c r="K3" s="167"/>
      <c r="L3" s="167" t="s">
        <v>2</v>
      </c>
      <c r="M3" s="167"/>
      <c r="N3" s="167"/>
      <c r="O3" s="167"/>
      <c r="P3" s="167" t="s">
        <v>3</v>
      </c>
      <c r="Q3" s="167"/>
      <c r="R3" s="167"/>
      <c r="S3" s="167"/>
      <c r="T3" s="167" t="s">
        <v>4</v>
      </c>
      <c r="U3" s="167" t="s">
        <v>6</v>
      </c>
      <c r="V3" s="191" t="s">
        <v>5</v>
      </c>
    </row>
    <row r="4" spans="1:22" s="2" customFormat="1" ht="21" customHeight="1">
      <c r="A4" s="185"/>
      <c r="B4" s="175"/>
      <c r="C4" s="177"/>
      <c r="D4" s="179"/>
      <c r="E4" s="177"/>
      <c r="F4" s="177"/>
      <c r="G4" s="177"/>
      <c r="H4" s="81">
        <v>1</v>
      </c>
      <c r="I4" s="81">
        <v>2</v>
      </c>
      <c r="J4" s="81">
        <v>3</v>
      </c>
      <c r="K4" s="81" t="s">
        <v>8</v>
      </c>
      <c r="L4" s="81">
        <v>1</v>
      </c>
      <c r="M4" s="81">
        <v>2</v>
      </c>
      <c r="N4" s="81">
        <v>3</v>
      </c>
      <c r="O4" s="81" t="s">
        <v>8</v>
      </c>
      <c r="P4" s="81">
        <v>1</v>
      </c>
      <c r="Q4" s="81">
        <v>2</v>
      </c>
      <c r="R4" s="81">
        <v>3</v>
      </c>
      <c r="S4" s="81" t="s">
        <v>8</v>
      </c>
      <c r="T4" s="177"/>
      <c r="U4" s="177"/>
      <c r="V4" s="192"/>
    </row>
    <row r="5" spans="1:22" ht="15.75">
      <c r="A5" s="164" t="s">
        <v>37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6"/>
    </row>
    <row r="6" spans="1:22" ht="12.75">
      <c r="A6" s="83">
        <v>1</v>
      </c>
      <c r="B6" s="27" t="s">
        <v>152</v>
      </c>
      <c r="C6" s="91" t="s">
        <v>153</v>
      </c>
      <c r="D6" s="91" t="s">
        <v>154</v>
      </c>
      <c r="E6" s="91" t="str">
        <f>"0,6086"</f>
        <v>0,6086</v>
      </c>
      <c r="F6" s="91" t="s">
        <v>155</v>
      </c>
      <c r="G6" s="91" t="s">
        <v>14</v>
      </c>
      <c r="H6" s="52" t="s">
        <v>156</v>
      </c>
      <c r="I6" s="51" t="s">
        <v>156</v>
      </c>
      <c r="J6" s="51" t="s">
        <v>157</v>
      </c>
      <c r="K6" s="53"/>
      <c r="L6" s="51" t="s">
        <v>46</v>
      </c>
      <c r="M6" s="51" t="s">
        <v>47</v>
      </c>
      <c r="N6" s="52" t="s">
        <v>48</v>
      </c>
      <c r="O6" s="53"/>
      <c r="P6" s="51" t="s">
        <v>48</v>
      </c>
      <c r="Q6" s="51" t="s">
        <v>158</v>
      </c>
      <c r="R6" s="51" t="s">
        <v>159</v>
      </c>
      <c r="S6" s="53"/>
      <c r="T6" s="54">
        <v>767.5</v>
      </c>
      <c r="U6" s="54" t="str">
        <f>"467,1005"</f>
        <v>467,1005</v>
      </c>
      <c r="V6" s="91" t="s">
        <v>385</v>
      </c>
    </row>
  </sheetData>
  <sheetProtection/>
  <mergeCells count="15">
    <mergeCell ref="A3:A4"/>
    <mergeCell ref="A5:V5"/>
    <mergeCell ref="G3:G4"/>
    <mergeCell ref="H3:K3"/>
    <mergeCell ref="L3:O3"/>
    <mergeCell ref="P3:S3"/>
    <mergeCell ref="T3:T4"/>
    <mergeCell ref="U3:U4"/>
    <mergeCell ref="V3:V4"/>
    <mergeCell ref="B1:V2"/>
    <mergeCell ref="B3:B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G28" sqref="G27:G28"/>
    </sheetView>
  </sheetViews>
  <sheetFormatPr defaultColWidth="8.75390625" defaultRowHeight="12.75"/>
  <cols>
    <col min="1" max="1" width="9.125" style="38" customWidth="1"/>
    <col min="2" max="2" width="22.25390625" style="7" customWidth="1"/>
    <col min="3" max="3" width="26.25390625" style="94" customWidth="1"/>
    <col min="4" max="4" width="10.625" style="94" bestFit="1" customWidth="1"/>
    <col min="5" max="5" width="8.375" style="94" bestFit="1" customWidth="1"/>
    <col min="6" max="6" width="22.75390625" style="7" bestFit="1" customWidth="1"/>
    <col min="7" max="7" width="22.25390625" style="7" bestFit="1" customWidth="1"/>
    <col min="8" max="8" width="4.625" style="7" bestFit="1" customWidth="1"/>
    <col min="9" max="10" width="5.625" style="7" bestFit="1" customWidth="1"/>
    <col min="11" max="11" width="4.625" style="7" bestFit="1" customWidth="1"/>
    <col min="12" max="12" width="11.25390625" style="7" bestFit="1" customWidth="1"/>
    <col min="13" max="13" width="8.625" style="7" bestFit="1" customWidth="1"/>
    <col min="14" max="14" width="15.00390625" style="7" customWidth="1"/>
  </cols>
  <sheetData>
    <row r="1" spans="1:14" s="1" customFormat="1" ht="102.75" customHeight="1">
      <c r="A1" s="37"/>
      <c r="B1" s="168" t="s">
        <v>445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</row>
    <row r="2" spans="1:14" s="1" customFormat="1" ht="113.25" customHeight="1" thickBot="1">
      <c r="A2" s="37"/>
      <c r="B2" s="171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3"/>
    </row>
    <row r="3" spans="1:14" s="2" customFormat="1" ht="12.75" customHeight="1">
      <c r="A3" s="184" t="s">
        <v>414</v>
      </c>
      <c r="B3" s="174" t="s">
        <v>0</v>
      </c>
      <c r="C3" s="176" t="s">
        <v>415</v>
      </c>
      <c r="D3" s="178" t="s">
        <v>416</v>
      </c>
      <c r="E3" s="167" t="s">
        <v>9</v>
      </c>
      <c r="F3" s="167" t="s">
        <v>7</v>
      </c>
      <c r="G3" s="167" t="s">
        <v>417</v>
      </c>
      <c r="H3" s="167" t="s">
        <v>1</v>
      </c>
      <c r="I3" s="167"/>
      <c r="J3" s="167"/>
      <c r="K3" s="167"/>
      <c r="L3" s="167" t="s">
        <v>418</v>
      </c>
      <c r="M3" s="167" t="s">
        <v>6</v>
      </c>
      <c r="N3" s="191" t="s">
        <v>5</v>
      </c>
    </row>
    <row r="4" spans="1:14" s="2" customFormat="1" ht="21" customHeight="1">
      <c r="A4" s="185"/>
      <c r="B4" s="175"/>
      <c r="C4" s="177"/>
      <c r="D4" s="179"/>
      <c r="E4" s="177"/>
      <c r="F4" s="177"/>
      <c r="G4" s="177"/>
      <c r="H4" s="81">
        <v>1</v>
      </c>
      <c r="I4" s="81">
        <v>2</v>
      </c>
      <c r="J4" s="81">
        <v>3</v>
      </c>
      <c r="K4" s="81" t="s">
        <v>8</v>
      </c>
      <c r="L4" s="177"/>
      <c r="M4" s="177"/>
      <c r="N4" s="192"/>
    </row>
    <row r="5" spans="1:14" ht="12.75" customHeight="1">
      <c r="A5" s="160" t="s">
        <v>19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</row>
    <row r="6" spans="1:14" ht="12.75">
      <c r="A6" s="82">
        <v>1</v>
      </c>
      <c r="B6" s="16" t="s">
        <v>224</v>
      </c>
      <c r="C6" s="91" t="s">
        <v>225</v>
      </c>
      <c r="D6" s="91" t="s">
        <v>226</v>
      </c>
      <c r="E6" s="91" t="str">
        <f>"1,0613"</f>
        <v>1,0613</v>
      </c>
      <c r="F6" s="91" t="s">
        <v>35</v>
      </c>
      <c r="G6" s="91" t="s">
        <v>14</v>
      </c>
      <c r="H6" s="52" t="s">
        <v>30</v>
      </c>
      <c r="I6" s="52" t="s">
        <v>23</v>
      </c>
      <c r="J6" s="51" t="s">
        <v>23</v>
      </c>
      <c r="K6" s="14"/>
      <c r="L6" s="54" t="s">
        <v>23</v>
      </c>
      <c r="M6" s="54" t="str">
        <f>"84,9040"</f>
        <v>84,9040</v>
      </c>
      <c r="N6" s="91" t="s">
        <v>379</v>
      </c>
    </row>
    <row r="7" spans="1:14" ht="12.75">
      <c r="A7" s="199"/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</row>
    <row r="8" spans="1:14" ht="15.75">
      <c r="A8" s="160" t="s">
        <v>102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</row>
    <row r="9" spans="1:14" ht="12.75">
      <c r="A9" s="82">
        <v>1</v>
      </c>
      <c r="B9" s="27" t="s">
        <v>287</v>
      </c>
      <c r="C9" s="92" t="s">
        <v>288</v>
      </c>
      <c r="D9" s="92" t="s">
        <v>256</v>
      </c>
      <c r="E9" s="92" t="str">
        <f>"0,7278"</f>
        <v>0,7278</v>
      </c>
      <c r="F9" s="92" t="s">
        <v>35</v>
      </c>
      <c r="G9" s="92" t="s">
        <v>289</v>
      </c>
      <c r="H9" s="67" t="s">
        <v>380</v>
      </c>
      <c r="I9" s="67" t="s">
        <v>381</v>
      </c>
      <c r="J9" s="51" t="s">
        <v>300</v>
      </c>
      <c r="K9" s="15"/>
      <c r="L9" s="34">
        <v>167.5</v>
      </c>
      <c r="M9" s="34" t="str">
        <f>"121,9065"</f>
        <v>121,9065</v>
      </c>
      <c r="N9" s="92" t="s">
        <v>382</v>
      </c>
    </row>
    <row r="21" ht="12.75">
      <c r="L21" s="7" t="s">
        <v>441</v>
      </c>
    </row>
  </sheetData>
  <sheetProtection/>
  <mergeCells count="15">
    <mergeCell ref="A7:N7"/>
    <mergeCell ref="A8:N8"/>
    <mergeCell ref="A5:N5"/>
    <mergeCell ref="F3:F4"/>
    <mergeCell ref="G3:G4"/>
    <mergeCell ref="H3:K3"/>
    <mergeCell ref="L3:L4"/>
    <mergeCell ref="M3:M4"/>
    <mergeCell ref="N3:N4"/>
    <mergeCell ref="B1:N2"/>
    <mergeCell ref="B3:B4"/>
    <mergeCell ref="C3:C4"/>
    <mergeCell ref="D3:D4"/>
    <mergeCell ref="E3:E4"/>
    <mergeCell ref="A3:A4"/>
  </mergeCells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B15" sqref="B15"/>
    </sheetView>
  </sheetViews>
  <sheetFormatPr defaultColWidth="8.75390625" defaultRowHeight="12.75"/>
  <cols>
    <col min="1" max="1" width="9.125" style="84" customWidth="1"/>
    <col min="2" max="2" width="20.25390625" style="7" customWidth="1"/>
    <col min="3" max="3" width="26.875" style="94" bestFit="1" customWidth="1"/>
    <col min="4" max="4" width="10.625" style="94" bestFit="1" customWidth="1"/>
    <col min="5" max="5" width="8.375" style="94" bestFit="1" customWidth="1"/>
    <col min="6" max="6" width="18.875" style="7" customWidth="1"/>
    <col min="7" max="7" width="30.25390625" style="7" customWidth="1"/>
    <col min="8" max="10" width="5.625" style="7" bestFit="1" customWidth="1"/>
    <col min="11" max="11" width="4.625" style="7" bestFit="1" customWidth="1"/>
    <col min="12" max="12" width="11.25390625" style="7" bestFit="1" customWidth="1"/>
    <col min="13" max="13" width="8.625" style="7" bestFit="1" customWidth="1"/>
    <col min="14" max="14" width="12.75390625" style="7" customWidth="1"/>
  </cols>
  <sheetData>
    <row r="1" spans="1:14" s="1" customFormat="1" ht="95.25" customHeight="1">
      <c r="A1" s="77"/>
      <c r="B1" s="168" t="s">
        <v>446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</row>
    <row r="2" spans="1:14" s="1" customFormat="1" ht="125.25" customHeight="1" thickBot="1">
      <c r="A2" s="77"/>
      <c r="B2" s="171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3"/>
    </row>
    <row r="3" spans="1:14" s="2" customFormat="1" ht="12.75" customHeight="1">
      <c r="A3" s="184" t="s">
        <v>414</v>
      </c>
      <c r="B3" s="174" t="s">
        <v>0</v>
      </c>
      <c r="C3" s="176" t="s">
        <v>415</v>
      </c>
      <c r="D3" s="178" t="s">
        <v>416</v>
      </c>
      <c r="E3" s="167" t="s">
        <v>9</v>
      </c>
      <c r="F3" s="167" t="s">
        <v>7</v>
      </c>
      <c r="G3" s="167" t="s">
        <v>417</v>
      </c>
      <c r="H3" s="167" t="s">
        <v>1</v>
      </c>
      <c r="I3" s="167"/>
      <c r="J3" s="167"/>
      <c r="K3" s="167"/>
      <c r="L3" s="167" t="s">
        <v>418</v>
      </c>
      <c r="M3" s="167" t="s">
        <v>6</v>
      </c>
      <c r="N3" s="191" t="s">
        <v>5</v>
      </c>
    </row>
    <row r="4" spans="1:14" s="2" customFormat="1" ht="21" customHeight="1">
      <c r="A4" s="185"/>
      <c r="B4" s="175"/>
      <c r="C4" s="177"/>
      <c r="D4" s="179"/>
      <c r="E4" s="177"/>
      <c r="F4" s="177"/>
      <c r="G4" s="177"/>
      <c r="H4" s="81">
        <v>1</v>
      </c>
      <c r="I4" s="81">
        <v>2</v>
      </c>
      <c r="J4" s="81">
        <v>3</v>
      </c>
      <c r="K4" s="81" t="s">
        <v>8</v>
      </c>
      <c r="L4" s="177"/>
      <c r="M4" s="177"/>
      <c r="N4" s="192"/>
    </row>
    <row r="5" spans="1:14" ht="18" customHeight="1">
      <c r="A5" s="160" t="s">
        <v>31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</row>
    <row r="6" spans="1:14" ht="12.75">
      <c r="A6" s="121">
        <v>1</v>
      </c>
      <c r="B6" s="28" t="s">
        <v>32</v>
      </c>
      <c r="C6" s="78" t="s">
        <v>33</v>
      </c>
      <c r="D6" s="78" t="s">
        <v>34</v>
      </c>
      <c r="E6" s="78" t="str">
        <f>"0,6475"</f>
        <v>0,6475</v>
      </c>
      <c r="F6" s="78" t="s">
        <v>406</v>
      </c>
      <c r="G6" s="78" t="s">
        <v>430</v>
      </c>
      <c r="H6" s="56" t="s">
        <v>46</v>
      </c>
      <c r="I6" s="55" t="s">
        <v>46</v>
      </c>
      <c r="J6" s="55" t="s">
        <v>47</v>
      </c>
      <c r="K6" s="103"/>
      <c r="L6" s="49">
        <v>210</v>
      </c>
      <c r="M6" s="58" t="str">
        <f>"135,9750"</f>
        <v>135,9750</v>
      </c>
      <c r="N6" s="102" t="s">
        <v>382</v>
      </c>
    </row>
    <row r="7" spans="1:14" ht="12.75">
      <c r="A7" s="122">
        <v>1</v>
      </c>
      <c r="B7" s="30" t="s">
        <v>32</v>
      </c>
      <c r="C7" s="79" t="s">
        <v>36</v>
      </c>
      <c r="D7" s="79" t="s">
        <v>34</v>
      </c>
      <c r="E7" s="79" t="str">
        <f>"0,6475"</f>
        <v>0,6475</v>
      </c>
      <c r="F7" s="79" t="s">
        <v>406</v>
      </c>
      <c r="G7" s="79" t="s">
        <v>430</v>
      </c>
      <c r="H7" s="64" t="s">
        <v>46</v>
      </c>
      <c r="I7" s="63" t="s">
        <v>46</v>
      </c>
      <c r="J7" s="63" t="s">
        <v>47</v>
      </c>
      <c r="K7" s="123"/>
      <c r="L7" s="50">
        <v>210</v>
      </c>
      <c r="M7" s="66" t="str">
        <f>"141,9579"</f>
        <v>141,9579</v>
      </c>
      <c r="N7" s="106" t="s">
        <v>382</v>
      </c>
    </row>
  </sheetData>
  <sheetProtection/>
  <mergeCells count="13">
    <mergeCell ref="A3:A4"/>
    <mergeCell ref="A5:N5"/>
    <mergeCell ref="L3:L4"/>
    <mergeCell ref="M3:M4"/>
    <mergeCell ref="N3:N4"/>
    <mergeCell ref="B1:N2"/>
    <mergeCell ref="B3:B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B1" sqref="B1:N2"/>
    </sheetView>
  </sheetViews>
  <sheetFormatPr defaultColWidth="8.75390625" defaultRowHeight="12.75"/>
  <cols>
    <col min="1" max="1" width="8.75390625" style="0" customWidth="1"/>
    <col min="2" max="2" width="26.00390625" style="7" bestFit="1" customWidth="1"/>
    <col min="3" max="3" width="26.00390625" style="94" customWidth="1"/>
    <col min="4" max="4" width="10.625" style="94" bestFit="1" customWidth="1"/>
    <col min="5" max="5" width="8.375" style="94" bestFit="1" customWidth="1"/>
    <col min="6" max="6" width="22.75390625" style="7" bestFit="1" customWidth="1"/>
    <col min="7" max="7" width="22.125" style="7" bestFit="1" customWidth="1"/>
    <col min="8" max="8" width="4.00390625" style="7" bestFit="1" customWidth="1"/>
    <col min="9" max="10" width="5.625" style="7" bestFit="1" customWidth="1"/>
    <col min="11" max="11" width="4.625" style="7" bestFit="1" customWidth="1"/>
    <col min="12" max="12" width="11.25390625" style="7" bestFit="1" customWidth="1"/>
    <col min="13" max="13" width="8.625" style="7" bestFit="1" customWidth="1"/>
    <col min="14" max="14" width="28.125" style="7" customWidth="1"/>
  </cols>
  <sheetData>
    <row r="1" spans="2:14" s="1" customFormat="1" ht="62.25" customHeight="1">
      <c r="B1" s="193" t="s">
        <v>444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5"/>
    </row>
    <row r="2" spans="2:14" s="1" customFormat="1" ht="158.25" customHeight="1" thickBot="1">
      <c r="B2" s="196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8"/>
    </row>
    <row r="3" spans="1:14" s="2" customFormat="1" ht="12.75" customHeight="1">
      <c r="A3" s="184" t="s">
        <v>414</v>
      </c>
      <c r="B3" s="174" t="s">
        <v>0</v>
      </c>
      <c r="C3" s="176" t="s">
        <v>415</v>
      </c>
      <c r="D3" s="178" t="s">
        <v>416</v>
      </c>
      <c r="E3" s="167" t="s">
        <v>9</v>
      </c>
      <c r="F3" s="167" t="s">
        <v>7</v>
      </c>
      <c r="G3" s="167" t="s">
        <v>417</v>
      </c>
      <c r="H3" s="167" t="s">
        <v>1</v>
      </c>
      <c r="I3" s="167"/>
      <c r="J3" s="167"/>
      <c r="K3" s="167"/>
      <c r="L3" s="167" t="s">
        <v>418</v>
      </c>
      <c r="M3" s="167" t="s">
        <v>6</v>
      </c>
      <c r="N3" s="191" t="s">
        <v>5</v>
      </c>
    </row>
    <row r="4" spans="1:14" s="2" customFormat="1" ht="21" customHeight="1">
      <c r="A4" s="185"/>
      <c r="B4" s="175"/>
      <c r="C4" s="177"/>
      <c r="D4" s="179"/>
      <c r="E4" s="177"/>
      <c r="F4" s="177"/>
      <c r="G4" s="177"/>
      <c r="H4" s="81">
        <v>1</v>
      </c>
      <c r="I4" s="81">
        <v>2</v>
      </c>
      <c r="J4" s="81">
        <v>3</v>
      </c>
      <c r="K4" s="81" t="s">
        <v>8</v>
      </c>
      <c r="L4" s="177"/>
      <c r="M4" s="177"/>
      <c r="N4" s="192"/>
    </row>
    <row r="5" spans="1:14" ht="15" customHeight="1">
      <c r="A5" s="160" t="s">
        <v>60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</row>
    <row r="6" spans="1:14" ht="12.75">
      <c r="A6" s="83">
        <v>1</v>
      </c>
      <c r="B6" s="27" t="s">
        <v>296</v>
      </c>
      <c r="C6" s="91" t="s">
        <v>297</v>
      </c>
      <c r="D6" s="91" t="s">
        <v>298</v>
      </c>
      <c r="E6" s="91" t="str">
        <f>"0,6009"</f>
        <v>0,6009</v>
      </c>
      <c r="F6" s="13" t="s">
        <v>35</v>
      </c>
      <c r="G6" s="13" t="s">
        <v>14</v>
      </c>
      <c r="H6" s="52" t="s">
        <v>402</v>
      </c>
      <c r="I6" s="51" t="s">
        <v>47</v>
      </c>
      <c r="J6" s="52" t="s">
        <v>48</v>
      </c>
      <c r="K6" s="53"/>
      <c r="L6" s="48">
        <v>210</v>
      </c>
      <c r="M6" s="54" t="str">
        <f>"126,1890"</f>
        <v>126,1890</v>
      </c>
      <c r="N6" s="13" t="s">
        <v>382</v>
      </c>
    </row>
    <row r="25" ht="12.75">
      <c r="J25" s="7" t="s">
        <v>441</v>
      </c>
    </row>
  </sheetData>
  <sheetProtection/>
  <mergeCells count="13">
    <mergeCell ref="A3:A4"/>
    <mergeCell ref="A5:N5"/>
    <mergeCell ref="L3:L4"/>
    <mergeCell ref="M3:M4"/>
    <mergeCell ref="N3:N4"/>
    <mergeCell ref="B1:N2"/>
    <mergeCell ref="B3:B4"/>
    <mergeCell ref="C3:C4"/>
    <mergeCell ref="D3:D4"/>
    <mergeCell ref="E3:E4"/>
    <mergeCell ref="F3:F4"/>
    <mergeCell ref="G3:G4"/>
    <mergeCell ref="H3:K3"/>
  </mergeCell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A11" sqref="A11:N11"/>
    </sheetView>
  </sheetViews>
  <sheetFormatPr defaultColWidth="8.75390625" defaultRowHeight="12.75"/>
  <cols>
    <col min="1" max="1" width="9.125" style="38" customWidth="1"/>
    <col min="2" max="2" width="22.875" style="7" customWidth="1"/>
    <col min="3" max="3" width="27.125" style="94" bestFit="1" customWidth="1"/>
    <col min="4" max="4" width="10.625" style="94" bestFit="1" customWidth="1"/>
    <col min="5" max="5" width="8.375" style="94" bestFit="1" customWidth="1"/>
    <col min="6" max="6" width="22.75390625" style="94" bestFit="1" customWidth="1"/>
    <col min="7" max="7" width="20.75390625" style="94" customWidth="1"/>
    <col min="8" max="10" width="5.625" style="7" bestFit="1" customWidth="1"/>
    <col min="11" max="11" width="4.625" style="7" bestFit="1" customWidth="1"/>
    <col min="12" max="12" width="11.25390625" style="86" bestFit="1" customWidth="1"/>
    <col min="13" max="13" width="8.625" style="7" bestFit="1" customWidth="1"/>
    <col min="14" max="14" width="14.625" style="94" customWidth="1"/>
  </cols>
  <sheetData>
    <row r="1" spans="1:14" s="1" customFormat="1" ht="90" customHeight="1">
      <c r="A1" s="37"/>
      <c r="B1" s="168" t="s">
        <v>447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</row>
    <row r="2" spans="1:14" s="1" customFormat="1" ht="117.75" customHeight="1" thickBot="1">
      <c r="A2" s="37"/>
      <c r="B2" s="171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3"/>
    </row>
    <row r="3" spans="1:14" s="2" customFormat="1" ht="12.75" customHeight="1">
      <c r="A3" s="184" t="s">
        <v>414</v>
      </c>
      <c r="B3" s="174" t="s">
        <v>0</v>
      </c>
      <c r="C3" s="176" t="s">
        <v>415</v>
      </c>
      <c r="D3" s="178" t="s">
        <v>416</v>
      </c>
      <c r="E3" s="167" t="s">
        <v>9</v>
      </c>
      <c r="F3" s="180" t="s">
        <v>7</v>
      </c>
      <c r="G3" s="180" t="s">
        <v>417</v>
      </c>
      <c r="H3" s="167" t="s">
        <v>2</v>
      </c>
      <c r="I3" s="167"/>
      <c r="J3" s="167"/>
      <c r="K3" s="167"/>
      <c r="L3" s="182" t="s">
        <v>418</v>
      </c>
      <c r="M3" s="167" t="s">
        <v>6</v>
      </c>
      <c r="N3" s="186" t="s">
        <v>5</v>
      </c>
    </row>
    <row r="4" spans="1:14" s="2" customFormat="1" ht="21" customHeight="1">
      <c r="A4" s="185"/>
      <c r="B4" s="175"/>
      <c r="C4" s="177"/>
      <c r="D4" s="179"/>
      <c r="E4" s="177"/>
      <c r="F4" s="181"/>
      <c r="G4" s="181"/>
      <c r="H4" s="81">
        <v>1</v>
      </c>
      <c r="I4" s="81">
        <v>2</v>
      </c>
      <c r="J4" s="81">
        <v>3</v>
      </c>
      <c r="K4" s="81" t="s">
        <v>8</v>
      </c>
      <c r="L4" s="183"/>
      <c r="M4" s="177"/>
      <c r="N4" s="187"/>
    </row>
    <row r="5" spans="1:14" ht="12.75" customHeight="1">
      <c r="A5" s="164" t="s">
        <v>81</v>
      </c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6"/>
    </row>
    <row r="6" spans="1:14" ht="12.75">
      <c r="A6" s="82">
        <v>1</v>
      </c>
      <c r="B6" s="20" t="s">
        <v>82</v>
      </c>
      <c r="C6" s="91" t="s">
        <v>83</v>
      </c>
      <c r="D6" s="91" t="s">
        <v>84</v>
      </c>
      <c r="E6" s="91" t="str">
        <f>"1,2635"</f>
        <v>1,2635</v>
      </c>
      <c r="F6" s="91" t="s">
        <v>390</v>
      </c>
      <c r="G6" s="91" t="s">
        <v>14</v>
      </c>
      <c r="H6" s="51" t="s">
        <v>85</v>
      </c>
      <c r="I6" s="51" t="s">
        <v>86</v>
      </c>
      <c r="J6" s="51" t="s">
        <v>87</v>
      </c>
      <c r="K6" s="14"/>
      <c r="L6" s="48">
        <v>47.5</v>
      </c>
      <c r="M6" s="54" t="str">
        <f>"60,0162"</f>
        <v>60,0162</v>
      </c>
      <c r="N6" s="91" t="s">
        <v>399</v>
      </c>
    </row>
    <row r="7" spans="1:14" ht="12.75">
      <c r="A7" s="199"/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</row>
    <row r="8" spans="1:14" ht="15.75">
      <c r="A8" s="164" t="s">
        <v>10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6"/>
    </row>
    <row r="9" spans="1:14" ht="12.75">
      <c r="A9" s="100">
        <v>1</v>
      </c>
      <c r="B9" s="112" t="s">
        <v>88</v>
      </c>
      <c r="C9" s="78" t="s">
        <v>89</v>
      </c>
      <c r="D9" s="78" t="s">
        <v>90</v>
      </c>
      <c r="E9" s="78" t="str">
        <f>"1,1386"</f>
        <v>1,1386</v>
      </c>
      <c r="F9" s="78" t="s">
        <v>35</v>
      </c>
      <c r="G9" s="78" t="s">
        <v>14</v>
      </c>
      <c r="H9" s="55" t="s">
        <v>86</v>
      </c>
      <c r="I9" s="55" t="s">
        <v>87</v>
      </c>
      <c r="J9" s="56" t="s">
        <v>91</v>
      </c>
      <c r="K9" s="57"/>
      <c r="L9" s="49">
        <v>47.5</v>
      </c>
      <c r="M9" s="58" t="str">
        <f>"54,0835"</f>
        <v>54,0835</v>
      </c>
      <c r="N9" s="78" t="s">
        <v>398</v>
      </c>
    </row>
    <row r="10" spans="1:14" ht="12.75">
      <c r="A10" s="104"/>
      <c r="B10" s="120" t="s">
        <v>92</v>
      </c>
      <c r="C10" s="79" t="s">
        <v>93</v>
      </c>
      <c r="D10" s="79" t="s">
        <v>94</v>
      </c>
      <c r="E10" s="79" t="str">
        <f>"1,1192"</f>
        <v>1,1192</v>
      </c>
      <c r="F10" s="79" t="s">
        <v>390</v>
      </c>
      <c r="G10" s="79" t="s">
        <v>14</v>
      </c>
      <c r="H10" s="64" t="s">
        <v>95</v>
      </c>
      <c r="I10" s="64" t="s">
        <v>95</v>
      </c>
      <c r="J10" s="65"/>
      <c r="K10" s="65"/>
      <c r="L10" s="149">
        <v>0</v>
      </c>
      <c r="M10" s="66" t="s">
        <v>431</v>
      </c>
      <c r="N10" s="79" t="s">
        <v>388</v>
      </c>
    </row>
    <row r="11" spans="1:14" ht="12.75">
      <c r="A11" s="199"/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</row>
    <row r="12" spans="1:14" ht="15.75">
      <c r="A12" s="164" t="s">
        <v>19</v>
      </c>
      <c r="B12" s="165"/>
      <c r="C12" s="165"/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6"/>
    </row>
    <row r="13" spans="1:14" ht="12.75">
      <c r="A13" s="82">
        <v>1</v>
      </c>
      <c r="B13" s="16" t="s">
        <v>96</v>
      </c>
      <c r="C13" s="91" t="s">
        <v>97</v>
      </c>
      <c r="D13" s="91" t="s">
        <v>98</v>
      </c>
      <c r="E13" s="91" t="str">
        <f>"0,7710"</f>
        <v>0,7710</v>
      </c>
      <c r="F13" s="91" t="s">
        <v>99</v>
      </c>
      <c r="G13" s="91" t="s">
        <v>14</v>
      </c>
      <c r="H13" s="51" t="s">
        <v>100</v>
      </c>
      <c r="I13" s="52" t="s">
        <v>101</v>
      </c>
      <c r="J13" s="51" t="s">
        <v>101</v>
      </c>
      <c r="K13" s="53"/>
      <c r="L13" s="48">
        <v>152.5</v>
      </c>
      <c r="M13" s="54" t="str">
        <f>"117,5775"</f>
        <v>117,5775</v>
      </c>
      <c r="N13" s="91" t="s">
        <v>385</v>
      </c>
    </row>
    <row r="14" spans="1:14" ht="12.75">
      <c r="A14" s="199"/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</row>
    <row r="15" spans="1:14" ht="15.75">
      <c r="A15" s="164" t="s">
        <v>102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6"/>
    </row>
    <row r="16" spans="1:14" ht="12.75">
      <c r="A16" s="100">
        <v>1</v>
      </c>
      <c r="B16" s="112" t="s">
        <v>103</v>
      </c>
      <c r="C16" s="124" t="s">
        <v>104</v>
      </c>
      <c r="D16" s="124" t="s">
        <v>105</v>
      </c>
      <c r="E16" s="124" t="str">
        <f>"0,7271"</f>
        <v>0,7271</v>
      </c>
      <c r="F16" s="124" t="s">
        <v>35</v>
      </c>
      <c r="G16" s="124" t="s">
        <v>106</v>
      </c>
      <c r="H16" s="126" t="s">
        <v>95</v>
      </c>
      <c r="I16" s="126" t="s">
        <v>23</v>
      </c>
      <c r="J16" s="126" t="s">
        <v>107</v>
      </c>
      <c r="K16" s="127"/>
      <c r="L16" s="154">
        <v>87.5</v>
      </c>
      <c r="M16" s="32" t="str">
        <f>"63,6213"</f>
        <v>63,6213</v>
      </c>
      <c r="N16" s="78" t="s">
        <v>382</v>
      </c>
    </row>
    <row r="17" spans="1:14" ht="12.75">
      <c r="A17" s="113">
        <v>1</v>
      </c>
      <c r="B17" s="114" t="s">
        <v>108</v>
      </c>
      <c r="C17" s="128" t="s">
        <v>109</v>
      </c>
      <c r="D17" s="128" t="s">
        <v>110</v>
      </c>
      <c r="E17" s="128" t="str">
        <f>"0,7256"</f>
        <v>0,7256</v>
      </c>
      <c r="F17" s="128" t="s">
        <v>35</v>
      </c>
      <c r="G17" s="128" t="s">
        <v>14</v>
      </c>
      <c r="H17" s="60" t="s">
        <v>111</v>
      </c>
      <c r="I17" s="60" t="s">
        <v>111</v>
      </c>
      <c r="J17" s="59" t="s">
        <v>112</v>
      </c>
      <c r="K17" s="61"/>
      <c r="L17" s="155">
        <v>135</v>
      </c>
      <c r="M17" s="62" t="str">
        <f>"97,9560"</f>
        <v>97,9560</v>
      </c>
      <c r="N17" s="128" t="s">
        <v>382</v>
      </c>
    </row>
    <row r="18" spans="1:14" ht="12.75">
      <c r="A18" s="104">
        <v>1</v>
      </c>
      <c r="B18" s="120" t="s">
        <v>113</v>
      </c>
      <c r="C18" s="79" t="s">
        <v>114</v>
      </c>
      <c r="D18" s="79" t="s">
        <v>115</v>
      </c>
      <c r="E18" s="79" t="str">
        <f>"0,7126"</f>
        <v>0,7126</v>
      </c>
      <c r="F18" s="79" t="s">
        <v>116</v>
      </c>
      <c r="G18" s="79" t="s">
        <v>14</v>
      </c>
      <c r="H18" s="64" t="s">
        <v>112</v>
      </c>
      <c r="I18" s="63" t="s">
        <v>112</v>
      </c>
      <c r="J18" s="63" t="s">
        <v>100</v>
      </c>
      <c r="K18" s="65"/>
      <c r="L18" s="50">
        <v>145</v>
      </c>
      <c r="M18" s="66" t="str">
        <f>"103,3270"</f>
        <v>103,3270</v>
      </c>
      <c r="N18" s="79" t="s">
        <v>384</v>
      </c>
    </row>
    <row r="19" spans="1:14" ht="12.75">
      <c r="A19" s="199"/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</row>
    <row r="20" spans="1:14" ht="15.75">
      <c r="A20" s="164" t="s">
        <v>117</v>
      </c>
      <c r="B20" s="165"/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6"/>
    </row>
    <row r="21" spans="1:14" ht="12.75">
      <c r="A21" s="82">
        <v>1</v>
      </c>
      <c r="B21" s="16" t="s">
        <v>118</v>
      </c>
      <c r="C21" s="92" t="s">
        <v>119</v>
      </c>
      <c r="D21" s="92" t="s">
        <v>120</v>
      </c>
      <c r="E21" s="92" t="str">
        <f>"0,6832"</f>
        <v>0,6832</v>
      </c>
      <c r="F21" s="92" t="s">
        <v>35</v>
      </c>
      <c r="G21" s="92" t="s">
        <v>14</v>
      </c>
      <c r="H21" s="67" t="s">
        <v>121</v>
      </c>
      <c r="I21" s="67" t="s">
        <v>28</v>
      </c>
      <c r="J21" s="67" t="s">
        <v>122</v>
      </c>
      <c r="K21" s="15"/>
      <c r="L21" s="36">
        <v>67.5</v>
      </c>
      <c r="M21" s="34" t="str">
        <f>"46,1160"</f>
        <v>46,1160</v>
      </c>
      <c r="N21" s="92" t="s">
        <v>386</v>
      </c>
    </row>
    <row r="22" spans="1:14" ht="12.75">
      <c r="A22" s="199"/>
      <c r="B22" s="199"/>
      <c r="C22" s="199"/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</row>
    <row r="23" spans="1:14" ht="15.75">
      <c r="A23" s="164" t="s">
        <v>31</v>
      </c>
      <c r="B23" s="165"/>
      <c r="C23" s="165"/>
      <c r="D23" s="165"/>
      <c r="E23" s="165"/>
      <c r="F23" s="165"/>
      <c r="G23" s="165"/>
      <c r="H23" s="165"/>
      <c r="I23" s="165"/>
      <c r="J23" s="165"/>
      <c r="K23" s="165"/>
      <c r="L23" s="165"/>
      <c r="M23" s="165"/>
      <c r="N23" s="166"/>
    </row>
    <row r="24" spans="1:14" ht="12.75">
      <c r="A24" s="100">
        <v>1</v>
      </c>
      <c r="B24" s="112" t="s">
        <v>123</v>
      </c>
      <c r="C24" s="78" t="s">
        <v>124</v>
      </c>
      <c r="D24" s="78" t="s">
        <v>125</v>
      </c>
      <c r="E24" s="78" t="str">
        <f>"0,6391"</f>
        <v>0,6391</v>
      </c>
      <c r="F24" s="78" t="s">
        <v>35</v>
      </c>
      <c r="G24" s="78" t="s">
        <v>14</v>
      </c>
      <c r="H24" s="55" t="s">
        <v>112</v>
      </c>
      <c r="I24" s="55" t="s">
        <v>126</v>
      </c>
      <c r="J24" s="55" t="s">
        <v>127</v>
      </c>
      <c r="K24" s="103"/>
      <c r="L24" s="49">
        <v>147.5</v>
      </c>
      <c r="M24" s="58" t="str">
        <f>"94,2673"</f>
        <v>94,2673</v>
      </c>
      <c r="N24" s="78" t="s">
        <v>24</v>
      </c>
    </row>
    <row r="25" spans="1:14" ht="12.75">
      <c r="A25" s="113">
        <v>2</v>
      </c>
      <c r="B25" s="114" t="s">
        <v>128</v>
      </c>
      <c r="C25" s="115" t="s">
        <v>129</v>
      </c>
      <c r="D25" s="115" t="s">
        <v>130</v>
      </c>
      <c r="E25" s="115" t="str">
        <f>"0,6579"</f>
        <v>0,6579</v>
      </c>
      <c r="F25" s="115" t="s">
        <v>35</v>
      </c>
      <c r="G25" s="115" t="s">
        <v>14</v>
      </c>
      <c r="H25" s="59" t="s">
        <v>131</v>
      </c>
      <c r="I25" s="60" t="s">
        <v>132</v>
      </c>
      <c r="J25" s="59" t="s">
        <v>132</v>
      </c>
      <c r="K25" s="61"/>
      <c r="L25" s="155">
        <v>140</v>
      </c>
      <c r="M25" s="62" t="str">
        <f>"92,1060"</f>
        <v>92,1060</v>
      </c>
      <c r="N25" s="115" t="s">
        <v>387</v>
      </c>
    </row>
    <row r="26" spans="1:14" ht="12.75">
      <c r="A26" s="113">
        <v>3</v>
      </c>
      <c r="B26" s="114" t="s">
        <v>133</v>
      </c>
      <c r="C26" s="115" t="s">
        <v>134</v>
      </c>
      <c r="D26" s="115" t="s">
        <v>135</v>
      </c>
      <c r="E26" s="115" t="str">
        <f>"0,6395"</f>
        <v>0,6395</v>
      </c>
      <c r="F26" s="115" t="s">
        <v>35</v>
      </c>
      <c r="G26" s="115" t="s">
        <v>14</v>
      </c>
      <c r="H26" s="118" t="s">
        <v>131</v>
      </c>
      <c r="I26" s="117" t="s">
        <v>132</v>
      </c>
      <c r="J26" s="117" t="s">
        <v>132</v>
      </c>
      <c r="K26" s="119"/>
      <c r="L26" s="153">
        <v>132.5</v>
      </c>
      <c r="M26" s="39" t="str">
        <f>"84,7338"</f>
        <v>84,7338</v>
      </c>
      <c r="N26" s="115" t="s">
        <v>382</v>
      </c>
    </row>
    <row r="27" spans="1:14" ht="12.75">
      <c r="A27" s="104">
        <v>4</v>
      </c>
      <c r="B27" s="120" t="s">
        <v>136</v>
      </c>
      <c r="C27" s="79" t="s">
        <v>137</v>
      </c>
      <c r="D27" s="79" t="s">
        <v>34</v>
      </c>
      <c r="E27" s="79" t="str">
        <f>"0,6475"</f>
        <v>0,6475</v>
      </c>
      <c r="F27" s="79" t="s">
        <v>35</v>
      </c>
      <c r="G27" s="79" t="s">
        <v>14</v>
      </c>
      <c r="H27" s="64" t="s">
        <v>138</v>
      </c>
      <c r="I27" s="63" t="s">
        <v>138</v>
      </c>
      <c r="J27" s="64" t="s">
        <v>131</v>
      </c>
      <c r="K27" s="65"/>
      <c r="L27" s="50">
        <v>122.5</v>
      </c>
      <c r="M27" s="66" t="str">
        <f>"79,3187"</f>
        <v>79,3187</v>
      </c>
      <c r="N27" s="107" t="s">
        <v>382</v>
      </c>
    </row>
    <row r="28" spans="1:14" ht="12.75">
      <c r="A28" s="199"/>
      <c r="B28" s="199"/>
      <c r="C28" s="199"/>
      <c r="D28" s="199"/>
      <c r="E28" s="199"/>
      <c r="F28" s="199"/>
      <c r="G28" s="199"/>
      <c r="H28" s="199"/>
      <c r="I28" s="199"/>
      <c r="J28" s="199"/>
      <c r="K28" s="199"/>
      <c r="L28" s="199"/>
      <c r="M28" s="199"/>
      <c r="N28" s="199"/>
    </row>
    <row r="29" spans="1:14" ht="15.75">
      <c r="A29" s="164" t="s">
        <v>37</v>
      </c>
      <c r="B29" s="165"/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6"/>
    </row>
    <row r="30" spans="1:14" ht="12.75">
      <c r="A30" s="100">
        <v>1</v>
      </c>
      <c r="B30" s="101" t="s">
        <v>139</v>
      </c>
      <c r="C30" s="78" t="s">
        <v>140</v>
      </c>
      <c r="D30" s="78" t="s">
        <v>141</v>
      </c>
      <c r="E30" s="78" t="str">
        <f>"0,6126"</f>
        <v>0,6126</v>
      </c>
      <c r="F30" s="78" t="s">
        <v>401</v>
      </c>
      <c r="G30" s="78" t="s">
        <v>14</v>
      </c>
      <c r="H30" s="56" t="s">
        <v>142</v>
      </c>
      <c r="I30" s="56" t="s">
        <v>142</v>
      </c>
      <c r="J30" s="55" t="s">
        <v>142</v>
      </c>
      <c r="K30" s="57"/>
      <c r="L30" s="49">
        <v>162.5</v>
      </c>
      <c r="M30" s="58" t="str">
        <f>"99,5475"</f>
        <v>99,5475</v>
      </c>
      <c r="N30" s="78" t="s">
        <v>384</v>
      </c>
    </row>
    <row r="31" spans="1:14" ht="12.75">
      <c r="A31" s="104">
        <v>2</v>
      </c>
      <c r="B31" s="120" t="s">
        <v>143</v>
      </c>
      <c r="C31" s="107" t="s">
        <v>144</v>
      </c>
      <c r="D31" s="107" t="s">
        <v>145</v>
      </c>
      <c r="E31" s="107" t="str">
        <f>"0,6123"</f>
        <v>0,6123</v>
      </c>
      <c r="F31" s="107" t="s">
        <v>116</v>
      </c>
      <c r="G31" s="107" t="s">
        <v>14</v>
      </c>
      <c r="H31" s="109" t="s">
        <v>146</v>
      </c>
      <c r="I31" s="109" t="s">
        <v>111</v>
      </c>
      <c r="J31" s="110" t="s">
        <v>132</v>
      </c>
      <c r="K31" s="111"/>
      <c r="L31" s="35">
        <v>130</v>
      </c>
      <c r="M31" s="33" t="str">
        <f>"79,5990"</f>
        <v>79,5990</v>
      </c>
      <c r="N31" s="107" t="s">
        <v>384</v>
      </c>
    </row>
    <row r="33" spans="2:3" ht="18">
      <c r="B33" s="8" t="s">
        <v>69</v>
      </c>
      <c r="C33" s="93"/>
    </row>
    <row r="34" spans="2:6" ht="13.5">
      <c r="B34" s="10" t="s">
        <v>71</v>
      </c>
      <c r="C34" s="10" t="s">
        <v>72</v>
      </c>
      <c r="D34" s="10" t="s">
        <v>73</v>
      </c>
      <c r="E34" s="10" t="s">
        <v>74</v>
      </c>
      <c r="F34" s="96" t="s">
        <v>75</v>
      </c>
    </row>
    <row r="35" spans="1:6" ht="12.75">
      <c r="A35" s="38">
        <v>1</v>
      </c>
      <c r="B35" s="21" t="s">
        <v>96</v>
      </c>
      <c r="C35" s="13" t="s">
        <v>77</v>
      </c>
      <c r="D35" s="48" t="s">
        <v>76</v>
      </c>
      <c r="E35" s="48">
        <v>152.5</v>
      </c>
      <c r="F35" s="54" t="s">
        <v>149</v>
      </c>
    </row>
    <row r="36" spans="1:6" ht="12.75">
      <c r="A36" s="38">
        <v>2</v>
      </c>
      <c r="B36" s="21" t="s">
        <v>113</v>
      </c>
      <c r="C36" s="13" t="s">
        <v>77</v>
      </c>
      <c r="D36" s="48">
        <v>75</v>
      </c>
      <c r="E36" s="48">
        <v>145</v>
      </c>
      <c r="F36" s="54" t="s">
        <v>150</v>
      </c>
    </row>
    <row r="37" spans="1:6" ht="12.75">
      <c r="A37" s="38">
        <v>3</v>
      </c>
      <c r="B37" s="21" t="s">
        <v>139</v>
      </c>
      <c r="C37" s="13" t="s">
        <v>77</v>
      </c>
      <c r="D37" s="48">
        <v>100</v>
      </c>
      <c r="E37" s="48">
        <v>162.5</v>
      </c>
      <c r="F37" s="54" t="s">
        <v>151</v>
      </c>
    </row>
  </sheetData>
  <sheetProtection/>
  <mergeCells count="25">
    <mergeCell ref="A8:N8"/>
    <mergeCell ref="A12:N12"/>
    <mergeCell ref="A15:N15"/>
    <mergeCell ref="A20:N20"/>
    <mergeCell ref="A23:N23"/>
    <mergeCell ref="A29:N29"/>
    <mergeCell ref="A3:A4"/>
    <mergeCell ref="A7:N7"/>
    <mergeCell ref="A11:N11"/>
    <mergeCell ref="A14:N14"/>
    <mergeCell ref="A19:N19"/>
    <mergeCell ref="A22:N22"/>
    <mergeCell ref="N3:N4"/>
    <mergeCell ref="A28:N28"/>
    <mergeCell ref="A5:N5"/>
    <mergeCell ref="B1:N2"/>
    <mergeCell ref="B3:B4"/>
    <mergeCell ref="C3:C4"/>
    <mergeCell ref="D3:D4"/>
    <mergeCell ref="E3:E4"/>
    <mergeCell ref="F3:F4"/>
    <mergeCell ref="L3:L4"/>
    <mergeCell ref="M3:M4"/>
    <mergeCell ref="G3:G4"/>
    <mergeCell ref="H3:K3"/>
  </mergeCells>
  <printOptions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workbookViewId="0" topLeftCell="A1">
      <selection activeCell="D7" sqref="D7"/>
    </sheetView>
  </sheetViews>
  <sheetFormatPr defaultColWidth="9.125" defaultRowHeight="12.75"/>
  <cols>
    <col min="1" max="1" width="9.125" style="37" customWidth="1"/>
    <col min="2" max="2" width="28.25390625" style="3" bestFit="1" customWidth="1"/>
    <col min="3" max="3" width="27.125" style="4" bestFit="1" customWidth="1"/>
    <col min="4" max="4" width="10.625" style="4" bestFit="1" customWidth="1"/>
    <col min="5" max="5" width="8.375" style="4" bestFit="1" customWidth="1"/>
    <col min="6" max="6" width="22.75390625" style="4" bestFit="1" customWidth="1"/>
    <col min="7" max="7" width="33.75390625" style="4" customWidth="1"/>
    <col min="8" max="8" width="6.625" style="1" bestFit="1" customWidth="1"/>
    <col min="9" max="10" width="5.625" style="1" bestFit="1" customWidth="1"/>
    <col min="11" max="11" width="4.625" style="1" bestFit="1" customWidth="1"/>
    <col min="12" max="12" width="11.25390625" style="3" bestFit="1" customWidth="1"/>
    <col min="13" max="13" width="8.625" style="1" bestFit="1" customWidth="1"/>
    <col min="14" max="14" width="16.00390625" style="4" bestFit="1" customWidth="1"/>
    <col min="15" max="16384" width="9.125" style="1" customWidth="1"/>
  </cols>
  <sheetData>
    <row r="1" spans="2:14" ht="73.5" customHeight="1">
      <c r="B1" s="168" t="s">
        <v>448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</row>
    <row r="2" spans="2:14" ht="138" customHeight="1" thickBot="1">
      <c r="B2" s="171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3"/>
    </row>
    <row r="3" spans="1:14" s="2" customFormat="1" ht="12.75" customHeight="1">
      <c r="A3" s="184" t="s">
        <v>414</v>
      </c>
      <c r="B3" s="174" t="s">
        <v>0</v>
      </c>
      <c r="C3" s="176" t="s">
        <v>415</v>
      </c>
      <c r="D3" s="178" t="s">
        <v>416</v>
      </c>
      <c r="E3" s="167" t="s">
        <v>9</v>
      </c>
      <c r="F3" s="167" t="s">
        <v>7</v>
      </c>
      <c r="G3" s="167" t="s">
        <v>417</v>
      </c>
      <c r="H3" s="167" t="s">
        <v>2</v>
      </c>
      <c r="I3" s="167"/>
      <c r="J3" s="167"/>
      <c r="K3" s="167"/>
      <c r="L3" s="167" t="s">
        <v>418</v>
      </c>
      <c r="M3" s="167" t="s">
        <v>6</v>
      </c>
      <c r="N3" s="186" t="s">
        <v>5</v>
      </c>
    </row>
    <row r="4" spans="1:14" s="2" customFormat="1" ht="21" customHeight="1">
      <c r="A4" s="185"/>
      <c r="B4" s="175"/>
      <c r="C4" s="177"/>
      <c r="D4" s="179"/>
      <c r="E4" s="177"/>
      <c r="F4" s="177"/>
      <c r="G4" s="177"/>
      <c r="H4" s="81">
        <v>1</v>
      </c>
      <c r="I4" s="81">
        <v>2</v>
      </c>
      <c r="J4" s="81">
        <v>3</v>
      </c>
      <c r="K4" s="81" t="s">
        <v>8</v>
      </c>
      <c r="L4" s="177"/>
      <c r="M4" s="177"/>
      <c r="N4" s="187"/>
    </row>
    <row r="5" spans="1:14" ht="12.75" customHeight="1">
      <c r="A5" s="201" t="s">
        <v>10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</row>
    <row r="6" spans="1:14" ht="12.75">
      <c r="A6" s="44" t="s">
        <v>419</v>
      </c>
      <c r="B6" s="40" t="s">
        <v>11</v>
      </c>
      <c r="C6" s="23" t="s">
        <v>12</v>
      </c>
      <c r="D6" s="23" t="s">
        <v>13</v>
      </c>
      <c r="E6" s="23" t="str">
        <f>"0,8662"</f>
        <v>0,8662</v>
      </c>
      <c r="F6" s="23" t="s">
        <v>390</v>
      </c>
      <c r="G6" s="23" t="s">
        <v>14</v>
      </c>
      <c r="H6" s="126" t="s">
        <v>15</v>
      </c>
      <c r="I6" s="129" t="s">
        <v>16</v>
      </c>
      <c r="J6" s="126" t="s">
        <v>17</v>
      </c>
      <c r="K6" s="130"/>
      <c r="L6" s="44" t="s">
        <v>17</v>
      </c>
      <c r="M6" s="44" t="str">
        <f>"82,2890"</f>
        <v>82,2890</v>
      </c>
      <c r="N6" s="23" t="s">
        <v>24</v>
      </c>
    </row>
    <row r="7" spans="1:14" ht="12.75">
      <c r="A7" s="46" t="s">
        <v>419</v>
      </c>
      <c r="B7" s="42" t="s">
        <v>11</v>
      </c>
      <c r="C7" s="25" t="s">
        <v>18</v>
      </c>
      <c r="D7" s="25" t="s">
        <v>13</v>
      </c>
      <c r="E7" s="25" t="str">
        <f>"0,8662"</f>
        <v>0,8662</v>
      </c>
      <c r="F7" s="25" t="s">
        <v>390</v>
      </c>
      <c r="G7" s="25" t="s">
        <v>14</v>
      </c>
      <c r="H7" s="109" t="s">
        <v>15</v>
      </c>
      <c r="I7" s="131" t="s">
        <v>16</v>
      </c>
      <c r="J7" s="109" t="s">
        <v>17</v>
      </c>
      <c r="K7" s="132"/>
      <c r="L7" s="46" t="s">
        <v>17</v>
      </c>
      <c r="M7" s="46" t="str">
        <f>"82,2890"</f>
        <v>82,2890</v>
      </c>
      <c r="N7" s="25" t="s">
        <v>24</v>
      </c>
    </row>
    <row r="8" spans="1:14" ht="12.75">
      <c r="A8" s="202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</row>
    <row r="9" spans="1:14" ht="15.75">
      <c r="A9" s="201" t="s">
        <v>19</v>
      </c>
      <c r="B9" s="201"/>
      <c r="C9" s="20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</row>
    <row r="10" spans="1:14" ht="12.75">
      <c r="A10" s="44" t="s">
        <v>419</v>
      </c>
      <c r="B10" s="40" t="s">
        <v>20</v>
      </c>
      <c r="C10" s="133" t="s">
        <v>21</v>
      </c>
      <c r="D10" s="133" t="s">
        <v>22</v>
      </c>
      <c r="E10" s="133" t="str">
        <f>"0,8189"</f>
        <v>0,8189</v>
      </c>
      <c r="F10" s="133" t="s">
        <v>390</v>
      </c>
      <c r="G10" s="133" t="s">
        <v>14</v>
      </c>
      <c r="H10" s="55" t="s">
        <v>23</v>
      </c>
      <c r="I10" s="55" t="s">
        <v>15</v>
      </c>
      <c r="J10" s="55" t="s">
        <v>16</v>
      </c>
      <c r="K10" s="134"/>
      <c r="L10" s="70" t="s">
        <v>16</v>
      </c>
      <c r="M10" s="70" t="str">
        <f>"73,7010"</f>
        <v>73,7010</v>
      </c>
      <c r="N10" s="133" t="s">
        <v>24</v>
      </c>
    </row>
    <row r="11" spans="1:14" ht="12.75">
      <c r="A11" s="46" t="s">
        <v>420</v>
      </c>
      <c r="B11" s="42" t="s">
        <v>25</v>
      </c>
      <c r="C11" s="25" t="s">
        <v>26</v>
      </c>
      <c r="D11" s="25" t="s">
        <v>27</v>
      </c>
      <c r="E11" s="25" t="str">
        <f>"0,8078"</f>
        <v>0,8078</v>
      </c>
      <c r="F11" s="25" t="s">
        <v>390</v>
      </c>
      <c r="G11" s="25" t="s">
        <v>14</v>
      </c>
      <c r="H11" s="109" t="s">
        <v>28</v>
      </c>
      <c r="I11" s="109" t="s">
        <v>29</v>
      </c>
      <c r="J11" s="109" t="s">
        <v>30</v>
      </c>
      <c r="K11" s="135"/>
      <c r="L11" s="46" t="s">
        <v>30</v>
      </c>
      <c r="M11" s="46" t="str">
        <f>"60,5850"</f>
        <v>60,5850</v>
      </c>
      <c r="N11" s="25" t="s">
        <v>388</v>
      </c>
    </row>
    <row r="12" spans="1:14" ht="12.75">
      <c r="A12" s="202"/>
      <c r="B12" s="202"/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</row>
    <row r="13" spans="1:14" ht="15.75">
      <c r="A13" s="201" t="s">
        <v>31</v>
      </c>
      <c r="B13" s="201"/>
      <c r="C13" s="201"/>
      <c r="D13" s="201"/>
      <c r="E13" s="201"/>
      <c r="F13" s="201"/>
      <c r="G13" s="201"/>
      <c r="H13" s="201"/>
      <c r="I13" s="201"/>
      <c r="J13" s="201"/>
      <c r="K13" s="201"/>
      <c r="L13" s="201"/>
      <c r="M13" s="201"/>
      <c r="N13" s="201"/>
    </row>
    <row r="14" spans="1:14" ht="12.75">
      <c r="A14" s="44" t="s">
        <v>419</v>
      </c>
      <c r="B14" s="40" t="s">
        <v>32</v>
      </c>
      <c r="C14" s="23" t="s">
        <v>33</v>
      </c>
      <c r="D14" s="23" t="s">
        <v>34</v>
      </c>
      <c r="E14" s="23" t="str">
        <f>"0,6475"</f>
        <v>0,6475</v>
      </c>
      <c r="F14" s="78" t="s">
        <v>406</v>
      </c>
      <c r="G14" s="23" t="s">
        <v>430</v>
      </c>
      <c r="H14" s="126" t="s">
        <v>58</v>
      </c>
      <c r="I14" s="126" t="s">
        <v>41</v>
      </c>
      <c r="J14" s="127"/>
      <c r="K14" s="136"/>
      <c r="L14" s="44" t="s">
        <v>41</v>
      </c>
      <c r="M14" s="44" t="str">
        <f>"116,5500"</f>
        <v>116,5500</v>
      </c>
      <c r="N14" s="23" t="s">
        <v>407</v>
      </c>
    </row>
    <row r="15" spans="1:14" ht="12.75">
      <c r="A15" s="46" t="s">
        <v>419</v>
      </c>
      <c r="B15" s="42" t="s">
        <v>32</v>
      </c>
      <c r="C15" s="25" t="s">
        <v>36</v>
      </c>
      <c r="D15" s="25" t="s">
        <v>34</v>
      </c>
      <c r="E15" s="25" t="str">
        <f>"0,6475"</f>
        <v>0,6475</v>
      </c>
      <c r="F15" s="79" t="s">
        <v>406</v>
      </c>
      <c r="G15" s="25" t="s">
        <v>430</v>
      </c>
      <c r="H15" s="109" t="s">
        <v>58</v>
      </c>
      <c r="I15" s="109" t="s">
        <v>41</v>
      </c>
      <c r="J15" s="111"/>
      <c r="K15" s="135"/>
      <c r="L15" s="46" t="s">
        <v>41</v>
      </c>
      <c r="M15" s="46" t="str">
        <f>"121,6782"</f>
        <v>121,6782</v>
      </c>
      <c r="N15" s="25" t="s">
        <v>407</v>
      </c>
    </row>
    <row r="16" spans="1:14" ht="12.75">
      <c r="A16" s="202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</row>
    <row r="17" spans="1:14" ht="15.75">
      <c r="A17" s="201" t="s">
        <v>37</v>
      </c>
      <c r="B17" s="201"/>
      <c r="C17" s="201"/>
      <c r="D17" s="201"/>
      <c r="E17" s="201"/>
      <c r="F17" s="201"/>
      <c r="G17" s="201"/>
      <c r="H17" s="201"/>
      <c r="I17" s="201"/>
      <c r="J17" s="201"/>
      <c r="K17" s="201"/>
      <c r="L17" s="201"/>
      <c r="M17" s="201"/>
      <c r="N17" s="201"/>
    </row>
    <row r="18" spans="1:14" ht="12.75">
      <c r="A18" s="44" t="s">
        <v>419</v>
      </c>
      <c r="B18" s="40" t="s">
        <v>38</v>
      </c>
      <c r="C18" s="23" t="s">
        <v>39</v>
      </c>
      <c r="D18" s="23" t="s">
        <v>40</v>
      </c>
      <c r="E18" s="23" t="str">
        <f>"0,6096"</f>
        <v>0,6096</v>
      </c>
      <c r="F18" s="23" t="s">
        <v>35</v>
      </c>
      <c r="G18" s="23" t="s">
        <v>14</v>
      </c>
      <c r="H18" s="126" t="s">
        <v>41</v>
      </c>
      <c r="I18" s="129" t="s">
        <v>42</v>
      </c>
      <c r="J18" s="129" t="s">
        <v>42</v>
      </c>
      <c r="K18" s="130"/>
      <c r="L18" s="44" t="s">
        <v>41</v>
      </c>
      <c r="M18" s="44" t="str">
        <f>"109,7280"</f>
        <v>109,7280</v>
      </c>
      <c r="N18" s="23" t="s">
        <v>382</v>
      </c>
    </row>
    <row r="19" spans="1:14" ht="12.75">
      <c r="A19" s="45" t="s">
        <v>419</v>
      </c>
      <c r="B19" s="41" t="s">
        <v>43</v>
      </c>
      <c r="C19" s="24" t="s">
        <v>44</v>
      </c>
      <c r="D19" s="24" t="s">
        <v>45</v>
      </c>
      <c r="E19" s="24" t="str">
        <f>"0,6091"</f>
        <v>0,6091</v>
      </c>
      <c r="F19" s="24" t="s">
        <v>390</v>
      </c>
      <c r="G19" s="24" t="s">
        <v>14</v>
      </c>
      <c r="H19" s="118" t="s">
        <v>46</v>
      </c>
      <c r="I19" s="118" t="s">
        <v>47</v>
      </c>
      <c r="J19" s="137" t="s">
        <v>48</v>
      </c>
      <c r="K19" s="138"/>
      <c r="L19" s="45" t="s">
        <v>47</v>
      </c>
      <c r="M19" s="45" t="str">
        <f>"127,9110"</f>
        <v>127,9110</v>
      </c>
      <c r="N19" s="24" t="s">
        <v>383</v>
      </c>
    </row>
    <row r="20" spans="1:14" ht="12.75">
      <c r="A20" s="45" t="s">
        <v>420</v>
      </c>
      <c r="B20" s="41" t="s">
        <v>49</v>
      </c>
      <c r="C20" s="24" t="s">
        <v>50</v>
      </c>
      <c r="D20" s="24" t="s">
        <v>51</v>
      </c>
      <c r="E20" s="24" t="str">
        <f>"0,6321"</f>
        <v>0,6321</v>
      </c>
      <c r="F20" s="24" t="s">
        <v>393</v>
      </c>
      <c r="G20" s="24" t="s">
        <v>52</v>
      </c>
      <c r="H20" s="118" t="s">
        <v>41</v>
      </c>
      <c r="I20" s="118" t="s">
        <v>53</v>
      </c>
      <c r="J20" s="137" t="s">
        <v>46</v>
      </c>
      <c r="K20" s="138"/>
      <c r="L20" s="45" t="s">
        <v>53</v>
      </c>
      <c r="M20" s="45" t="str">
        <f>"120,0990"</f>
        <v>120,0990</v>
      </c>
      <c r="N20" s="24" t="s">
        <v>382</v>
      </c>
    </row>
    <row r="21" spans="1:14" ht="12.75">
      <c r="A21" s="45" t="s">
        <v>421</v>
      </c>
      <c r="B21" s="41" t="s">
        <v>54</v>
      </c>
      <c r="C21" s="24" t="s">
        <v>55</v>
      </c>
      <c r="D21" s="24" t="s">
        <v>56</v>
      </c>
      <c r="E21" s="24" t="str">
        <f>"0,6098"</f>
        <v>0,6098</v>
      </c>
      <c r="F21" s="24" t="s">
        <v>35</v>
      </c>
      <c r="G21" s="24" t="s">
        <v>57</v>
      </c>
      <c r="H21" s="118" t="s">
        <v>58</v>
      </c>
      <c r="I21" s="137" t="s">
        <v>42</v>
      </c>
      <c r="J21" s="137" t="s">
        <v>42</v>
      </c>
      <c r="K21" s="138"/>
      <c r="L21" s="45" t="s">
        <v>58</v>
      </c>
      <c r="M21" s="45" t="str">
        <f>"103,6660"</f>
        <v>103,6660</v>
      </c>
      <c r="N21" s="24" t="s">
        <v>382</v>
      </c>
    </row>
    <row r="22" spans="1:14" ht="12.75">
      <c r="A22" s="46" t="s">
        <v>419</v>
      </c>
      <c r="B22" s="42" t="s">
        <v>43</v>
      </c>
      <c r="C22" s="25" t="s">
        <v>59</v>
      </c>
      <c r="D22" s="25" t="s">
        <v>45</v>
      </c>
      <c r="E22" s="25" t="str">
        <f>"0,6091"</f>
        <v>0,6091</v>
      </c>
      <c r="F22" s="25" t="s">
        <v>390</v>
      </c>
      <c r="G22" s="25" t="s">
        <v>14</v>
      </c>
      <c r="H22" s="109" t="s">
        <v>46</v>
      </c>
      <c r="I22" s="109" t="s">
        <v>47</v>
      </c>
      <c r="J22" s="131" t="s">
        <v>48</v>
      </c>
      <c r="K22" s="132"/>
      <c r="L22" s="46" t="s">
        <v>47</v>
      </c>
      <c r="M22" s="46" t="str">
        <f>"133,5391"</f>
        <v>133,5391</v>
      </c>
      <c r="N22" s="25" t="s">
        <v>24</v>
      </c>
    </row>
    <row r="23" spans="1:14" ht="12.75">
      <c r="A23" s="202"/>
      <c r="B23" s="202"/>
      <c r="C23" s="202"/>
      <c r="D23" s="202"/>
      <c r="E23" s="202"/>
      <c r="F23" s="202"/>
      <c r="G23" s="202"/>
      <c r="H23" s="202"/>
      <c r="I23" s="202"/>
      <c r="J23" s="202"/>
      <c r="K23" s="202"/>
      <c r="L23" s="202"/>
      <c r="M23" s="202"/>
      <c r="N23" s="202"/>
    </row>
    <row r="24" spans="1:14" ht="15.75">
      <c r="A24" s="201" t="s">
        <v>60</v>
      </c>
      <c r="B24" s="201"/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</row>
    <row r="25" spans="1:14" ht="12.75">
      <c r="A25" s="44" t="s">
        <v>419</v>
      </c>
      <c r="B25" s="40" t="s">
        <v>61</v>
      </c>
      <c r="C25" s="133" t="s">
        <v>62</v>
      </c>
      <c r="D25" s="133" t="s">
        <v>63</v>
      </c>
      <c r="E25" s="133" t="str">
        <f>"0,6079"</f>
        <v>0,6079</v>
      </c>
      <c r="F25" s="133" t="s">
        <v>35</v>
      </c>
      <c r="G25" s="133" t="s">
        <v>14</v>
      </c>
      <c r="H25" s="55" t="s">
        <v>64</v>
      </c>
      <c r="I25" s="55" t="s">
        <v>65</v>
      </c>
      <c r="J25" s="55" t="s">
        <v>53</v>
      </c>
      <c r="K25" s="69"/>
      <c r="L25" s="70" t="s">
        <v>53</v>
      </c>
      <c r="M25" s="70" t="str">
        <f>"115,5010"</f>
        <v>115,5010</v>
      </c>
      <c r="N25" s="133" t="s">
        <v>382</v>
      </c>
    </row>
    <row r="26" spans="1:14" ht="12.75">
      <c r="A26" s="46" t="s">
        <v>419</v>
      </c>
      <c r="B26" s="42" t="s">
        <v>66</v>
      </c>
      <c r="C26" s="139" t="s">
        <v>67</v>
      </c>
      <c r="D26" s="139" t="s">
        <v>68</v>
      </c>
      <c r="E26" s="139" t="str">
        <f>"0,5952"</f>
        <v>0,5952</v>
      </c>
      <c r="F26" s="139" t="s">
        <v>35</v>
      </c>
      <c r="G26" s="139" t="s">
        <v>14</v>
      </c>
      <c r="H26" s="63" t="s">
        <v>42</v>
      </c>
      <c r="I26" s="63" t="s">
        <v>53</v>
      </c>
      <c r="J26" s="71" t="s">
        <v>46</v>
      </c>
      <c r="K26" s="72"/>
      <c r="L26" s="73" t="s">
        <v>53</v>
      </c>
      <c r="M26" s="73" t="str">
        <f>"113,0880"</f>
        <v>113,0880</v>
      </c>
      <c r="N26" s="139" t="s">
        <v>397</v>
      </c>
    </row>
    <row r="28" spans="2:3" ht="18">
      <c r="B28" s="5" t="s">
        <v>69</v>
      </c>
      <c r="C28" s="99"/>
    </row>
    <row r="29" spans="2:6" ht="15.75">
      <c r="B29" s="200" t="s">
        <v>70</v>
      </c>
      <c r="C29" s="200"/>
      <c r="D29" s="200"/>
      <c r="E29" s="200"/>
      <c r="F29" s="200"/>
    </row>
    <row r="30" spans="2:6" ht="13.5">
      <c r="B30" s="6" t="s">
        <v>71</v>
      </c>
      <c r="C30" s="6" t="s">
        <v>72</v>
      </c>
      <c r="D30" s="6" t="s">
        <v>73</v>
      </c>
      <c r="E30" s="6" t="s">
        <v>74</v>
      </c>
      <c r="F30" s="156" t="s">
        <v>75</v>
      </c>
    </row>
    <row r="31" spans="1:6" ht="12.75">
      <c r="A31" s="37" t="s">
        <v>419</v>
      </c>
      <c r="B31" s="22" t="s">
        <v>43</v>
      </c>
      <c r="C31" s="47" t="s">
        <v>77</v>
      </c>
      <c r="D31" s="90">
        <v>100</v>
      </c>
      <c r="E31" s="90">
        <v>210</v>
      </c>
      <c r="F31" s="47" t="s">
        <v>78</v>
      </c>
    </row>
    <row r="32" spans="1:6" ht="12.75">
      <c r="A32" s="37" t="s">
        <v>420</v>
      </c>
      <c r="B32" s="22" t="s">
        <v>49</v>
      </c>
      <c r="C32" s="47" t="s">
        <v>77</v>
      </c>
      <c r="D32" s="90">
        <v>100</v>
      </c>
      <c r="E32" s="90">
        <v>190</v>
      </c>
      <c r="F32" s="47" t="s">
        <v>79</v>
      </c>
    </row>
    <row r="33" spans="1:6" ht="12.75">
      <c r="A33" s="37" t="s">
        <v>421</v>
      </c>
      <c r="B33" s="22" t="s">
        <v>32</v>
      </c>
      <c r="C33" s="47" t="s">
        <v>77</v>
      </c>
      <c r="D33" s="90">
        <v>90</v>
      </c>
      <c r="E33" s="90">
        <v>180</v>
      </c>
      <c r="F33" s="47" t="s">
        <v>80</v>
      </c>
    </row>
    <row r="34" ht="12.75">
      <c r="F34" s="1"/>
    </row>
  </sheetData>
  <sheetProtection/>
  <mergeCells count="22">
    <mergeCell ref="A16:N16"/>
    <mergeCell ref="A23:N23"/>
    <mergeCell ref="E3:E4"/>
    <mergeCell ref="L3:L4"/>
    <mergeCell ref="A3:A4"/>
    <mergeCell ref="A24:N24"/>
    <mergeCell ref="A17:N17"/>
    <mergeCell ref="A13:N13"/>
    <mergeCell ref="A9:N9"/>
    <mergeCell ref="A5:N5"/>
    <mergeCell ref="A8:N8"/>
    <mergeCell ref="A12:N12"/>
    <mergeCell ref="B29:F29"/>
    <mergeCell ref="M3:M4"/>
    <mergeCell ref="B1:N2"/>
    <mergeCell ref="H3:K3"/>
    <mergeCell ref="B3:B4"/>
    <mergeCell ref="C3:C4"/>
    <mergeCell ref="D3:D4"/>
    <mergeCell ref="N3:N4"/>
    <mergeCell ref="G3:G4"/>
    <mergeCell ref="F3:F4"/>
  </mergeCells>
  <printOptions/>
  <pageMargins left="0.1968503937007874" right="0.4724409448818898" top="0.4330708661417323" bottom="0.4724409448818898" header="0.5118110236220472" footer="0.5118110236220472"/>
  <pageSetup fitToHeight="100" fitToWidth="1" horizontalDpi="300" verticalDpi="300" orientation="landscape" scale="58"/>
  <headerFooter alignWithMargins="0">
    <oddFooter>&amp;L&amp;G&amp;R&amp;D&amp;T&amp;P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A5" sqref="A5:N5"/>
    </sheetView>
  </sheetViews>
  <sheetFormatPr defaultColWidth="8.75390625" defaultRowHeight="12.75"/>
  <cols>
    <col min="1" max="1" width="9.125" style="38" customWidth="1"/>
    <col min="2" max="2" width="20.75390625" style="7" customWidth="1"/>
    <col min="3" max="3" width="26.875" style="94" bestFit="1" customWidth="1"/>
    <col min="4" max="4" width="10.625" style="94" bestFit="1" customWidth="1"/>
    <col min="5" max="5" width="8.375" style="94" bestFit="1" customWidth="1"/>
    <col min="6" max="6" width="22.75390625" style="94" bestFit="1" customWidth="1"/>
    <col min="7" max="7" width="22.125" style="7" bestFit="1" customWidth="1"/>
    <col min="8" max="10" width="5.625" style="7" bestFit="1" customWidth="1"/>
    <col min="11" max="11" width="4.625" style="7" bestFit="1" customWidth="1"/>
    <col min="12" max="12" width="11.25390625" style="7" bestFit="1" customWidth="1"/>
    <col min="13" max="13" width="8.625" style="7" bestFit="1" customWidth="1"/>
    <col min="14" max="14" width="15.25390625" style="94" customWidth="1"/>
  </cols>
  <sheetData>
    <row r="1" spans="1:14" s="1" customFormat="1" ht="107.25" customHeight="1">
      <c r="A1" s="37"/>
      <c r="B1" s="168" t="s">
        <v>449</v>
      </c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70"/>
    </row>
    <row r="2" spans="1:14" s="1" customFormat="1" ht="104.25" customHeight="1" thickBot="1">
      <c r="A2" s="37"/>
      <c r="B2" s="171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3"/>
    </row>
    <row r="3" spans="1:14" s="2" customFormat="1" ht="12.75" customHeight="1">
      <c r="A3" s="184" t="s">
        <v>414</v>
      </c>
      <c r="B3" s="174" t="s">
        <v>0</v>
      </c>
      <c r="C3" s="176" t="s">
        <v>415</v>
      </c>
      <c r="D3" s="178" t="s">
        <v>416</v>
      </c>
      <c r="E3" s="167" t="s">
        <v>9</v>
      </c>
      <c r="F3" s="180" t="s">
        <v>7</v>
      </c>
      <c r="G3" s="167" t="s">
        <v>417</v>
      </c>
      <c r="H3" s="167" t="s">
        <v>2</v>
      </c>
      <c r="I3" s="167"/>
      <c r="J3" s="167"/>
      <c r="K3" s="167"/>
      <c r="L3" s="167" t="s">
        <v>418</v>
      </c>
      <c r="M3" s="167" t="s">
        <v>6</v>
      </c>
      <c r="N3" s="186" t="s">
        <v>5</v>
      </c>
    </row>
    <row r="4" spans="1:14" s="2" customFormat="1" ht="21" customHeight="1">
      <c r="A4" s="185"/>
      <c r="B4" s="175"/>
      <c r="C4" s="177"/>
      <c r="D4" s="179"/>
      <c r="E4" s="177"/>
      <c r="F4" s="181"/>
      <c r="G4" s="177"/>
      <c r="H4" s="81">
        <v>1</v>
      </c>
      <c r="I4" s="81">
        <v>2</v>
      </c>
      <c r="J4" s="81">
        <v>3</v>
      </c>
      <c r="K4" s="81" t="s">
        <v>8</v>
      </c>
      <c r="L4" s="177"/>
      <c r="M4" s="177"/>
      <c r="N4" s="187"/>
    </row>
    <row r="5" spans="1:14" ht="12.75" customHeight="1">
      <c r="A5" s="160" t="s">
        <v>117</v>
      </c>
      <c r="B5" s="160"/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</row>
    <row r="6" spans="1:14" ht="12.75">
      <c r="A6" s="82">
        <v>1</v>
      </c>
      <c r="B6" s="16" t="s">
        <v>360</v>
      </c>
      <c r="C6" s="91" t="s">
        <v>361</v>
      </c>
      <c r="D6" s="91" t="s">
        <v>362</v>
      </c>
      <c r="E6" s="91" t="str">
        <f>"0,6570"</f>
        <v>0,6570</v>
      </c>
      <c r="F6" s="91" t="s">
        <v>35</v>
      </c>
      <c r="G6" s="13" t="s">
        <v>14</v>
      </c>
      <c r="H6" s="51" t="s">
        <v>241</v>
      </c>
      <c r="I6" s="51" t="s">
        <v>58</v>
      </c>
      <c r="J6" s="52" t="s">
        <v>64</v>
      </c>
      <c r="K6" s="53"/>
      <c r="L6" s="54" t="s">
        <v>58</v>
      </c>
      <c r="M6" s="54" t="str">
        <f>"116,4927"</f>
        <v>116,4927</v>
      </c>
      <c r="N6" s="91" t="s">
        <v>387</v>
      </c>
    </row>
    <row r="7" spans="1:14" ht="12.75">
      <c r="A7" s="199"/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</row>
    <row r="8" spans="1:14" ht="15.75">
      <c r="A8" s="160" t="s">
        <v>31</v>
      </c>
      <c r="B8" s="160"/>
      <c r="C8" s="160"/>
      <c r="D8" s="160"/>
      <c r="E8" s="160"/>
      <c r="F8" s="160"/>
      <c r="G8" s="160"/>
      <c r="H8" s="160"/>
      <c r="I8" s="160"/>
      <c r="J8" s="160"/>
      <c r="K8" s="160"/>
      <c r="L8" s="160"/>
      <c r="M8" s="160"/>
      <c r="N8" s="160"/>
    </row>
    <row r="9" spans="1:14" ht="12.75">
      <c r="A9" s="100">
        <v>1</v>
      </c>
      <c r="B9" s="101" t="s">
        <v>363</v>
      </c>
      <c r="C9" s="78" t="s">
        <v>364</v>
      </c>
      <c r="D9" s="78" t="s">
        <v>365</v>
      </c>
      <c r="E9" s="78" t="str">
        <f>"0,6216"</f>
        <v>0,6216</v>
      </c>
      <c r="F9" s="78" t="s">
        <v>155</v>
      </c>
      <c r="G9" s="102" t="s">
        <v>14</v>
      </c>
      <c r="H9" s="55" t="s">
        <v>142</v>
      </c>
      <c r="I9" s="56" t="s">
        <v>366</v>
      </c>
      <c r="J9" s="56" t="s">
        <v>366</v>
      </c>
      <c r="K9" s="57"/>
      <c r="L9" s="58">
        <v>162.5</v>
      </c>
      <c r="M9" s="58" t="str">
        <f>"101,0019"</f>
        <v>101,0019</v>
      </c>
      <c r="N9" s="78" t="s">
        <v>389</v>
      </c>
    </row>
    <row r="10" spans="1:14" ht="12.75">
      <c r="A10" s="104">
        <v>1</v>
      </c>
      <c r="B10" s="120" t="s">
        <v>367</v>
      </c>
      <c r="C10" s="79" t="s">
        <v>368</v>
      </c>
      <c r="D10" s="79" t="s">
        <v>369</v>
      </c>
      <c r="E10" s="79" t="str">
        <f>"0,6141"</f>
        <v>0,6141</v>
      </c>
      <c r="F10" s="79" t="s">
        <v>99</v>
      </c>
      <c r="G10" s="106" t="s">
        <v>14</v>
      </c>
      <c r="H10" s="63" t="s">
        <v>132</v>
      </c>
      <c r="I10" s="64" t="s">
        <v>166</v>
      </c>
      <c r="J10" s="64" t="s">
        <v>166</v>
      </c>
      <c r="K10" s="65"/>
      <c r="L10" s="66" t="s">
        <v>132</v>
      </c>
      <c r="M10" s="66" t="str">
        <f>"85,9810"</f>
        <v>85,9810</v>
      </c>
      <c r="N10" s="79" t="s">
        <v>400</v>
      </c>
    </row>
    <row r="11" spans="1:14" ht="12.75">
      <c r="A11" s="199"/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</row>
    <row r="12" spans="1:14" ht="15.75">
      <c r="A12" s="160" t="s">
        <v>37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</row>
    <row r="13" spans="1:14" ht="12.75">
      <c r="A13" s="82">
        <v>1</v>
      </c>
      <c r="B13" s="16" t="s">
        <v>370</v>
      </c>
      <c r="C13" s="91" t="s">
        <v>371</v>
      </c>
      <c r="D13" s="91" t="s">
        <v>372</v>
      </c>
      <c r="E13" s="91" t="str">
        <f>"0,5816"</f>
        <v>0,5816</v>
      </c>
      <c r="F13" s="91" t="s">
        <v>99</v>
      </c>
      <c r="G13" s="13" t="s">
        <v>14</v>
      </c>
      <c r="H13" s="51" t="s">
        <v>300</v>
      </c>
      <c r="I13" s="51" t="s">
        <v>366</v>
      </c>
      <c r="J13" s="52" t="s">
        <v>42</v>
      </c>
      <c r="K13" s="53"/>
      <c r="L13" s="54">
        <v>177.5</v>
      </c>
      <c r="M13" s="54" t="str">
        <f>"103,2251"</f>
        <v>103,2251</v>
      </c>
      <c r="N13" s="91" t="s">
        <v>385</v>
      </c>
    </row>
  </sheetData>
  <sheetProtection/>
  <mergeCells count="17">
    <mergeCell ref="A3:A4"/>
    <mergeCell ref="A5:N5"/>
    <mergeCell ref="A8:N8"/>
    <mergeCell ref="A12:N12"/>
    <mergeCell ref="A7:N7"/>
    <mergeCell ref="A11:N11"/>
    <mergeCell ref="N3:N4"/>
    <mergeCell ref="B1:N2"/>
    <mergeCell ref="B3:B4"/>
    <mergeCell ref="C3:C4"/>
    <mergeCell ref="D3:D4"/>
    <mergeCell ref="E3:E4"/>
    <mergeCell ref="F3:F4"/>
    <mergeCell ref="G3:G4"/>
    <mergeCell ref="H3:K3"/>
    <mergeCell ref="L3:L4"/>
    <mergeCell ref="M3:M4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Сергей Длужневский</cp:lastModifiedBy>
  <cp:lastPrinted>2015-07-16T19:10:53Z</cp:lastPrinted>
  <dcterms:created xsi:type="dcterms:W3CDTF">2002-06-16T13:36:44Z</dcterms:created>
  <dcterms:modified xsi:type="dcterms:W3CDTF">2017-01-12T13:23:38Z</dcterms:modified>
  <cp:category/>
  <cp:version/>
  <cp:contentType/>
  <cp:contentStatus/>
</cp:coreProperties>
</file>