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8" activeTab="8"/>
  </bookViews>
  <sheets>
    <sheet name="Пауэрлифтинг в бинтах ДК" sheetId="1" r:id="rId1"/>
    <sheet name="Пауэрлифтинг в бинтах" sheetId="2" r:id="rId2"/>
    <sheet name="Жим лежа без экипировки" sheetId="3" r:id="rId3"/>
    <sheet name="Жим лежа без экипировки ДК" sheetId="4" r:id="rId4"/>
    <sheet name="Становая тяга без экипировки" sheetId="5" r:id="rId5"/>
    <sheet name="Становая тяга без экипировки ДК" sheetId="6" r:id="rId6"/>
    <sheet name="Народный жим 1_2 веса" sheetId="7" r:id="rId7"/>
    <sheet name="Народный жим 1 вес" sheetId="8" r:id="rId8"/>
    <sheet name="Судейская коллегия" sheetId="9" r:id="rId9"/>
  </sheets>
  <definedNames/>
  <calcPr fullCalcOnLoad="1" refMode="R1C1"/>
</workbook>
</file>

<file path=xl/sharedStrings.xml><?xml version="1.0" encoding="utf-8"?>
<sst xmlns="http://schemas.openxmlformats.org/spreadsheetml/2006/main" count="1529" uniqueCount="503">
  <si>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</si>
  <si>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</si>
  <si>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</si>
  <si>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</si>
  <si>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</si>
  <si>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</si>
  <si>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</si>
  <si>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</si>
  <si>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</si>
  <si>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</si>
  <si>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60</t>
  </si>
  <si>
    <t>Чернова Марианна</t>
  </si>
  <si>
    <t>Open (01.04.1987)/29</t>
  </si>
  <si>
    <t>58,40</t>
  </si>
  <si>
    <t xml:space="preserve">Лично </t>
  </si>
  <si>
    <t xml:space="preserve">Тверь/Тверская область </t>
  </si>
  <si>
    <t>100,0</t>
  </si>
  <si>
    <t>110,0</t>
  </si>
  <si>
    <t>47,5</t>
  </si>
  <si>
    <t>55,0</t>
  </si>
  <si>
    <t>57,5</t>
  </si>
  <si>
    <t>105,0</t>
  </si>
  <si>
    <t>112,5</t>
  </si>
  <si>
    <t>120,0</t>
  </si>
  <si>
    <t>285.00</t>
  </si>
  <si>
    <t>ВЕСОВАЯ КАТЕГОРИЯ   67.5</t>
  </si>
  <si>
    <t>Агеева Елена</t>
  </si>
  <si>
    <t>Open (26.05.1982)/34</t>
  </si>
  <si>
    <t>67,50</t>
  </si>
  <si>
    <t xml:space="preserve">Вязьма/Смоленская область </t>
  </si>
  <si>
    <t>130,0</t>
  </si>
  <si>
    <t>140,0</t>
  </si>
  <si>
    <t>75,0</t>
  </si>
  <si>
    <t>82,5</t>
  </si>
  <si>
    <t>85,0</t>
  </si>
  <si>
    <t>135,0</t>
  </si>
  <si>
    <t>150,0</t>
  </si>
  <si>
    <t>160,0</t>
  </si>
  <si>
    <t>385.00</t>
  </si>
  <si>
    <t>ВЕСОВАЯ КАТЕГОРИЯ   82.5</t>
  </si>
  <si>
    <t>Крапивницкий Алексей</t>
  </si>
  <si>
    <t>Open (20.05.1984)/32</t>
  </si>
  <si>
    <t>80,80</t>
  </si>
  <si>
    <t>162,5</t>
  </si>
  <si>
    <t>172,5</t>
  </si>
  <si>
    <t>175,0</t>
  </si>
  <si>
    <t>115,0</t>
  </si>
  <si>
    <t>122,5</t>
  </si>
  <si>
    <t>127,5</t>
  </si>
  <si>
    <t>170,0</t>
  </si>
  <si>
    <t>180,0</t>
  </si>
  <si>
    <t>470.00</t>
  </si>
  <si>
    <t>ВЕСОВАЯ КАТЕГОРИЯ   90</t>
  </si>
  <si>
    <t>Тютиков Артем</t>
  </si>
  <si>
    <t>Open (12.11.1982)/34</t>
  </si>
  <si>
    <t>88,85</t>
  </si>
  <si>
    <t xml:space="preserve">Лихославль/Тверская область </t>
  </si>
  <si>
    <t>260,0</t>
  </si>
  <si>
    <t>270,0</t>
  </si>
  <si>
    <t>280,0</t>
  </si>
  <si>
    <t>142,5</t>
  </si>
  <si>
    <t>230,0</t>
  </si>
  <si>
    <t>240,0</t>
  </si>
  <si>
    <t>652.50</t>
  </si>
  <si>
    <t>Горячов Кирилл</t>
  </si>
  <si>
    <t>Open (31.05.1990)/26</t>
  </si>
  <si>
    <t>89,40</t>
  </si>
  <si>
    <t>190,0</t>
  </si>
  <si>
    <t>205,0</t>
  </si>
  <si>
    <t>275,0</t>
  </si>
  <si>
    <t>Бажуков Алексей</t>
  </si>
  <si>
    <t>Open (29.09.1987)/29</t>
  </si>
  <si>
    <t>89,30</t>
  </si>
  <si>
    <t xml:space="preserve">Кашин/Тверская область </t>
  </si>
  <si>
    <t>200,0</t>
  </si>
  <si>
    <t>210,0</t>
  </si>
  <si>
    <t>185,0</t>
  </si>
  <si>
    <t>625.00</t>
  </si>
  <si>
    <t>Якимов Олег</t>
  </si>
  <si>
    <t>Open (04.04.1989)/27</t>
  </si>
  <si>
    <t>86,70</t>
  </si>
  <si>
    <t>145,0</t>
  </si>
  <si>
    <t>165,0</t>
  </si>
  <si>
    <t>177,5</t>
  </si>
  <si>
    <t>442.50</t>
  </si>
  <si>
    <t>ВЕСОВАЯ КАТЕГОРИЯ   100</t>
  </si>
  <si>
    <t>Александров Максим</t>
  </si>
  <si>
    <t>Open (10.06.1988)/28</t>
  </si>
  <si>
    <t>99,90</t>
  </si>
  <si>
    <t>235,0</t>
  </si>
  <si>
    <t>250,0</t>
  </si>
  <si>
    <t>257,5</t>
  </si>
  <si>
    <t>695.00</t>
  </si>
  <si>
    <t>Румянцев Александр</t>
  </si>
  <si>
    <t>Open (31.08.1982)/34</t>
  </si>
  <si>
    <t>98,50</t>
  </si>
  <si>
    <t>220,0</t>
  </si>
  <si>
    <t>595.00</t>
  </si>
  <si>
    <t>Степанов Александр</t>
  </si>
  <si>
    <t>Open (20.04.1987)/29</t>
  </si>
  <si>
    <t>96,75</t>
  </si>
  <si>
    <t>560.00</t>
  </si>
  <si>
    <t>ВЕСОВАЯ КАТЕГОРИЯ   110</t>
  </si>
  <si>
    <t>Симаков Сергей</t>
  </si>
  <si>
    <t>Open (21.07.1984)/32</t>
  </si>
  <si>
    <t>107,20</t>
  </si>
  <si>
    <t>285,0</t>
  </si>
  <si>
    <t>182,5</t>
  </si>
  <si>
    <t>265,0</t>
  </si>
  <si>
    <t>755.00</t>
  </si>
  <si>
    <t>Минеев Сергей</t>
  </si>
  <si>
    <t>Open (09.10.1989)/27</t>
  </si>
  <si>
    <t>107,35</t>
  </si>
  <si>
    <t xml:space="preserve">Московский/Московская область </t>
  </si>
  <si>
    <t>300,0</t>
  </si>
  <si>
    <t>720.00</t>
  </si>
  <si>
    <t>Семенов Максим</t>
  </si>
  <si>
    <t>Open (26.09.1985)/31</t>
  </si>
  <si>
    <t>108,00</t>
  </si>
  <si>
    <t>245,0</t>
  </si>
  <si>
    <t>157,5</t>
  </si>
  <si>
    <t>167,5</t>
  </si>
  <si>
    <t>702.50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</si>
  <si>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</si>
  <si>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</si>
  <si>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</si>
  <si>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</si>
  <si>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</si>
  <si>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</si>
  <si>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</si>
  <si>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</si>
  <si>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Мужчины </t>
  </si>
  <si>
    <t>755,0</t>
  </si>
  <si>
    <t>427,8962</t>
  </si>
  <si>
    <t>720,0</t>
  </si>
  <si>
    <t>407,9160</t>
  </si>
  <si>
    <t>695,0</t>
  </si>
  <si>
    <t>404,1773</t>
  </si>
  <si>
    <t>652,5</t>
  </si>
  <si>
    <t>702,5</t>
  </si>
  <si>
    <t>ВЕСОВАЯ КАТЕГОРИЯ   56</t>
  </si>
  <si>
    <t>Марченко Евгения</t>
  </si>
  <si>
    <t>Open (21.12.1991)/24</t>
  </si>
  <si>
    <t>55,00</t>
  </si>
  <si>
    <t>60,0</t>
  </si>
  <si>
    <t>Заатова Лида</t>
  </si>
  <si>
    <t>Open (19.12.1989)/26</t>
  </si>
  <si>
    <t>117,5</t>
  </si>
  <si>
    <t>62,5</t>
  </si>
  <si>
    <t>Лядова Вероника</t>
  </si>
  <si>
    <t>Open (08.08.1994)/22</t>
  </si>
  <si>
    <t>57,95</t>
  </si>
  <si>
    <t>65,0</t>
  </si>
  <si>
    <t>70,0</t>
  </si>
  <si>
    <t>77,5</t>
  </si>
  <si>
    <t>37,5</t>
  </si>
  <si>
    <t>40,0</t>
  </si>
  <si>
    <t>67,5</t>
  </si>
  <si>
    <t>72,5</t>
  </si>
  <si>
    <t>Тюрина Анна</t>
  </si>
  <si>
    <t>Open (22.04.1984)/32</t>
  </si>
  <si>
    <t>67,40</t>
  </si>
  <si>
    <t>125,0</t>
  </si>
  <si>
    <t>ВЕСОВАЯ КАТЕГОРИЯ   75</t>
  </si>
  <si>
    <t>Белов Алексей</t>
  </si>
  <si>
    <t>Open (22.12.1986)/29</t>
  </si>
  <si>
    <t>75,00</t>
  </si>
  <si>
    <t>195,0</t>
  </si>
  <si>
    <t>Лазарев Роман</t>
  </si>
  <si>
    <t>Open (12.12.1985)/30</t>
  </si>
  <si>
    <t>86,80</t>
  </si>
  <si>
    <t xml:space="preserve">Белый/Тверская область </t>
  </si>
  <si>
    <t>212,5</t>
  </si>
  <si>
    <t>255,0</t>
  </si>
  <si>
    <t>Левчук Роман</t>
  </si>
  <si>
    <t>Open (11.10.1988)/28</t>
  </si>
  <si>
    <t>87,85</t>
  </si>
  <si>
    <t>155,0</t>
  </si>
  <si>
    <t>95,0</t>
  </si>
  <si>
    <t>102,5</t>
  </si>
  <si>
    <t>107,5</t>
  </si>
  <si>
    <t>Сахаров Юрий</t>
  </si>
  <si>
    <t>Open (07.12.1986)/29</t>
  </si>
  <si>
    <t>94,90</t>
  </si>
  <si>
    <t xml:space="preserve">Кимры/Тверская область </t>
  </si>
  <si>
    <t>247,5</t>
  </si>
  <si>
    <t>137,5</t>
  </si>
  <si>
    <t>Андреев Андрей</t>
  </si>
  <si>
    <t>Open (08.03.1979)/37</t>
  </si>
  <si>
    <t>98,10</t>
  </si>
  <si>
    <t>Забелин Николай</t>
  </si>
  <si>
    <t>Open (23.05.1985)/31</t>
  </si>
  <si>
    <t>96,30</t>
  </si>
  <si>
    <t>Никифоров Павел</t>
  </si>
  <si>
    <t>Open (07.10.1985)/31</t>
  </si>
  <si>
    <t>103,70</t>
  </si>
  <si>
    <t>Осьминин Дмитрий</t>
  </si>
  <si>
    <t>Open (27.11.1988)/27</t>
  </si>
  <si>
    <t>108,70</t>
  </si>
  <si>
    <t>225,0</t>
  </si>
  <si>
    <t>Яхиев Руслан</t>
  </si>
  <si>
    <t>Open (26.05.1989)/27</t>
  </si>
  <si>
    <t>402,6379</t>
  </si>
  <si>
    <t>388,3680</t>
  </si>
  <si>
    <t>645,0</t>
  </si>
  <si>
    <t>378,0667</t>
  </si>
  <si>
    <t>Нигматов Тулкин</t>
  </si>
  <si>
    <t>Open (20.01.1997)/19</t>
  </si>
  <si>
    <t>69,00</t>
  </si>
  <si>
    <t xml:space="preserve">Клин/Московская область </t>
  </si>
  <si>
    <t>Ромашев Павел</t>
  </si>
  <si>
    <t>Open (24.04.1989)/27</t>
  </si>
  <si>
    <t>72,55</t>
  </si>
  <si>
    <t xml:space="preserve">Торжок/Тверская область </t>
  </si>
  <si>
    <t>132,5</t>
  </si>
  <si>
    <t>Майданов Артем</t>
  </si>
  <si>
    <t>Open (19.11.1986)/29</t>
  </si>
  <si>
    <t>70,60</t>
  </si>
  <si>
    <t>Гопко Сергей</t>
  </si>
  <si>
    <t>Open (27.06.1956)/60</t>
  </si>
  <si>
    <t>79,20</t>
  </si>
  <si>
    <t>Волчанов Владислав</t>
  </si>
  <si>
    <t>Open (31.10.1975)/41</t>
  </si>
  <si>
    <t>87,35</t>
  </si>
  <si>
    <t>Дмитриев Юрий</t>
  </si>
  <si>
    <t>Open (26.06.1986)/30</t>
  </si>
  <si>
    <t>89,35</t>
  </si>
  <si>
    <t>Финогенов Андрей</t>
  </si>
  <si>
    <t>Open (25.03.1987)/29</t>
  </si>
  <si>
    <t>Силюгин Олег</t>
  </si>
  <si>
    <t>Open (23.04.1970)/46</t>
  </si>
  <si>
    <t>93,85</t>
  </si>
  <si>
    <t>Аверьянов Виталий</t>
  </si>
  <si>
    <t>Open (16.06.1993)/23</t>
  </si>
  <si>
    <t>Голдобаев Ян</t>
  </si>
  <si>
    <t>Open (03.09.1986)/30</t>
  </si>
  <si>
    <t>100,00</t>
  </si>
  <si>
    <t xml:space="preserve">Брянск/Брянская область </t>
  </si>
  <si>
    <t>Финогенов Алексей</t>
  </si>
  <si>
    <t>Open (12.07.1981)/35</t>
  </si>
  <si>
    <t>109,60</t>
  </si>
  <si>
    <t>192,5</t>
  </si>
  <si>
    <t>140,4120</t>
  </si>
  <si>
    <t>113,6917</t>
  </si>
  <si>
    <t>110,7318</t>
  </si>
  <si>
    <t>ВЕСОВАЯ КАТЕГОРИЯ   52</t>
  </si>
  <si>
    <t>Матюхина Екатерина</t>
  </si>
  <si>
    <t>Open (20.05.1990)/26</t>
  </si>
  <si>
    <t>52,00</t>
  </si>
  <si>
    <t>Ляшенко Кристина</t>
  </si>
  <si>
    <t>Open (04.06.1992)/24</t>
  </si>
  <si>
    <t>59,00</t>
  </si>
  <si>
    <t>Кузнецова Юлия</t>
  </si>
  <si>
    <t>Open (15.05.1973)/43</t>
  </si>
  <si>
    <t>63,70</t>
  </si>
  <si>
    <t xml:space="preserve">Ржев/Тверская область </t>
  </si>
  <si>
    <t>Куликов Кирилл</t>
  </si>
  <si>
    <t>Open (17.08.2002)/14</t>
  </si>
  <si>
    <t>54,75</t>
  </si>
  <si>
    <t>45,0</t>
  </si>
  <si>
    <t>50,0</t>
  </si>
  <si>
    <t>Суворов Михаил</t>
  </si>
  <si>
    <t>Open (15.11.1971)/44</t>
  </si>
  <si>
    <t>80,40</t>
  </si>
  <si>
    <t xml:space="preserve">Спирово/Тверская </t>
  </si>
  <si>
    <t>Якимов Сергей</t>
  </si>
  <si>
    <t>Open (15.06.1983)/33</t>
  </si>
  <si>
    <t>80,85</t>
  </si>
  <si>
    <t>Кривошеин Даниил</t>
  </si>
  <si>
    <t>Open (20.12.1995)/20</t>
  </si>
  <si>
    <t>77,95</t>
  </si>
  <si>
    <t>Грицков Андрей</t>
  </si>
  <si>
    <t>Open (10.01.1978)/38</t>
  </si>
  <si>
    <t>86,30</t>
  </si>
  <si>
    <t>152,5</t>
  </si>
  <si>
    <t>Воронин Кирилл</t>
  </si>
  <si>
    <t>Open (25.02.1993)/23</t>
  </si>
  <si>
    <t>89,80</t>
  </si>
  <si>
    <t xml:space="preserve">Дубна/Московская область </t>
  </si>
  <si>
    <t>Семенков Андрей</t>
  </si>
  <si>
    <t>Open (25.11.1987)/28</t>
  </si>
  <si>
    <t>99,15</t>
  </si>
  <si>
    <t>Озеров Павел</t>
  </si>
  <si>
    <t>Open (19.06.1993)/23</t>
  </si>
  <si>
    <t>99,60</t>
  </si>
  <si>
    <t>Боровков Антон</t>
  </si>
  <si>
    <t>Open (24.01.1991)/25</t>
  </si>
  <si>
    <t>95,85</t>
  </si>
  <si>
    <t>Сидоров Андрей</t>
  </si>
  <si>
    <t>Open (24.06.1982)/34</t>
  </si>
  <si>
    <t>96,95</t>
  </si>
  <si>
    <t>Голиков Александр</t>
  </si>
  <si>
    <t>Open (03.05.1995)/21</t>
  </si>
  <si>
    <t>93,75</t>
  </si>
  <si>
    <t>Лавров Дмитрий</t>
  </si>
  <si>
    <t>Open (17.04.1977)/39</t>
  </si>
  <si>
    <t>97,10</t>
  </si>
  <si>
    <t>Титов Денис</t>
  </si>
  <si>
    <t>Open (16.04.1986)/30</t>
  </si>
  <si>
    <t>107,25</t>
  </si>
  <si>
    <t>Карелин Дмитрий</t>
  </si>
  <si>
    <t>Open (08.06.1988)/28</t>
  </si>
  <si>
    <t>103,20</t>
  </si>
  <si>
    <t xml:space="preserve">Осташков/Тверская область </t>
  </si>
  <si>
    <t>Барматов Валерий</t>
  </si>
  <si>
    <t>Open (08.05.1987)/29</t>
  </si>
  <si>
    <t>Куликов Андрей</t>
  </si>
  <si>
    <t>Open (11.11.1978)/38</t>
  </si>
  <si>
    <t>106,60</t>
  </si>
  <si>
    <t>Ахадов Али</t>
  </si>
  <si>
    <t>Open (25.05.1980)/36</t>
  </si>
  <si>
    <t>104,60</t>
  </si>
  <si>
    <t>ВЕСОВАЯ КАТЕГОРИЯ   125</t>
  </si>
  <si>
    <t>Зименков Николай</t>
  </si>
  <si>
    <t>Open (06.04.1983)/33</t>
  </si>
  <si>
    <t>119,40</t>
  </si>
  <si>
    <t>ВЕСОВАЯ КАТЕГОРИЯ   140</t>
  </si>
  <si>
    <t>Попов Владимир</t>
  </si>
  <si>
    <t>Open (26.02.1956)/60</t>
  </si>
  <si>
    <t>125,35</t>
  </si>
  <si>
    <t>98,8628</t>
  </si>
  <si>
    <t>71,9940</t>
  </si>
  <si>
    <t>70,0700</t>
  </si>
  <si>
    <t>109,0897</t>
  </si>
  <si>
    <t>105,5070</t>
  </si>
  <si>
    <t>102,0994</t>
  </si>
  <si>
    <t>58,35</t>
  </si>
  <si>
    <t>Батистов Сергей</t>
  </si>
  <si>
    <t>Open (26.02.1986)/30</t>
  </si>
  <si>
    <t>67,95</t>
  </si>
  <si>
    <t>Чечерин Михаил</t>
  </si>
  <si>
    <t>Open (08.09.1987)/29</t>
  </si>
  <si>
    <t>103,65</t>
  </si>
  <si>
    <t>Емцев Николай</t>
  </si>
  <si>
    <t>Open (23.05.1967)/49</t>
  </si>
  <si>
    <t>103,45</t>
  </si>
  <si>
    <t xml:space="preserve">Кувшиново/Тверская область </t>
  </si>
  <si>
    <t>215,0</t>
  </si>
  <si>
    <t>149,0450</t>
  </si>
  <si>
    <t>132,2730</t>
  </si>
  <si>
    <t>129,0769</t>
  </si>
  <si>
    <t>187,5</t>
  </si>
  <si>
    <t>Раденко Алексей</t>
  </si>
  <si>
    <t>Open (27.12.1996)/19</t>
  </si>
  <si>
    <t>66,20</t>
  </si>
  <si>
    <t>Ахметзянов Ринат</t>
  </si>
  <si>
    <t>Open (11.09.1984)/32</t>
  </si>
  <si>
    <t>72,30</t>
  </si>
  <si>
    <t xml:space="preserve">Удомля/Тверская область </t>
  </si>
  <si>
    <t xml:space="preserve">Самостоятельно </t>
  </si>
  <si>
    <t>86,50</t>
  </si>
  <si>
    <t>150,2280</t>
  </si>
  <si>
    <t>149,0190</t>
  </si>
  <si>
    <t>147,7750</t>
  </si>
  <si>
    <t xml:space="preserve"> Лубов А.</t>
  </si>
  <si>
    <t xml:space="preserve"> Самостоятельно</t>
  </si>
  <si>
    <t>Бобров Виталий</t>
  </si>
  <si>
    <t>Ганин Кирилл</t>
  </si>
  <si>
    <t>Заатова Лидия</t>
  </si>
  <si>
    <t>Самостоятельно</t>
  </si>
  <si>
    <t>Лубов Алексей</t>
  </si>
  <si>
    <t>Маслюк Виктор</t>
  </si>
  <si>
    <t>65.0</t>
  </si>
  <si>
    <t>75.0</t>
  </si>
  <si>
    <t xml:space="preserve">Арсентьев Иван </t>
  </si>
  <si>
    <t>112.5</t>
  </si>
  <si>
    <t>120.0</t>
  </si>
  <si>
    <t>177.5</t>
  </si>
  <si>
    <t>180.0</t>
  </si>
  <si>
    <t>215</t>
  </si>
  <si>
    <t>225</t>
  </si>
  <si>
    <t>129,0770</t>
  </si>
  <si>
    <t>250.0</t>
  </si>
  <si>
    <t>190.0</t>
  </si>
  <si>
    <t>195.0</t>
  </si>
  <si>
    <t>255.0</t>
  </si>
  <si>
    <t>240.0</t>
  </si>
  <si>
    <t>210.0</t>
  </si>
  <si>
    <t>230.0</t>
  </si>
  <si>
    <t>260.0</t>
  </si>
  <si>
    <t>72.5</t>
  </si>
  <si>
    <t>77.5</t>
  </si>
  <si>
    <t>187.5</t>
  </si>
  <si>
    <t>133.965</t>
  </si>
  <si>
    <t>62.5</t>
  </si>
  <si>
    <t>175.0</t>
  </si>
  <si>
    <t>165.0</t>
  </si>
  <si>
    <t>172.5</t>
  </si>
  <si>
    <t>110.0</t>
  </si>
  <si>
    <t>117.5</t>
  </si>
  <si>
    <t>185.0</t>
  </si>
  <si>
    <t>40.0</t>
  </si>
  <si>
    <t>Вес</t>
  </si>
  <si>
    <t>Повторы</t>
  </si>
  <si>
    <t>Артамонова Анжелика</t>
  </si>
  <si>
    <t>Open (20.02.1986)/30</t>
  </si>
  <si>
    <t>53,50</t>
  </si>
  <si>
    <t>27,5</t>
  </si>
  <si>
    <t xml:space="preserve"> Козлов А.Н.</t>
  </si>
  <si>
    <t>52,5</t>
  </si>
  <si>
    <t>Опаленик Максим</t>
  </si>
  <si>
    <t>Open (23.08.1998)/18</t>
  </si>
  <si>
    <t>71,05</t>
  </si>
  <si>
    <t>Воробей Олег</t>
  </si>
  <si>
    <t>82,40</t>
  </si>
  <si>
    <t>Репкин Виталий</t>
  </si>
  <si>
    <t>Open (29.06.1967)/49</t>
  </si>
  <si>
    <t>80,00</t>
  </si>
  <si>
    <t>80,0</t>
  </si>
  <si>
    <t>87,5</t>
  </si>
  <si>
    <t>Мельник Игорь</t>
  </si>
  <si>
    <t>Open (13.09.1983)/33</t>
  </si>
  <si>
    <t>90,00</t>
  </si>
  <si>
    <t>90,0</t>
  </si>
  <si>
    <t>Халилулин Дмитрий</t>
  </si>
  <si>
    <t>Open (09.09.1981)/35</t>
  </si>
  <si>
    <t>85,45</t>
  </si>
  <si>
    <t>Чужинов Александр</t>
  </si>
  <si>
    <t>Open (10.07.1981)/35</t>
  </si>
  <si>
    <t>101,35</t>
  </si>
  <si>
    <t>2880,0</t>
  </si>
  <si>
    <t>1762,1281</t>
  </si>
  <si>
    <t>2800,0</t>
  </si>
  <si>
    <t>1742,6500</t>
  </si>
  <si>
    <t>2625,0</t>
  </si>
  <si>
    <t>1655,2594</t>
  </si>
  <si>
    <t>Место</t>
  </si>
  <si>
    <t xml:space="preserve">Место </t>
  </si>
  <si>
    <t>1</t>
  </si>
  <si>
    <t xml:space="preserve">    1</t>
  </si>
  <si>
    <t>2</t>
  </si>
  <si>
    <t>3</t>
  </si>
  <si>
    <t>Результат</t>
  </si>
  <si>
    <t xml:space="preserve">110,0 </t>
  </si>
  <si>
    <t xml:space="preserve">100,0 </t>
  </si>
  <si>
    <t>Собств. вес</t>
  </si>
  <si>
    <t>Возрастная группа
Дата рождения/Возраст</t>
  </si>
  <si>
    <t xml:space="preserve">75,0 </t>
  </si>
  <si>
    <t>Возрастная група
Дата рождения./Возраст</t>
  </si>
  <si>
    <t>4</t>
  </si>
  <si>
    <t>5</t>
  </si>
  <si>
    <t>6</t>
  </si>
  <si>
    <t>7</t>
  </si>
  <si>
    <t xml:space="preserve">90,0 </t>
  </si>
  <si>
    <t>610,0</t>
  </si>
  <si>
    <t>590,0</t>
  </si>
  <si>
    <t>Возрастная групппа
Дата рождения/Возраст</t>
  </si>
  <si>
    <t>Собств.вес</t>
  </si>
  <si>
    <t>38</t>
  </si>
  <si>
    <t>Возрастная группа/Дата рождения/возраст</t>
  </si>
  <si>
    <t>Город/область</t>
  </si>
  <si>
    <t>Лубов А.</t>
  </si>
  <si>
    <t>Ганин К.</t>
  </si>
  <si>
    <t>Маслюк В.</t>
  </si>
  <si>
    <t>Пономарев В.</t>
  </si>
  <si>
    <t>Попов В.</t>
  </si>
  <si>
    <t xml:space="preserve"> Ганин К.</t>
  </si>
  <si>
    <t>Николаев Е.</t>
  </si>
  <si>
    <t>52,0</t>
  </si>
  <si>
    <t xml:space="preserve">67,5 </t>
  </si>
  <si>
    <t>0</t>
  </si>
  <si>
    <t xml:space="preserve">Ефименков П.,  Шарабайко А. </t>
  </si>
  <si>
    <t xml:space="preserve"> Шиманский С.</t>
  </si>
  <si>
    <t xml:space="preserve">Пономарев В. </t>
  </si>
  <si>
    <t xml:space="preserve"> Вьюнов И.</t>
  </si>
  <si>
    <t xml:space="preserve">Николаев Е. </t>
  </si>
  <si>
    <t xml:space="preserve">Шарапов И. </t>
  </si>
  <si>
    <t>Тимофеев С.</t>
  </si>
  <si>
    <t>Финогенов А.</t>
  </si>
  <si>
    <t>1045,0</t>
  </si>
  <si>
    <t>11</t>
  </si>
  <si>
    <t>21</t>
  </si>
  <si>
    <t>29</t>
  </si>
  <si>
    <t>28</t>
  </si>
  <si>
    <t>32</t>
  </si>
  <si>
    <t>30</t>
  </si>
  <si>
    <t>27</t>
  </si>
  <si>
    <t>18</t>
  </si>
  <si>
    <t>Халилулин Д.</t>
  </si>
  <si>
    <t>Вьюнов И.</t>
  </si>
  <si>
    <t xml:space="preserve">Москва/Московская область </t>
  </si>
  <si>
    <t>Мастерский турнир "Кубок Афанасия Никитина"                                                                                        Становая тяга без экипировки ДК                                                                                                          г. Тверь,12 ноября 2016 г.</t>
  </si>
  <si>
    <t>Мастерский турнир "Кубок Афанасия Никитина"                                                                                 Становая тяга без экипировки                                                                                                         г. Тверь,12 ноября 2016 г.</t>
  </si>
  <si>
    <t>Герасимов Николай</t>
  </si>
  <si>
    <t>Мастерский турнир "Кубок Афанасия Никитина"                                                                                                                   Жим лежа без экипировки с ДК
 г. Тверь, 12 ноября 2016 г.</t>
  </si>
  <si>
    <t xml:space="preserve">  </t>
  </si>
  <si>
    <t>Мастерский турнир "Кубок Афанасия Никитина"                                                                                                  Жим лежа без экипировки
г. Тверь, 12 ноября 2016 г.</t>
  </si>
  <si>
    <t xml:space="preserve"> Арсентьев Иван</t>
  </si>
  <si>
    <t xml:space="preserve"> Бобров Виталий</t>
  </si>
  <si>
    <t>Арсентьев Иван</t>
  </si>
  <si>
    <t>Мастерский турнир "Кубок Афанасия Никитина"                                                                                                           Пауэрлифтинг в бинтах с ДК
г. Тверь, 12 ноября 2016 г.</t>
  </si>
  <si>
    <t xml:space="preserve"> Мастерский турнир "Кубок Афанасия Никитина"                                                                                                                                                       Пауэрлифтинг в бинтах
г. Тверь, 12 ноября 2016 г.</t>
  </si>
  <si>
    <t xml:space="preserve"> </t>
  </si>
  <si>
    <t>Мастерский турнир "Кубок Афанасия Никитина"                                                                                                                                                                                                                  Народный жим (1/2 веса)                                                                                                                                                                       г. Тверь, 12 ноября 2016 г.</t>
  </si>
  <si>
    <t>Мастерский турнир "Кубок Афанасия Никитина".                                                                           Народный жим (1 вес)
г. Тверь,12 ноября 2016 г.</t>
  </si>
  <si>
    <t xml:space="preserve">Герасимов Николай </t>
  </si>
  <si>
    <t>Судейская бригада</t>
  </si>
  <si>
    <t>Боров Виталий/Тверь - региональная категория</t>
  </si>
  <si>
    <t>Новиков Степан/Вологда - международная категория</t>
  </si>
  <si>
    <t>Боброва Оксана/Тверь - секретарь</t>
  </si>
  <si>
    <t>Логинов Дмитрий/Тверь - региональная категория</t>
  </si>
  <si>
    <t>Ганин Кирилл/Тверь</t>
  </si>
  <si>
    <t>Ильгов Андрей/Москва - региональная категория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</si>
</sst>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8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name val="Cambria"/>
      <family val="1"/>
    </font>
    <font>
      <b/>
      <sz val="10"/>
      <name val="Calibri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56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56" fillId="0" borderId="14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2" fillId="33" borderId="12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56" fillId="0" borderId="14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49" fontId="57" fillId="33" borderId="11" xfId="0" applyNumberFormat="1" applyFont="1" applyFill="1" applyBorder="1" applyAlignment="1">
      <alignment horizontal="center"/>
    </xf>
    <xf numFmtId="49" fontId="34" fillId="33" borderId="14" xfId="0" applyNumberFormat="1" applyFont="1" applyFill="1" applyBorder="1" applyAlignment="1">
      <alignment horizontal="center"/>
    </xf>
    <xf numFmtId="49" fontId="35" fillId="33" borderId="14" xfId="0" applyNumberFormat="1" applyFont="1" applyFill="1" applyBorder="1" applyAlignment="1">
      <alignment horizontal="center"/>
    </xf>
    <xf numFmtId="49" fontId="56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34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6" fillId="34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6" fillId="0" borderId="14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14" fillId="33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15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172" fontId="2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172" fontId="3" fillId="0" borderId="2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/>
    </xf>
    <xf numFmtId="0" fontId="38" fillId="0" borderId="38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F1">
      <selection activeCell="Z2" sqref="Z2"/>
    </sheetView>
  </sheetViews>
  <sheetFormatPr defaultColWidth="8.75390625" defaultRowHeight="12.75"/>
  <cols>
    <col min="1" max="1" width="7.75390625" style="108" customWidth="1"/>
    <col min="2" max="2" width="17.625" style="24" customWidth="1"/>
    <col min="3" max="3" width="23.625" style="24" customWidth="1"/>
    <col min="4" max="4" width="13.625" style="24" customWidth="1"/>
    <col min="5" max="5" width="8.375" style="24" bestFit="1" customWidth="1"/>
    <col min="6" max="6" width="11.00390625" style="24" customWidth="1"/>
    <col min="7" max="7" width="22.6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8.875" style="24" bestFit="1" customWidth="1"/>
  </cols>
  <sheetData>
    <row r="1" spans="1:22" s="1" customFormat="1" ht="15" customHeight="1">
      <c r="A1" s="73"/>
      <c r="B1" s="134" t="s">
        <v>490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6"/>
    </row>
    <row r="2" spans="1:22" s="1" customFormat="1" ht="83.25" customHeight="1" thickBot="1">
      <c r="A2" s="73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s="2" customFormat="1" ht="12.75" customHeight="1">
      <c r="A3" s="144" t="s">
        <v>426</v>
      </c>
      <c r="B3" s="140" t="s">
        <v>0</v>
      </c>
      <c r="C3" s="142" t="s">
        <v>446</v>
      </c>
      <c r="D3" s="144" t="s">
        <v>435</v>
      </c>
      <c r="E3" s="144" t="s">
        <v>9</v>
      </c>
      <c r="F3" s="144" t="s">
        <v>7</v>
      </c>
      <c r="G3" s="144" t="s">
        <v>450</v>
      </c>
      <c r="H3" s="144" t="s">
        <v>1</v>
      </c>
      <c r="I3" s="144"/>
      <c r="J3" s="144"/>
      <c r="K3" s="144"/>
      <c r="L3" s="144" t="s">
        <v>2</v>
      </c>
      <c r="M3" s="144"/>
      <c r="N3" s="144"/>
      <c r="O3" s="144"/>
      <c r="P3" s="144" t="s">
        <v>3</v>
      </c>
      <c r="Q3" s="144"/>
      <c r="R3" s="144"/>
      <c r="S3" s="144"/>
      <c r="T3" s="144" t="s">
        <v>4</v>
      </c>
      <c r="U3" s="144" t="s">
        <v>6</v>
      </c>
      <c r="V3" s="145" t="s">
        <v>5</v>
      </c>
    </row>
    <row r="4" spans="1:22" s="2" customFormat="1" ht="21" customHeight="1" thickBot="1">
      <c r="A4" s="143"/>
      <c r="B4" s="141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6"/>
    </row>
    <row r="5" spans="2:21" ht="15.75">
      <c r="B5" s="147" t="s">
        <v>140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2" ht="12.75">
      <c r="A6" s="49" t="s">
        <v>428</v>
      </c>
      <c r="B6" s="91" t="s">
        <v>141</v>
      </c>
      <c r="C6" s="25" t="s">
        <v>142</v>
      </c>
      <c r="D6" s="25" t="s">
        <v>143</v>
      </c>
      <c r="E6" s="25" t="str">
        <f>"1,0591"</f>
        <v>1,0591</v>
      </c>
      <c r="F6" s="25" t="s">
        <v>14</v>
      </c>
      <c r="G6" s="25" t="s">
        <v>15</v>
      </c>
      <c r="H6" s="54" t="s">
        <v>21</v>
      </c>
      <c r="I6" s="54" t="s">
        <v>17</v>
      </c>
      <c r="J6" s="54" t="s">
        <v>22</v>
      </c>
      <c r="K6" s="72"/>
      <c r="L6" s="54" t="s">
        <v>19</v>
      </c>
      <c r="M6" s="54" t="s">
        <v>20</v>
      </c>
      <c r="N6" s="64" t="s">
        <v>144</v>
      </c>
      <c r="O6" s="55"/>
      <c r="P6" s="54" t="s">
        <v>17</v>
      </c>
      <c r="Q6" s="64" t="s">
        <v>46</v>
      </c>
      <c r="R6" s="64" t="s">
        <v>46</v>
      </c>
      <c r="S6" s="55"/>
      <c r="T6" s="49" t="s">
        <v>59</v>
      </c>
      <c r="U6" s="49" t="str">
        <f>"296,5480"</f>
        <v>296,5480</v>
      </c>
      <c r="V6" s="25" t="s">
        <v>349</v>
      </c>
    </row>
    <row r="7" spans="1:22" ht="12.75">
      <c r="A7" s="50" t="s">
        <v>430</v>
      </c>
      <c r="B7" s="92" t="s">
        <v>358</v>
      </c>
      <c r="C7" s="26" t="s">
        <v>146</v>
      </c>
      <c r="D7" s="26" t="s">
        <v>143</v>
      </c>
      <c r="E7" s="26" t="str">
        <f>"1,0591"</f>
        <v>1,0591</v>
      </c>
      <c r="F7" s="26" t="s">
        <v>14</v>
      </c>
      <c r="G7" s="26" t="s">
        <v>15</v>
      </c>
      <c r="H7" s="58" t="s">
        <v>16</v>
      </c>
      <c r="I7" s="56" t="s">
        <v>22</v>
      </c>
      <c r="J7" s="58" t="s">
        <v>147</v>
      </c>
      <c r="K7" s="57"/>
      <c r="L7" s="56" t="s">
        <v>19</v>
      </c>
      <c r="M7" s="58" t="s">
        <v>148</v>
      </c>
      <c r="N7" s="58" t="s">
        <v>148</v>
      </c>
      <c r="O7" s="57"/>
      <c r="P7" s="56" t="s">
        <v>21</v>
      </c>
      <c r="Q7" s="58" t="s">
        <v>147</v>
      </c>
      <c r="R7" s="58" t="s">
        <v>147</v>
      </c>
      <c r="S7" s="57"/>
      <c r="T7" s="50">
        <v>272.5</v>
      </c>
      <c r="U7" s="50" t="str">
        <f>"288,6048"</f>
        <v>288,6048</v>
      </c>
      <c r="V7" s="26" t="s">
        <v>356</v>
      </c>
    </row>
    <row r="8" ht="12.75">
      <c r="A8" s="107"/>
    </row>
    <row r="9" spans="1:21" ht="15.75">
      <c r="A9" s="107"/>
      <c r="B9" s="133" t="s">
        <v>10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2" ht="12.75">
      <c r="A10" s="51" t="s">
        <v>428</v>
      </c>
      <c r="B10" s="27" t="s">
        <v>149</v>
      </c>
      <c r="C10" s="27" t="s">
        <v>150</v>
      </c>
      <c r="D10" s="27" t="s">
        <v>151</v>
      </c>
      <c r="E10" s="27" t="str">
        <f>"1,0156"</f>
        <v>1,0156</v>
      </c>
      <c r="F10" s="27" t="s">
        <v>14</v>
      </c>
      <c r="G10" s="27" t="s">
        <v>73</v>
      </c>
      <c r="H10" s="61" t="s">
        <v>152</v>
      </c>
      <c r="I10" s="61" t="s">
        <v>153</v>
      </c>
      <c r="J10" s="62" t="s">
        <v>154</v>
      </c>
      <c r="K10" s="63"/>
      <c r="L10" s="61" t="s">
        <v>155</v>
      </c>
      <c r="M10" s="62" t="s">
        <v>156</v>
      </c>
      <c r="N10" s="62" t="s">
        <v>156</v>
      </c>
      <c r="O10" s="63"/>
      <c r="P10" s="61" t="s">
        <v>157</v>
      </c>
      <c r="Q10" s="61" t="s">
        <v>158</v>
      </c>
      <c r="R10" s="61" t="s">
        <v>154</v>
      </c>
      <c r="S10" s="63"/>
      <c r="T10" s="51" t="s">
        <v>76</v>
      </c>
      <c r="U10" s="51" t="str">
        <f>"187,8860"</f>
        <v>187,8860</v>
      </c>
      <c r="V10" s="27" t="s">
        <v>349</v>
      </c>
    </row>
    <row r="11" ht="12.75">
      <c r="A11" s="107"/>
    </row>
    <row r="12" spans="1:21" ht="15.75">
      <c r="A12" s="107"/>
      <c r="B12" s="133" t="s">
        <v>25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2" ht="12.75">
      <c r="A13" s="51" t="s">
        <v>428</v>
      </c>
      <c r="B13" s="27" t="s">
        <v>159</v>
      </c>
      <c r="C13" s="27" t="s">
        <v>160</v>
      </c>
      <c r="D13" s="27" t="s">
        <v>161</v>
      </c>
      <c r="E13" s="27" t="str">
        <f>"0,9007"</f>
        <v>0,9007</v>
      </c>
      <c r="F13" s="27" t="s">
        <v>14</v>
      </c>
      <c r="G13" s="27" t="s">
        <v>15</v>
      </c>
      <c r="H13" s="62" t="s">
        <v>147</v>
      </c>
      <c r="I13" s="61" t="s">
        <v>147</v>
      </c>
      <c r="J13" s="61" t="s">
        <v>162</v>
      </c>
      <c r="K13" s="63"/>
      <c r="L13" s="62" t="s">
        <v>152</v>
      </c>
      <c r="M13" s="61" t="s">
        <v>152</v>
      </c>
      <c r="N13" s="62" t="s">
        <v>32</v>
      </c>
      <c r="O13" s="63"/>
      <c r="P13" s="61" t="s">
        <v>21</v>
      </c>
      <c r="Q13" s="61" t="s">
        <v>17</v>
      </c>
      <c r="R13" s="62" t="s">
        <v>162</v>
      </c>
      <c r="S13" s="63"/>
      <c r="T13" s="51" t="s">
        <v>114</v>
      </c>
      <c r="U13" s="51" t="str">
        <f>"270,2250"</f>
        <v>270,2250</v>
      </c>
      <c r="V13" s="27" t="s">
        <v>483</v>
      </c>
    </row>
    <row r="14" ht="12.75">
      <c r="A14" s="107"/>
    </row>
    <row r="15" spans="1:21" ht="15.75">
      <c r="A15" s="107"/>
      <c r="B15" s="133" t="s">
        <v>163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2" ht="12.75">
      <c r="A16" s="51" t="s">
        <v>428</v>
      </c>
      <c r="B16" s="27" t="s">
        <v>164</v>
      </c>
      <c r="C16" s="27" t="s">
        <v>165</v>
      </c>
      <c r="D16" s="27" t="s">
        <v>166</v>
      </c>
      <c r="E16" s="27" t="str">
        <f>"0,6885"</f>
        <v>0,6885</v>
      </c>
      <c r="F16" s="27" t="s">
        <v>14</v>
      </c>
      <c r="G16" s="27" t="s">
        <v>15</v>
      </c>
      <c r="H16" s="62" t="s">
        <v>37</v>
      </c>
      <c r="I16" s="61" t="s">
        <v>82</v>
      </c>
      <c r="J16" s="61" t="s">
        <v>45</v>
      </c>
      <c r="K16" s="63"/>
      <c r="L16" s="61" t="s">
        <v>17</v>
      </c>
      <c r="M16" s="61" t="s">
        <v>147</v>
      </c>
      <c r="N16" s="62" t="s">
        <v>23</v>
      </c>
      <c r="O16" s="63"/>
      <c r="P16" s="61" t="s">
        <v>50</v>
      </c>
      <c r="Q16" s="61" t="s">
        <v>67</v>
      </c>
      <c r="R16" s="61" t="s">
        <v>167</v>
      </c>
      <c r="S16" s="63"/>
      <c r="T16" s="51">
        <v>487.5</v>
      </c>
      <c r="U16" s="51" t="str">
        <f>"335,6681"</f>
        <v>335,6681</v>
      </c>
      <c r="V16" s="27" t="s">
        <v>359</v>
      </c>
    </row>
    <row r="17" ht="12.75">
      <c r="A17" s="107"/>
    </row>
    <row r="18" spans="1:21" ht="15.75">
      <c r="A18" s="107"/>
      <c r="B18" s="133" t="s">
        <v>52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2" ht="12.75">
      <c r="A19" s="49" t="s">
        <v>428</v>
      </c>
      <c r="B19" s="91" t="s">
        <v>168</v>
      </c>
      <c r="C19" s="25" t="s">
        <v>169</v>
      </c>
      <c r="D19" s="25" t="s">
        <v>170</v>
      </c>
      <c r="E19" s="25" t="str">
        <f>"0,6247"</f>
        <v>0,6247</v>
      </c>
      <c r="F19" s="25" t="s">
        <v>14</v>
      </c>
      <c r="G19" s="25" t="s">
        <v>171</v>
      </c>
      <c r="H19" s="64" t="s">
        <v>167</v>
      </c>
      <c r="I19" s="54" t="s">
        <v>74</v>
      </c>
      <c r="J19" s="54" t="s">
        <v>172</v>
      </c>
      <c r="K19" s="55"/>
      <c r="L19" s="54" t="s">
        <v>35</v>
      </c>
      <c r="M19" s="54" t="s">
        <v>60</v>
      </c>
      <c r="N19" s="54" t="s">
        <v>81</v>
      </c>
      <c r="O19" s="55"/>
      <c r="P19" s="54" t="s">
        <v>61</v>
      </c>
      <c r="Q19" s="54" t="s">
        <v>62</v>
      </c>
      <c r="R19" s="64" t="s">
        <v>173</v>
      </c>
      <c r="S19" s="55"/>
      <c r="T19" s="49">
        <v>597.5</v>
      </c>
      <c r="U19" s="49" t="str">
        <f>"373,2284"</f>
        <v>373,2284</v>
      </c>
      <c r="V19" s="25" t="s">
        <v>349</v>
      </c>
    </row>
    <row r="20" spans="1:22" ht="12.75">
      <c r="A20" s="50" t="s">
        <v>430</v>
      </c>
      <c r="B20" s="92" t="s">
        <v>174</v>
      </c>
      <c r="C20" s="26" t="s">
        <v>175</v>
      </c>
      <c r="D20" s="26" t="s">
        <v>176</v>
      </c>
      <c r="E20" s="26" t="str">
        <f>"0,6203"</f>
        <v>0,6203</v>
      </c>
      <c r="F20" s="26" t="s">
        <v>14</v>
      </c>
      <c r="G20" s="26" t="s">
        <v>15</v>
      </c>
      <c r="H20" s="56" t="s">
        <v>177</v>
      </c>
      <c r="I20" s="56" t="s">
        <v>45</v>
      </c>
      <c r="J20" s="58" t="s">
        <v>107</v>
      </c>
      <c r="K20" s="57"/>
      <c r="L20" s="56" t="s">
        <v>178</v>
      </c>
      <c r="M20" s="56" t="s">
        <v>179</v>
      </c>
      <c r="N20" s="58" t="s">
        <v>180</v>
      </c>
      <c r="O20" s="57"/>
      <c r="P20" s="56" t="s">
        <v>167</v>
      </c>
      <c r="Q20" s="56" t="s">
        <v>75</v>
      </c>
      <c r="R20" s="56" t="s">
        <v>61</v>
      </c>
      <c r="S20" s="57"/>
      <c r="T20" s="50">
        <v>507.5</v>
      </c>
      <c r="U20" s="50" t="str">
        <f>"314,8022"</f>
        <v>314,8022</v>
      </c>
      <c r="V20" s="26" t="s">
        <v>349</v>
      </c>
    </row>
    <row r="21" ht="12.75">
      <c r="A21" s="107"/>
    </row>
    <row r="22" spans="1:21" ht="15.75">
      <c r="A22" s="107"/>
      <c r="B22" s="133" t="s">
        <v>85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</row>
    <row r="23" spans="1:22" ht="12.75">
      <c r="A23" s="49" t="s">
        <v>428</v>
      </c>
      <c r="B23" s="91" t="s">
        <v>181</v>
      </c>
      <c r="C23" s="25" t="s">
        <v>182</v>
      </c>
      <c r="D23" s="25" t="s">
        <v>183</v>
      </c>
      <c r="E23" s="25" t="str">
        <f>"0,5952"</f>
        <v>0,5952</v>
      </c>
      <c r="F23" s="25" t="s">
        <v>14</v>
      </c>
      <c r="G23" s="25" t="s">
        <v>184</v>
      </c>
      <c r="H23" s="54" t="s">
        <v>96</v>
      </c>
      <c r="I23" s="54" t="s">
        <v>89</v>
      </c>
      <c r="J23" s="54" t="s">
        <v>185</v>
      </c>
      <c r="K23" s="55"/>
      <c r="L23" s="54" t="s">
        <v>30</v>
      </c>
      <c r="M23" s="54" t="s">
        <v>186</v>
      </c>
      <c r="N23" s="54" t="s">
        <v>31</v>
      </c>
      <c r="O23" s="55"/>
      <c r="P23" s="54" t="s">
        <v>62</v>
      </c>
      <c r="Q23" s="54" t="s">
        <v>173</v>
      </c>
      <c r="R23" s="54" t="s">
        <v>108</v>
      </c>
      <c r="S23" s="55"/>
      <c r="T23" s="49">
        <v>652.5</v>
      </c>
      <c r="U23" s="49" t="str">
        <f>"388,3680"</f>
        <v>388,3680</v>
      </c>
      <c r="V23" s="25" t="s">
        <v>466</v>
      </c>
    </row>
    <row r="24" spans="1:22" ht="12.75">
      <c r="A24" s="52" t="s">
        <v>430</v>
      </c>
      <c r="B24" s="93" t="s">
        <v>187</v>
      </c>
      <c r="C24" s="28" t="s">
        <v>188</v>
      </c>
      <c r="D24" s="28" t="s">
        <v>189</v>
      </c>
      <c r="E24" s="28" t="str">
        <f>"0,5861"</f>
        <v>0,5861</v>
      </c>
      <c r="F24" s="28" t="s">
        <v>14</v>
      </c>
      <c r="G24" s="28" t="s">
        <v>73</v>
      </c>
      <c r="H24" s="59" t="s">
        <v>74</v>
      </c>
      <c r="I24" s="59" t="s">
        <v>96</v>
      </c>
      <c r="J24" s="59" t="s">
        <v>61</v>
      </c>
      <c r="K24" s="60"/>
      <c r="L24" s="59" t="s">
        <v>49</v>
      </c>
      <c r="M24" s="59" t="s">
        <v>45</v>
      </c>
      <c r="N24" s="59" t="s">
        <v>50</v>
      </c>
      <c r="O24" s="60"/>
      <c r="P24" s="59" t="s">
        <v>96</v>
      </c>
      <c r="Q24" s="59" t="s">
        <v>61</v>
      </c>
      <c r="R24" s="59" t="s">
        <v>89</v>
      </c>
      <c r="S24" s="60"/>
      <c r="T24" s="52" t="s">
        <v>204</v>
      </c>
      <c r="U24" s="52" t="str">
        <f>"378,0667"</f>
        <v>378,0667</v>
      </c>
      <c r="V24" s="28" t="s">
        <v>451</v>
      </c>
    </row>
    <row r="25" spans="1:22" ht="12.75">
      <c r="A25" s="50" t="s">
        <v>431</v>
      </c>
      <c r="B25" s="92" t="s">
        <v>190</v>
      </c>
      <c r="C25" s="26" t="s">
        <v>191</v>
      </c>
      <c r="D25" s="26" t="s">
        <v>192</v>
      </c>
      <c r="E25" s="26" t="str">
        <f>"0,5911"</f>
        <v>0,5911</v>
      </c>
      <c r="F25" s="26" t="s">
        <v>14</v>
      </c>
      <c r="G25" s="26" t="s">
        <v>73</v>
      </c>
      <c r="H25" s="56" t="s">
        <v>74</v>
      </c>
      <c r="I25" s="56" t="s">
        <v>75</v>
      </c>
      <c r="J25" s="56" t="s">
        <v>96</v>
      </c>
      <c r="K25" s="57"/>
      <c r="L25" s="56" t="s">
        <v>36</v>
      </c>
      <c r="M25" s="56" t="s">
        <v>177</v>
      </c>
      <c r="N25" s="56" t="s">
        <v>120</v>
      </c>
      <c r="O25" s="57"/>
      <c r="P25" s="56" t="s">
        <v>62</v>
      </c>
      <c r="Q25" s="56" t="s">
        <v>90</v>
      </c>
      <c r="R25" s="58" t="s">
        <v>173</v>
      </c>
      <c r="S25" s="57"/>
      <c r="T25" s="50">
        <v>627.5</v>
      </c>
      <c r="U25" s="50" t="str">
        <f>"370,9152"</f>
        <v>370,9152</v>
      </c>
      <c r="V25" s="26" t="s">
        <v>451</v>
      </c>
    </row>
    <row r="26" ht="12.75">
      <c r="A26" s="107"/>
    </row>
    <row r="27" spans="1:21" ht="15.75">
      <c r="A27" s="107"/>
      <c r="B27" s="133" t="s">
        <v>102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1:22" ht="12.75">
      <c r="A28" s="49" t="s">
        <v>428</v>
      </c>
      <c r="B28" s="91" t="s">
        <v>193</v>
      </c>
      <c r="C28" s="25" t="s">
        <v>194</v>
      </c>
      <c r="D28" s="25" t="s">
        <v>195</v>
      </c>
      <c r="E28" s="25" t="str">
        <f>"0,5731"</f>
        <v>0,5731</v>
      </c>
      <c r="F28" s="25" t="s">
        <v>14</v>
      </c>
      <c r="G28" s="25" t="s">
        <v>73</v>
      </c>
      <c r="H28" s="54" t="s">
        <v>119</v>
      </c>
      <c r="I28" s="54" t="s">
        <v>173</v>
      </c>
      <c r="J28" s="54" t="s">
        <v>58</v>
      </c>
      <c r="K28" s="55"/>
      <c r="L28" s="54" t="s">
        <v>82</v>
      </c>
      <c r="M28" s="54" t="s">
        <v>44</v>
      </c>
      <c r="N28" s="64" t="s">
        <v>50</v>
      </c>
      <c r="O28" s="55"/>
      <c r="P28" s="54" t="s">
        <v>62</v>
      </c>
      <c r="Q28" s="54" t="s">
        <v>90</v>
      </c>
      <c r="R28" s="54" t="s">
        <v>57</v>
      </c>
      <c r="S28" s="55"/>
      <c r="T28" s="49">
        <v>702.5</v>
      </c>
      <c r="U28" s="49" t="str">
        <f>"402,6379"</f>
        <v>402,6379</v>
      </c>
      <c r="V28" s="25" t="s">
        <v>451</v>
      </c>
    </row>
    <row r="29" spans="1:22" ht="12.75">
      <c r="A29" s="52" t="s">
        <v>430</v>
      </c>
      <c r="B29" s="93" t="s">
        <v>196</v>
      </c>
      <c r="C29" s="28" t="s">
        <v>197</v>
      </c>
      <c r="D29" s="28" t="s">
        <v>198</v>
      </c>
      <c r="E29" s="28" t="str">
        <f>"0,5644"</f>
        <v>0,5644</v>
      </c>
      <c r="F29" s="28" t="s">
        <v>14</v>
      </c>
      <c r="G29" s="28" t="s">
        <v>480</v>
      </c>
      <c r="H29" s="59" t="s">
        <v>75</v>
      </c>
      <c r="I29" s="59" t="s">
        <v>199</v>
      </c>
      <c r="J29" s="68" t="s">
        <v>62</v>
      </c>
      <c r="K29" s="60"/>
      <c r="L29" s="59" t="s">
        <v>81</v>
      </c>
      <c r="M29" s="59" t="s">
        <v>36</v>
      </c>
      <c r="N29" s="59" t="s">
        <v>177</v>
      </c>
      <c r="O29" s="60"/>
      <c r="P29" s="59" t="s">
        <v>75</v>
      </c>
      <c r="Q29" s="59" t="s">
        <v>96</v>
      </c>
      <c r="R29" s="59" t="s">
        <v>61</v>
      </c>
      <c r="S29" s="60"/>
      <c r="T29" s="52" t="s">
        <v>444</v>
      </c>
      <c r="U29" s="52" t="str">
        <f>"344,2840"</f>
        <v>344,2840</v>
      </c>
      <c r="V29" s="28" t="s">
        <v>359</v>
      </c>
    </row>
    <row r="30" spans="1:22" ht="12.75">
      <c r="A30" s="50" t="s">
        <v>431</v>
      </c>
      <c r="B30" s="92" t="s">
        <v>200</v>
      </c>
      <c r="C30" s="26" t="s">
        <v>201</v>
      </c>
      <c r="D30" s="26" t="s">
        <v>198</v>
      </c>
      <c r="E30" s="26" t="str">
        <f>"0,5644"</f>
        <v>0,5644</v>
      </c>
      <c r="F30" s="26" t="s">
        <v>14</v>
      </c>
      <c r="G30" s="26" t="s">
        <v>15</v>
      </c>
      <c r="H30" s="56" t="s">
        <v>75</v>
      </c>
      <c r="I30" s="56" t="s">
        <v>96</v>
      </c>
      <c r="J30" s="58" t="s">
        <v>61</v>
      </c>
      <c r="K30" s="57"/>
      <c r="L30" s="56" t="s">
        <v>23</v>
      </c>
      <c r="M30" s="56" t="s">
        <v>30</v>
      </c>
      <c r="N30" s="56" t="s">
        <v>31</v>
      </c>
      <c r="O30" s="57"/>
      <c r="P30" s="56" t="s">
        <v>75</v>
      </c>
      <c r="Q30" s="56" t="s">
        <v>96</v>
      </c>
      <c r="R30" s="56" t="s">
        <v>61</v>
      </c>
      <c r="S30" s="57"/>
      <c r="T30" s="50" t="s">
        <v>445</v>
      </c>
      <c r="U30" s="50" t="str">
        <f>"332,9960"</f>
        <v>332,9960</v>
      </c>
      <c r="V30" s="26" t="s">
        <v>359</v>
      </c>
    </row>
    <row r="33" spans="2:3" ht="18">
      <c r="B33" s="30" t="s">
        <v>123</v>
      </c>
      <c r="C33" s="30"/>
    </row>
    <row r="35" spans="2:3" ht="15.75">
      <c r="B35" s="31" t="s">
        <v>131</v>
      </c>
      <c r="C35" s="31"/>
    </row>
    <row r="36" spans="2:3" ht="13.5">
      <c r="B36" s="33"/>
      <c r="C36" s="34"/>
    </row>
    <row r="37" spans="1:6" ht="13.5">
      <c r="A37" s="35" t="s">
        <v>427</v>
      </c>
      <c r="B37" s="35" t="s">
        <v>126</v>
      </c>
      <c r="C37" s="35" t="s">
        <v>127</v>
      </c>
      <c r="D37" s="35" t="s">
        <v>128</v>
      </c>
      <c r="E37" s="35" t="s">
        <v>129</v>
      </c>
      <c r="F37" s="35" t="s">
        <v>130</v>
      </c>
    </row>
    <row r="38" spans="1:6" ht="12.75">
      <c r="A38" s="107">
        <v>1</v>
      </c>
      <c r="B38" s="32" t="s">
        <v>193</v>
      </c>
      <c r="C38" s="37" t="s">
        <v>125</v>
      </c>
      <c r="D38" s="48" t="s">
        <v>433</v>
      </c>
      <c r="E38" s="48" t="s">
        <v>139</v>
      </c>
      <c r="F38" s="48" t="s">
        <v>202</v>
      </c>
    </row>
    <row r="39" spans="1:6" ht="12.75">
      <c r="A39" s="107">
        <v>2</v>
      </c>
      <c r="B39" s="32" t="s">
        <v>181</v>
      </c>
      <c r="C39" s="37" t="s">
        <v>125</v>
      </c>
      <c r="D39" s="48" t="s">
        <v>434</v>
      </c>
      <c r="E39" s="48" t="s">
        <v>138</v>
      </c>
      <c r="F39" s="48" t="s">
        <v>203</v>
      </c>
    </row>
    <row r="40" spans="1:6" ht="12.75">
      <c r="A40" s="107">
        <v>3</v>
      </c>
      <c r="B40" s="32" t="s">
        <v>187</v>
      </c>
      <c r="C40" s="37" t="s">
        <v>125</v>
      </c>
      <c r="D40" s="48" t="s">
        <v>434</v>
      </c>
      <c r="E40" s="48" t="s">
        <v>204</v>
      </c>
      <c r="F40" s="48" t="s">
        <v>205</v>
      </c>
    </row>
  </sheetData>
  <sheetProtection/>
  <mergeCells count="21">
    <mergeCell ref="B22:U22"/>
    <mergeCell ref="B27:U27"/>
    <mergeCell ref="T3:T4"/>
    <mergeCell ref="U3:U4"/>
    <mergeCell ref="G3:G4"/>
    <mergeCell ref="H3:K3"/>
    <mergeCell ref="L3:O3"/>
    <mergeCell ref="B5:U5"/>
    <mergeCell ref="A3:A4"/>
    <mergeCell ref="F3:F4"/>
    <mergeCell ref="P3:S3"/>
    <mergeCell ref="V3:V4"/>
    <mergeCell ref="B15:U15"/>
    <mergeCell ref="B18:U18"/>
    <mergeCell ref="B9:U9"/>
    <mergeCell ref="B12:U12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 topLeftCell="C1">
      <selection activeCell="V28" sqref="V28"/>
    </sheetView>
  </sheetViews>
  <sheetFormatPr defaultColWidth="9.125" defaultRowHeight="12.75"/>
  <cols>
    <col min="1" max="1" width="9.125" style="73" customWidth="1"/>
    <col min="2" max="2" width="26.75390625" style="115" customWidth="1"/>
    <col min="3" max="3" width="25.00390625" style="1" customWidth="1"/>
    <col min="4" max="4" width="13.25390625" style="1" customWidth="1"/>
    <col min="5" max="5" width="8.375" style="1" bestFit="1" customWidth="1"/>
    <col min="6" max="6" width="14.875" style="5" customWidth="1"/>
    <col min="7" max="7" width="27.375" style="5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8.625" style="1" bestFit="1" customWidth="1"/>
    <col min="22" max="22" width="18.875" style="5" bestFit="1" customWidth="1"/>
    <col min="23" max="16384" width="9.125" style="1" customWidth="1"/>
  </cols>
  <sheetData>
    <row r="1" spans="2:22" ht="15" customHeight="1">
      <c r="B1" s="134" t="s">
        <v>491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6"/>
    </row>
    <row r="2" spans="2:22" ht="82.5" customHeight="1" thickBo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s="2" customFormat="1" ht="12.75" customHeight="1">
      <c r="A3" s="144" t="s">
        <v>426</v>
      </c>
      <c r="B3" s="140" t="s">
        <v>0</v>
      </c>
      <c r="C3" s="142" t="s">
        <v>436</v>
      </c>
      <c r="D3" s="144" t="s">
        <v>447</v>
      </c>
      <c r="E3" s="144" t="s">
        <v>9</v>
      </c>
      <c r="F3" s="144" t="s">
        <v>7</v>
      </c>
      <c r="G3" s="144" t="s">
        <v>450</v>
      </c>
      <c r="H3" s="144" t="s">
        <v>1</v>
      </c>
      <c r="I3" s="144"/>
      <c r="J3" s="144"/>
      <c r="K3" s="144"/>
      <c r="L3" s="144" t="s">
        <v>2</v>
      </c>
      <c r="M3" s="144"/>
      <c r="N3" s="144"/>
      <c r="O3" s="144"/>
      <c r="P3" s="144" t="s">
        <v>3</v>
      </c>
      <c r="Q3" s="144"/>
      <c r="R3" s="144"/>
      <c r="S3" s="144"/>
      <c r="T3" s="144" t="s">
        <v>4</v>
      </c>
      <c r="U3" s="144" t="s">
        <v>6</v>
      </c>
      <c r="V3" s="145" t="s">
        <v>5</v>
      </c>
    </row>
    <row r="4" spans="1:22" s="2" customFormat="1" ht="21" customHeight="1" thickBot="1">
      <c r="A4" s="143"/>
      <c r="B4" s="141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6"/>
    </row>
    <row r="5" spans="2:21" ht="15.75">
      <c r="B5" s="149" t="s">
        <v>10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2" ht="12.75">
      <c r="A6" s="77" t="s">
        <v>428</v>
      </c>
      <c r="B6" s="114" t="s">
        <v>11</v>
      </c>
      <c r="C6" s="8" t="s">
        <v>12</v>
      </c>
      <c r="D6" s="8" t="s">
        <v>13</v>
      </c>
      <c r="E6" s="7" t="str">
        <f>"1,0093"</f>
        <v>1,0093</v>
      </c>
      <c r="F6" s="8" t="s">
        <v>14</v>
      </c>
      <c r="G6" s="8" t="s">
        <v>15</v>
      </c>
      <c r="H6" s="74" t="s">
        <v>16</v>
      </c>
      <c r="I6" s="61" t="s">
        <v>16</v>
      </c>
      <c r="J6" s="61" t="s">
        <v>17</v>
      </c>
      <c r="K6" s="9"/>
      <c r="L6" s="61" t="s">
        <v>18</v>
      </c>
      <c r="M6" s="61" t="s">
        <v>19</v>
      </c>
      <c r="N6" s="75" t="s">
        <v>20</v>
      </c>
      <c r="O6" s="9"/>
      <c r="P6" s="61" t="s">
        <v>21</v>
      </c>
      <c r="Q6" s="61" t="s">
        <v>22</v>
      </c>
      <c r="R6" s="61" t="s">
        <v>23</v>
      </c>
      <c r="S6" s="9"/>
      <c r="T6" s="6" t="s">
        <v>24</v>
      </c>
      <c r="U6" s="77" t="str">
        <f>"287,6505"</f>
        <v>287,6505</v>
      </c>
      <c r="V6" s="8" t="s">
        <v>483</v>
      </c>
    </row>
    <row r="8" spans="2:21" ht="15.75">
      <c r="B8" s="148" t="s">
        <v>25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1:22" ht="12.75">
      <c r="A9" s="77" t="s">
        <v>428</v>
      </c>
      <c r="B9" s="114" t="s">
        <v>26</v>
      </c>
      <c r="C9" s="8" t="s">
        <v>27</v>
      </c>
      <c r="D9" s="8" t="s">
        <v>28</v>
      </c>
      <c r="E9" s="7" t="str">
        <f>"0,9000"</f>
        <v>0,9000</v>
      </c>
      <c r="F9" s="8" t="s">
        <v>14</v>
      </c>
      <c r="G9" s="8" t="s">
        <v>29</v>
      </c>
      <c r="H9" s="61" t="s">
        <v>23</v>
      </c>
      <c r="I9" s="61" t="s">
        <v>30</v>
      </c>
      <c r="J9" s="61" t="s">
        <v>31</v>
      </c>
      <c r="K9" s="76"/>
      <c r="L9" s="61" t="s">
        <v>32</v>
      </c>
      <c r="M9" s="61" t="s">
        <v>33</v>
      </c>
      <c r="N9" s="61" t="s">
        <v>34</v>
      </c>
      <c r="O9" s="76"/>
      <c r="P9" s="61" t="s">
        <v>35</v>
      </c>
      <c r="Q9" s="61" t="s">
        <v>36</v>
      </c>
      <c r="R9" s="61" t="s">
        <v>37</v>
      </c>
      <c r="S9" s="76"/>
      <c r="T9" s="6" t="s">
        <v>38</v>
      </c>
      <c r="U9" s="77" t="str">
        <f>"346,4808"</f>
        <v>346,4808</v>
      </c>
      <c r="V9" s="8" t="s">
        <v>457</v>
      </c>
    </row>
    <row r="11" spans="2:21" ht="15.75">
      <c r="B11" s="148" t="s">
        <v>39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2" ht="12.75">
      <c r="A12" s="77" t="s">
        <v>428</v>
      </c>
      <c r="B12" s="114" t="s">
        <v>40</v>
      </c>
      <c r="C12" s="8" t="s">
        <v>41</v>
      </c>
      <c r="D12" s="8" t="s">
        <v>42</v>
      </c>
      <c r="E12" s="7" t="str">
        <f>"0,6535"</f>
        <v>0,6535</v>
      </c>
      <c r="F12" s="8" t="s">
        <v>14</v>
      </c>
      <c r="G12" s="8" t="s">
        <v>15</v>
      </c>
      <c r="H12" s="61" t="s">
        <v>43</v>
      </c>
      <c r="I12" s="61" t="s">
        <v>44</v>
      </c>
      <c r="J12" s="75" t="s">
        <v>45</v>
      </c>
      <c r="K12" s="76"/>
      <c r="L12" s="61" t="s">
        <v>46</v>
      </c>
      <c r="M12" s="61" t="s">
        <v>47</v>
      </c>
      <c r="N12" s="61" t="s">
        <v>48</v>
      </c>
      <c r="O12" s="76"/>
      <c r="P12" s="61" t="s">
        <v>37</v>
      </c>
      <c r="Q12" s="61" t="s">
        <v>49</v>
      </c>
      <c r="R12" s="75" t="s">
        <v>50</v>
      </c>
      <c r="S12" s="76"/>
      <c r="T12" s="6" t="s">
        <v>51</v>
      </c>
      <c r="U12" s="77" t="str">
        <f>"307,1215"</f>
        <v>307,1215</v>
      </c>
      <c r="V12" s="8" t="s">
        <v>483</v>
      </c>
    </row>
    <row r="14" spans="2:21" ht="15.75">
      <c r="B14" s="148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</row>
    <row r="15" spans="1:22" ht="12.75">
      <c r="A15" s="80" t="s">
        <v>428</v>
      </c>
      <c r="B15" s="120" t="s">
        <v>53</v>
      </c>
      <c r="C15" s="12" t="s">
        <v>54</v>
      </c>
      <c r="D15" s="12" t="s">
        <v>55</v>
      </c>
      <c r="E15" s="11" t="str">
        <f>"0,6162"</f>
        <v>0,6162</v>
      </c>
      <c r="F15" s="12" t="s">
        <v>14</v>
      </c>
      <c r="G15" s="12" t="s">
        <v>56</v>
      </c>
      <c r="H15" s="54" t="s">
        <v>57</v>
      </c>
      <c r="I15" s="54" t="s">
        <v>58</v>
      </c>
      <c r="J15" s="54" t="s">
        <v>59</v>
      </c>
      <c r="K15" s="78"/>
      <c r="L15" s="54" t="s">
        <v>35</v>
      </c>
      <c r="M15" s="79" t="s">
        <v>60</v>
      </c>
      <c r="N15" s="54" t="s">
        <v>60</v>
      </c>
      <c r="O15" s="78"/>
      <c r="P15" s="54" t="s">
        <v>61</v>
      </c>
      <c r="Q15" s="79" t="s">
        <v>62</v>
      </c>
      <c r="R15" s="79" t="s">
        <v>62</v>
      </c>
      <c r="S15" s="78"/>
      <c r="T15" s="10" t="s">
        <v>63</v>
      </c>
      <c r="U15" s="80" t="str">
        <f>"402,1031"</f>
        <v>402,1031</v>
      </c>
      <c r="V15" s="12" t="s">
        <v>356</v>
      </c>
    </row>
    <row r="16" spans="1:22" ht="12.75">
      <c r="A16" s="83" t="s">
        <v>430</v>
      </c>
      <c r="B16" s="121" t="s">
        <v>64</v>
      </c>
      <c r="C16" s="15" t="s">
        <v>65</v>
      </c>
      <c r="D16" s="15" t="s">
        <v>66</v>
      </c>
      <c r="E16" s="14" t="str">
        <f>"0,6141"</f>
        <v>0,6141</v>
      </c>
      <c r="F16" s="15" t="s">
        <v>14</v>
      </c>
      <c r="G16" s="15" t="s">
        <v>15</v>
      </c>
      <c r="H16" s="59" t="s">
        <v>67</v>
      </c>
      <c r="I16" s="81" t="s">
        <v>68</v>
      </c>
      <c r="J16" s="59" t="s">
        <v>68</v>
      </c>
      <c r="K16" s="82"/>
      <c r="L16" s="81" t="s">
        <v>44</v>
      </c>
      <c r="M16" s="59" t="s">
        <v>44</v>
      </c>
      <c r="N16" s="81" t="s">
        <v>50</v>
      </c>
      <c r="O16" s="82"/>
      <c r="P16" s="59" t="s">
        <v>62</v>
      </c>
      <c r="Q16" s="59" t="s">
        <v>69</v>
      </c>
      <c r="R16" s="82"/>
      <c r="S16" s="82"/>
      <c r="T16" s="13" t="s">
        <v>63</v>
      </c>
      <c r="U16" s="83" t="str">
        <f>"400,7329"</f>
        <v>400,7329</v>
      </c>
      <c r="V16" s="15" t="s">
        <v>467</v>
      </c>
    </row>
    <row r="17" spans="1:22" ht="12.75">
      <c r="A17" s="83" t="s">
        <v>431</v>
      </c>
      <c r="B17" s="121" t="s">
        <v>70</v>
      </c>
      <c r="C17" s="15" t="s">
        <v>71</v>
      </c>
      <c r="D17" s="15" t="s">
        <v>72</v>
      </c>
      <c r="E17" s="14" t="str">
        <f>"0,6145"</f>
        <v>0,6145</v>
      </c>
      <c r="F17" s="15" t="s">
        <v>14</v>
      </c>
      <c r="G17" s="15" t="s">
        <v>73</v>
      </c>
      <c r="H17" s="59" t="s">
        <v>67</v>
      </c>
      <c r="I17" s="59" t="s">
        <v>74</v>
      </c>
      <c r="J17" s="59" t="s">
        <v>75</v>
      </c>
      <c r="K17" s="82"/>
      <c r="L17" s="59" t="s">
        <v>45</v>
      </c>
      <c r="M17" s="59" t="s">
        <v>50</v>
      </c>
      <c r="N17" s="59" t="s">
        <v>76</v>
      </c>
      <c r="O17" s="82"/>
      <c r="P17" s="59" t="s">
        <v>74</v>
      </c>
      <c r="Q17" s="59" t="s">
        <v>61</v>
      </c>
      <c r="R17" s="82"/>
      <c r="S17" s="82"/>
      <c r="T17" s="13" t="s">
        <v>77</v>
      </c>
      <c r="U17" s="83" t="str">
        <f>"384,0937"</f>
        <v>384,0937</v>
      </c>
      <c r="V17" s="15" t="s">
        <v>451</v>
      </c>
    </row>
    <row r="18" spans="1:22" ht="12.75">
      <c r="A18" s="87" t="s">
        <v>439</v>
      </c>
      <c r="B18" s="122" t="s">
        <v>78</v>
      </c>
      <c r="C18" s="18" t="s">
        <v>79</v>
      </c>
      <c r="D18" s="18" t="s">
        <v>80</v>
      </c>
      <c r="E18" s="17" t="str">
        <f>"0,6251"</f>
        <v>0,6251</v>
      </c>
      <c r="F18" s="18" t="s">
        <v>14</v>
      </c>
      <c r="G18" s="18" t="s">
        <v>15</v>
      </c>
      <c r="H18" s="56" t="s">
        <v>31</v>
      </c>
      <c r="I18" s="84" t="s">
        <v>81</v>
      </c>
      <c r="J18" s="56" t="s">
        <v>81</v>
      </c>
      <c r="K18" s="85"/>
      <c r="L18" s="56" t="s">
        <v>46</v>
      </c>
      <c r="M18" s="86" t="s">
        <v>23</v>
      </c>
      <c r="N18" s="56" t="s">
        <v>23</v>
      </c>
      <c r="O18" s="85"/>
      <c r="P18" s="56" t="s">
        <v>82</v>
      </c>
      <c r="Q18" s="56" t="s">
        <v>44</v>
      </c>
      <c r="R18" s="56" t="s">
        <v>83</v>
      </c>
      <c r="S18" s="85"/>
      <c r="T18" s="16" t="s">
        <v>84</v>
      </c>
      <c r="U18" s="87" t="str">
        <f>"276,6068"</f>
        <v>276,6068</v>
      </c>
      <c r="V18" s="18" t="s">
        <v>349</v>
      </c>
    </row>
    <row r="20" spans="2:21" ht="15.75">
      <c r="B20" s="148" t="s">
        <v>85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</row>
    <row r="21" spans="1:22" ht="12.75">
      <c r="A21" s="80" t="s">
        <v>428</v>
      </c>
      <c r="B21" s="120" t="s">
        <v>86</v>
      </c>
      <c r="C21" s="12" t="s">
        <v>87</v>
      </c>
      <c r="D21" s="12" t="s">
        <v>88</v>
      </c>
      <c r="E21" s="11" t="str">
        <f>"0,5816"</f>
        <v>0,5816</v>
      </c>
      <c r="F21" s="12" t="s">
        <v>14</v>
      </c>
      <c r="G21" s="12" t="s">
        <v>15</v>
      </c>
      <c r="H21" s="54" t="s">
        <v>89</v>
      </c>
      <c r="I21" s="54" t="s">
        <v>90</v>
      </c>
      <c r="J21" s="54" t="s">
        <v>57</v>
      </c>
      <c r="K21" s="78"/>
      <c r="L21" s="54" t="s">
        <v>37</v>
      </c>
      <c r="M21" s="54" t="s">
        <v>49</v>
      </c>
      <c r="N21" s="54" t="s">
        <v>83</v>
      </c>
      <c r="O21" s="78"/>
      <c r="P21" s="54" t="s">
        <v>89</v>
      </c>
      <c r="Q21" s="54" t="s">
        <v>90</v>
      </c>
      <c r="R21" s="54" t="s">
        <v>91</v>
      </c>
      <c r="S21" s="78"/>
      <c r="T21" s="10" t="s">
        <v>92</v>
      </c>
      <c r="U21" s="80" t="str">
        <f>"404,1773"</f>
        <v>404,1773</v>
      </c>
      <c r="V21" s="12" t="s">
        <v>356</v>
      </c>
    </row>
    <row r="22" spans="1:22" ht="12.75">
      <c r="A22" s="83" t="s">
        <v>430</v>
      </c>
      <c r="B22" s="121" t="s">
        <v>93</v>
      </c>
      <c r="C22" s="15" t="s">
        <v>94</v>
      </c>
      <c r="D22" s="15" t="s">
        <v>95</v>
      </c>
      <c r="E22" s="14" t="str">
        <f>"0,5850"</f>
        <v>0,5850</v>
      </c>
      <c r="F22" s="15" t="s">
        <v>14</v>
      </c>
      <c r="G22" s="15" t="s">
        <v>15</v>
      </c>
      <c r="H22" s="81" t="s">
        <v>74</v>
      </c>
      <c r="I22" s="59" t="s">
        <v>74</v>
      </c>
      <c r="J22" s="59" t="s">
        <v>96</v>
      </c>
      <c r="K22" s="82"/>
      <c r="L22" s="59" t="s">
        <v>30</v>
      </c>
      <c r="M22" s="59" t="s">
        <v>31</v>
      </c>
      <c r="N22" s="59" t="s">
        <v>81</v>
      </c>
      <c r="O22" s="82"/>
      <c r="P22" s="59" t="s">
        <v>74</v>
      </c>
      <c r="Q22" s="59" t="s">
        <v>96</v>
      </c>
      <c r="R22" s="59" t="s">
        <v>61</v>
      </c>
      <c r="S22" s="82"/>
      <c r="T22" s="13" t="s">
        <v>97</v>
      </c>
      <c r="U22" s="83" t="str">
        <f>"348,1047"</f>
        <v>348,1047</v>
      </c>
      <c r="V22" s="15" t="s">
        <v>468</v>
      </c>
    </row>
    <row r="23" spans="1:22" ht="12.75">
      <c r="A23" s="87" t="s">
        <v>431</v>
      </c>
      <c r="B23" s="122" t="s">
        <v>98</v>
      </c>
      <c r="C23" s="18" t="s">
        <v>99</v>
      </c>
      <c r="D23" s="18" t="s">
        <v>100</v>
      </c>
      <c r="E23" s="17" t="str">
        <f>"0,5898"</f>
        <v>0,5898</v>
      </c>
      <c r="F23" s="18" t="s">
        <v>14</v>
      </c>
      <c r="G23" s="18" t="s">
        <v>15</v>
      </c>
      <c r="H23" s="56" t="s">
        <v>74</v>
      </c>
      <c r="I23" s="56" t="s">
        <v>96</v>
      </c>
      <c r="J23" s="84" t="s">
        <v>62</v>
      </c>
      <c r="K23" s="85"/>
      <c r="L23" s="56" t="s">
        <v>23</v>
      </c>
      <c r="M23" s="84" t="s">
        <v>30</v>
      </c>
      <c r="N23" s="84" t="s">
        <v>30</v>
      </c>
      <c r="O23" s="85"/>
      <c r="P23" s="56" t="s">
        <v>75</v>
      </c>
      <c r="Q23" s="56" t="s">
        <v>96</v>
      </c>
      <c r="R23" s="85"/>
      <c r="S23" s="85"/>
      <c r="T23" s="16" t="s">
        <v>101</v>
      </c>
      <c r="U23" s="87" t="str">
        <f>"330,2880"</f>
        <v>330,2880</v>
      </c>
      <c r="V23" s="18" t="s">
        <v>359</v>
      </c>
    </row>
    <row r="25" spans="2:21" ht="15.75">
      <c r="B25" s="148" t="s">
        <v>102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</row>
    <row r="26" spans="1:22" ht="12.75">
      <c r="A26" s="80" t="s">
        <v>428</v>
      </c>
      <c r="B26" s="120" t="s">
        <v>103</v>
      </c>
      <c r="C26" s="12" t="s">
        <v>104</v>
      </c>
      <c r="D26" s="12" t="s">
        <v>105</v>
      </c>
      <c r="E26" s="11" t="str">
        <f>"0,5667"</f>
        <v>0,5667</v>
      </c>
      <c r="F26" s="12" t="s">
        <v>14</v>
      </c>
      <c r="G26" s="12" t="s">
        <v>15</v>
      </c>
      <c r="H26" s="54" t="s">
        <v>57</v>
      </c>
      <c r="I26" s="79" t="s">
        <v>59</v>
      </c>
      <c r="J26" s="54" t="s">
        <v>106</v>
      </c>
      <c r="K26" s="78"/>
      <c r="L26" s="54" t="s">
        <v>45</v>
      </c>
      <c r="M26" s="54" t="s">
        <v>107</v>
      </c>
      <c r="N26" s="54" t="s">
        <v>76</v>
      </c>
      <c r="O26" s="78"/>
      <c r="P26" s="54" t="s">
        <v>108</v>
      </c>
      <c r="Q26" s="54" t="s">
        <v>69</v>
      </c>
      <c r="R26" s="54" t="s">
        <v>106</v>
      </c>
      <c r="S26" s="78"/>
      <c r="T26" s="10" t="s">
        <v>109</v>
      </c>
      <c r="U26" s="80" t="str">
        <f>"427,8962"</f>
        <v>427,8962</v>
      </c>
      <c r="V26" s="12" t="s">
        <v>356</v>
      </c>
    </row>
    <row r="27" spans="1:22" ht="12.75">
      <c r="A27" s="83" t="s">
        <v>430</v>
      </c>
      <c r="B27" s="121" t="s">
        <v>110</v>
      </c>
      <c r="C27" s="15" t="s">
        <v>111</v>
      </c>
      <c r="D27" s="15" t="s">
        <v>112</v>
      </c>
      <c r="E27" s="14" t="str">
        <f>"0,5666"</f>
        <v>0,5666</v>
      </c>
      <c r="F27" s="15" t="s">
        <v>14</v>
      </c>
      <c r="G27" s="15" t="s">
        <v>113</v>
      </c>
      <c r="H27" s="59" t="s">
        <v>96</v>
      </c>
      <c r="I27" s="59" t="s">
        <v>62</v>
      </c>
      <c r="J27" s="81" t="s">
        <v>90</v>
      </c>
      <c r="K27" s="82"/>
      <c r="L27" s="59" t="s">
        <v>50</v>
      </c>
      <c r="M27" s="59" t="s">
        <v>67</v>
      </c>
      <c r="N27" s="59" t="s">
        <v>74</v>
      </c>
      <c r="O27" s="82"/>
      <c r="P27" s="59" t="s">
        <v>57</v>
      </c>
      <c r="Q27" s="59" t="s">
        <v>59</v>
      </c>
      <c r="R27" s="81" t="s">
        <v>114</v>
      </c>
      <c r="S27" s="82"/>
      <c r="T27" s="13" t="s">
        <v>115</v>
      </c>
      <c r="U27" s="83" t="str">
        <f>"407,9160"</f>
        <v>407,9160</v>
      </c>
      <c r="V27" s="15" t="s">
        <v>349</v>
      </c>
    </row>
    <row r="28" spans="1:22" ht="12.75">
      <c r="A28" s="87" t="s">
        <v>431</v>
      </c>
      <c r="B28" s="122" t="s">
        <v>116</v>
      </c>
      <c r="C28" s="18" t="s">
        <v>117</v>
      </c>
      <c r="D28" s="18" t="s">
        <v>118</v>
      </c>
      <c r="E28" s="17" t="str">
        <f>"0,5655"</f>
        <v>0,5655</v>
      </c>
      <c r="F28" s="18" t="s">
        <v>14</v>
      </c>
      <c r="G28" s="18" t="s">
        <v>15</v>
      </c>
      <c r="H28" s="56" t="s">
        <v>119</v>
      </c>
      <c r="I28" s="56" t="s">
        <v>57</v>
      </c>
      <c r="J28" s="84" t="s">
        <v>58</v>
      </c>
      <c r="K28" s="85"/>
      <c r="L28" s="56" t="s">
        <v>120</v>
      </c>
      <c r="M28" s="56" t="s">
        <v>121</v>
      </c>
      <c r="N28" s="84" t="s">
        <v>44</v>
      </c>
      <c r="O28" s="85"/>
      <c r="P28" s="56" t="s">
        <v>119</v>
      </c>
      <c r="Q28" s="56" t="s">
        <v>108</v>
      </c>
      <c r="R28" s="56" t="s">
        <v>69</v>
      </c>
      <c r="S28" s="85"/>
      <c r="T28" s="16" t="s">
        <v>122</v>
      </c>
      <c r="U28" s="87" t="str">
        <f>"397,2638"</f>
        <v>397,2638</v>
      </c>
      <c r="V28" s="18" t="s">
        <v>356</v>
      </c>
    </row>
    <row r="30" spans="2:3" ht="18">
      <c r="B30" s="116" t="s">
        <v>123</v>
      </c>
      <c r="C30" s="20"/>
    </row>
    <row r="31" spans="2:3" ht="15.75">
      <c r="B31" s="19" t="s">
        <v>131</v>
      </c>
      <c r="C31" s="21"/>
    </row>
    <row r="32" spans="2:3" ht="13.5">
      <c r="B32" s="117"/>
      <c r="C32" s="22"/>
    </row>
    <row r="33" spans="1:6" ht="13.5">
      <c r="A33" s="23" t="s">
        <v>427</v>
      </c>
      <c r="B33" s="118" t="s">
        <v>126</v>
      </c>
      <c r="C33" s="23" t="s">
        <v>127</v>
      </c>
      <c r="D33" s="23" t="s">
        <v>128</v>
      </c>
      <c r="E33" s="23" t="s">
        <v>129</v>
      </c>
      <c r="F33" s="23" t="s">
        <v>130</v>
      </c>
    </row>
    <row r="34" spans="1:6" ht="12.75">
      <c r="A34" s="73" t="s">
        <v>428</v>
      </c>
      <c r="B34" s="119" t="s">
        <v>103</v>
      </c>
      <c r="C34" s="1" t="s">
        <v>125</v>
      </c>
      <c r="D34" s="73" t="s">
        <v>433</v>
      </c>
      <c r="E34" s="73" t="s">
        <v>132</v>
      </c>
      <c r="F34" s="73" t="s">
        <v>133</v>
      </c>
    </row>
    <row r="35" spans="1:6" ht="12.75">
      <c r="A35" s="73" t="s">
        <v>430</v>
      </c>
      <c r="B35" s="119" t="s">
        <v>110</v>
      </c>
      <c r="C35" s="1" t="s">
        <v>125</v>
      </c>
      <c r="D35" s="73" t="s">
        <v>433</v>
      </c>
      <c r="E35" s="73" t="s">
        <v>134</v>
      </c>
      <c r="F35" s="73" t="s">
        <v>135</v>
      </c>
    </row>
    <row r="36" spans="1:6" ht="12.75">
      <c r="A36" s="73" t="s">
        <v>431</v>
      </c>
      <c r="B36" s="119" t="s">
        <v>86</v>
      </c>
      <c r="C36" s="1" t="s">
        <v>125</v>
      </c>
      <c r="D36" s="73" t="s">
        <v>434</v>
      </c>
      <c r="E36" s="73" t="s">
        <v>136</v>
      </c>
      <c r="F36" s="73" t="s">
        <v>137</v>
      </c>
    </row>
  </sheetData>
  <sheetProtection/>
  <mergeCells count="20">
    <mergeCell ref="A3:A4"/>
    <mergeCell ref="B14:U14"/>
    <mergeCell ref="B20:U20"/>
    <mergeCell ref="B25:U25"/>
    <mergeCell ref="V3:V4"/>
    <mergeCell ref="G3:G4"/>
    <mergeCell ref="F3:F4"/>
    <mergeCell ref="B5:U5"/>
    <mergeCell ref="B8:U8"/>
    <mergeCell ref="B11:U11"/>
    <mergeCell ref="E3:E4"/>
    <mergeCell ref="T3:T4"/>
    <mergeCell ref="U3:U4"/>
    <mergeCell ref="B1:V2"/>
    <mergeCell ref="H3:K3"/>
    <mergeCell ref="L3:O3"/>
    <mergeCell ref="P3:S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C12" sqref="C12"/>
    </sheetView>
  </sheetViews>
  <sheetFormatPr defaultColWidth="8.75390625" defaultRowHeight="12.75"/>
  <cols>
    <col min="1" max="1" width="9.125" style="108" customWidth="1"/>
    <col min="2" max="2" width="26.00390625" style="24" bestFit="1" customWidth="1"/>
    <col min="3" max="3" width="24.75390625" style="24" customWidth="1"/>
    <col min="4" max="4" width="13.625" style="24" customWidth="1"/>
    <col min="5" max="5" width="8.375" style="24" bestFit="1" customWidth="1"/>
    <col min="6" max="6" width="22.75390625" style="24" bestFit="1" customWidth="1"/>
    <col min="7" max="7" width="30.75390625" style="24" bestFit="1" customWidth="1"/>
    <col min="8" max="10" width="5.625" style="24" bestFit="1" customWidth="1"/>
    <col min="11" max="11" width="4.625" style="24" bestFit="1" customWidth="1"/>
    <col min="12" max="12" width="11.625" style="24" customWidth="1"/>
    <col min="13" max="13" width="8.625" style="24" bestFit="1" customWidth="1"/>
    <col min="14" max="14" width="15.375" style="71" bestFit="1" customWidth="1"/>
  </cols>
  <sheetData>
    <row r="1" spans="1:14" s="1" customFormat="1" ht="15" customHeight="1">
      <c r="A1" s="73"/>
      <c r="B1" s="134" t="s">
        <v>486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1" customFormat="1" ht="91.5" customHeight="1" thickBot="1">
      <c r="A2" s="73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4" s="2" customFormat="1" ht="12.75" customHeight="1">
      <c r="A3" s="144" t="s">
        <v>426</v>
      </c>
      <c r="B3" s="140" t="s">
        <v>0</v>
      </c>
      <c r="C3" s="142" t="s">
        <v>436</v>
      </c>
      <c r="D3" s="144" t="s">
        <v>435</v>
      </c>
      <c r="E3" s="144" t="s">
        <v>9</v>
      </c>
      <c r="F3" s="144" t="s">
        <v>7</v>
      </c>
      <c r="G3" s="144" t="s">
        <v>450</v>
      </c>
      <c r="H3" s="144" t="s">
        <v>2</v>
      </c>
      <c r="I3" s="144"/>
      <c r="J3" s="144"/>
      <c r="K3" s="144"/>
      <c r="L3" s="144" t="s">
        <v>432</v>
      </c>
      <c r="M3" s="144" t="s">
        <v>6</v>
      </c>
      <c r="N3" s="150" t="s">
        <v>5</v>
      </c>
    </row>
    <row r="4" spans="1:14" s="2" customFormat="1" ht="21" customHeight="1" thickBot="1">
      <c r="A4" s="143"/>
      <c r="B4" s="141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51"/>
    </row>
    <row r="5" spans="2:13" ht="15.75">
      <c r="B5" s="147" t="s">
        <v>10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ht="12.75">
      <c r="A6" s="51" t="s">
        <v>428</v>
      </c>
      <c r="B6" s="27" t="s">
        <v>149</v>
      </c>
      <c r="C6" s="27" t="s">
        <v>150</v>
      </c>
      <c r="D6" s="27" t="s">
        <v>151</v>
      </c>
      <c r="E6" s="27" t="str">
        <f>"1,0156"</f>
        <v>1,0156</v>
      </c>
      <c r="F6" s="27" t="s">
        <v>14</v>
      </c>
      <c r="G6" s="27" t="s">
        <v>73</v>
      </c>
      <c r="H6" s="61" t="s">
        <v>155</v>
      </c>
      <c r="I6" s="62" t="s">
        <v>391</v>
      </c>
      <c r="J6" s="62" t="s">
        <v>391</v>
      </c>
      <c r="K6" s="63"/>
      <c r="L6" s="51">
        <v>37.5</v>
      </c>
      <c r="M6" s="51" t="str">
        <f>"38,0850"</f>
        <v>38,0850</v>
      </c>
      <c r="N6" s="88" t="s">
        <v>349</v>
      </c>
    </row>
    <row r="7" ht="12.75">
      <c r="A7" s="107"/>
    </row>
    <row r="8" spans="1:13" ht="15.75">
      <c r="A8" s="107"/>
      <c r="B8" s="133" t="s">
        <v>163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4" ht="12.75">
      <c r="A9" s="49" t="s">
        <v>428</v>
      </c>
      <c r="B9" s="91" t="s">
        <v>206</v>
      </c>
      <c r="C9" s="25" t="s">
        <v>207</v>
      </c>
      <c r="D9" s="25" t="s">
        <v>208</v>
      </c>
      <c r="E9" s="25" t="str">
        <f>"0,7348"</f>
        <v>0,7348</v>
      </c>
      <c r="F9" s="25" t="s">
        <v>14</v>
      </c>
      <c r="G9" s="25" t="s">
        <v>209</v>
      </c>
      <c r="H9" s="54" t="s">
        <v>30</v>
      </c>
      <c r="I9" s="64" t="s">
        <v>31</v>
      </c>
      <c r="J9" s="64" t="s">
        <v>31</v>
      </c>
      <c r="K9" s="55"/>
      <c r="L9" s="49" t="s">
        <v>30</v>
      </c>
      <c r="M9" s="49" t="str">
        <f>"95,5305"</f>
        <v>95,5305</v>
      </c>
      <c r="N9" s="53" t="s">
        <v>487</v>
      </c>
    </row>
    <row r="10" spans="1:14" ht="12.75">
      <c r="A10" s="52" t="s">
        <v>430</v>
      </c>
      <c r="B10" s="93" t="s">
        <v>210</v>
      </c>
      <c r="C10" s="28" t="s">
        <v>211</v>
      </c>
      <c r="D10" s="28" t="s">
        <v>212</v>
      </c>
      <c r="E10" s="28" t="str">
        <f>"0,7060"</f>
        <v>0,7060</v>
      </c>
      <c r="F10" s="28" t="s">
        <v>14</v>
      </c>
      <c r="G10" s="28" t="s">
        <v>213</v>
      </c>
      <c r="H10" s="59" t="s">
        <v>23</v>
      </c>
      <c r="I10" s="59" t="s">
        <v>162</v>
      </c>
      <c r="J10" s="68" t="s">
        <v>214</v>
      </c>
      <c r="K10" s="60"/>
      <c r="L10" s="52" t="s">
        <v>162</v>
      </c>
      <c r="M10" s="52" t="str">
        <f>"88,2525"</f>
        <v>88,2525</v>
      </c>
      <c r="N10" s="90" t="s">
        <v>355</v>
      </c>
    </row>
    <row r="11" spans="1:14" ht="12.75">
      <c r="A11" s="50" t="s">
        <v>431</v>
      </c>
      <c r="B11" s="92" t="s">
        <v>215</v>
      </c>
      <c r="C11" s="26" t="s">
        <v>216</v>
      </c>
      <c r="D11" s="26" t="s">
        <v>217</v>
      </c>
      <c r="E11" s="26" t="str">
        <f>"0,7212"</f>
        <v>0,7212</v>
      </c>
      <c r="F11" s="26" t="s">
        <v>14</v>
      </c>
      <c r="G11" s="26" t="s">
        <v>15</v>
      </c>
      <c r="H11" s="56" t="s">
        <v>178</v>
      </c>
      <c r="I11" s="56" t="s">
        <v>21</v>
      </c>
      <c r="J11" s="58" t="s">
        <v>17</v>
      </c>
      <c r="K11" s="57"/>
      <c r="L11" s="50" t="s">
        <v>21</v>
      </c>
      <c r="M11" s="50" t="str">
        <f>"75,7312"</f>
        <v>75,7312</v>
      </c>
      <c r="N11" s="89" t="s">
        <v>488</v>
      </c>
    </row>
    <row r="12" ht="12.75">
      <c r="A12" s="107"/>
    </row>
    <row r="13" spans="1:13" ht="15.75">
      <c r="A13" s="107"/>
      <c r="B13" s="133" t="s">
        <v>39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4" ht="12.75">
      <c r="A14" s="51" t="s">
        <v>428</v>
      </c>
      <c r="B14" s="27" t="s">
        <v>218</v>
      </c>
      <c r="C14" s="27" t="s">
        <v>219</v>
      </c>
      <c r="D14" s="27" t="s">
        <v>220</v>
      </c>
      <c r="E14" s="27" t="str">
        <f>"0,6623"</f>
        <v>0,6623</v>
      </c>
      <c r="F14" s="27" t="s">
        <v>14</v>
      </c>
      <c r="G14" s="27" t="s">
        <v>209</v>
      </c>
      <c r="H14" s="61" t="s">
        <v>46</v>
      </c>
      <c r="I14" s="61" t="s">
        <v>23</v>
      </c>
      <c r="J14" s="61" t="s">
        <v>162</v>
      </c>
      <c r="K14" s="63"/>
      <c r="L14" s="51" t="s">
        <v>162</v>
      </c>
      <c r="M14" s="51" t="str">
        <f>"82,7937"</f>
        <v>82,7937</v>
      </c>
      <c r="N14" s="88" t="s">
        <v>355</v>
      </c>
    </row>
    <row r="15" ht="12.75">
      <c r="A15" s="107"/>
    </row>
    <row r="16" spans="1:13" ht="15.75">
      <c r="A16" s="107"/>
      <c r="B16" s="133" t="s">
        <v>52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4" ht="12.75">
      <c r="A17" s="49" t="s">
        <v>428</v>
      </c>
      <c r="B17" s="91" t="s">
        <v>70</v>
      </c>
      <c r="C17" s="25" t="s">
        <v>71</v>
      </c>
      <c r="D17" s="25" t="s">
        <v>72</v>
      </c>
      <c r="E17" s="25" t="str">
        <f>"0,6145"</f>
        <v>0,6145</v>
      </c>
      <c r="F17" s="25" t="s">
        <v>14</v>
      </c>
      <c r="G17" s="25" t="s">
        <v>73</v>
      </c>
      <c r="H17" s="54" t="s">
        <v>45</v>
      </c>
      <c r="I17" s="54" t="s">
        <v>368</v>
      </c>
      <c r="J17" s="54" t="s">
        <v>390</v>
      </c>
      <c r="K17" s="55"/>
      <c r="L17" s="49" t="s">
        <v>76</v>
      </c>
      <c r="M17" s="49" t="str">
        <f>"113,6917"</f>
        <v>113,6917</v>
      </c>
      <c r="N17" s="53" t="s">
        <v>354</v>
      </c>
    </row>
    <row r="18" spans="1:14" ht="12.75">
      <c r="A18" s="52" t="s">
        <v>430</v>
      </c>
      <c r="B18" s="93" t="s">
        <v>221</v>
      </c>
      <c r="C18" s="28" t="s">
        <v>222</v>
      </c>
      <c r="D18" s="28" t="s">
        <v>223</v>
      </c>
      <c r="E18" s="28" t="str">
        <f>"0,6224"</f>
        <v>0,6224</v>
      </c>
      <c r="F18" s="28" t="s">
        <v>14</v>
      </c>
      <c r="G18" s="28" t="s">
        <v>113</v>
      </c>
      <c r="H18" s="59" t="s">
        <v>37</v>
      </c>
      <c r="I18" s="59" t="s">
        <v>49</v>
      </c>
      <c r="J18" s="68" t="s">
        <v>45</v>
      </c>
      <c r="K18" s="60"/>
      <c r="L18" s="52" t="s">
        <v>49</v>
      </c>
      <c r="M18" s="52" t="str">
        <f>"105,8038"</f>
        <v>105,8038</v>
      </c>
      <c r="N18" s="90" t="s">
        <v>355</v>
      </c>
    </row>
    <row r="19" spans="1:14" ht="12.75">
      <c r="A19" s="50" t="s">
        <v>431</v>
      </c>
      <c r="B19" s="92" t="s">
        <v>224</v>
      </c>
      <c r="C19" s="26" t="s">
        <v>225</v>
      </c>
      <c r="D19" s="26" t="s">
        <v>226</v>
      </c>
      <c r="E19" s="26" t="str">
        <f>"0,6144"</f>
        <v>0,6144</v>
      </c>
      <c r="F19" s="26" t="s">
        <v>14</v>
      </c>
      <c r="G19" s="26" t="s">
        <v>15</v>
      </c>
      <c r="H19" s="58" t="s">
        <v>82</v>
      </c>
      <c r="I19" s="56" t="s">
        <v>82</v>
      </c>
      <c r="J19" s="58" t="s">
        <v>45</v>
      </c>
      <c r="K19" s="57"/>
      <c r="L19" s="50" t="s">
        <v>82</v>
      </c>
      <c r="M19" s="50" t="str">
        <f>"101,3678"</f>
        <v>101,3678</v>
      </c>
      <c r="N19" s="89" t="s">
        <v>464</v>
      </c>
    </row>
    <row r="20" ht="12.75">
      <c r="A20" s="107"/>
    </row>
    <row r="21" spans="1:13" ht="15.75">
      <c r="A21" s="107"/>
      <c r="B21" s="133" t="s">
        <v>85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4" ht="12.75">
      <c r="A22" s="49" t="s">
        <v>428</v>
      </c>
      <c r="B22" s="91" t="s">
        <v>227</v>
      </c>
      <c r="C22" s="25" t="s">
        <v>228</v>
      </c>
      <c r="D22" s="25" t="s">
        <v>95</v>
      </c>
      <c r="E22" s="25" t="str">
        <f>"0,5850"</f>
        <v>0,5850</v>
      </c>
      <c r="F22" s="25" t="s">
        <v>14</v>
      </c>
      <c r="G22" s="25" t="s">
        <v>15</v>
      </c>
      <c r="H22" s="54" t="s">
        <v>61</v>
      </c>
      <c r="I22" s="64" t="s">
        <v>62</v>
      </c>
      <c r="J22" s="54" t="s">
        <v>62</v>
      </c>
      <c r="K22" s="55"/>
      <c r="L22" s="49" t="s">
        <v>62</v>
      </c>
      <c r="M22" s="49" t="str">
        <f>"140,4120"</f>
        <v>140,4120</v>
      </c>
      <c r="N22" s="53" t="s">
        <v>349</v>
      </c>
    </row>
    <row r="23" spans="1:14" ht="12.75">
      <c r="A23" s="52" t="s">
        <v>430</v>
      </c>
      <c r="B23" s="93" t="s">
        <v>229</v>
      </c>
      <c r="C23" s="28" t="s">
        <v>230</v>
      </c>
      <c r="D23" s="28" t="s">
        <v>231</v>
      </c>
      <c r="E23" s="28" t="str">
        <f>"0,5986"</f>
        <v>0,5986</v>
      </c>
      <c r="F23" s="28" t="s">
        <v>14</v>
      </c>
      <c r="G23" s="28" t="s">
        <v>29</v>
      </c>
      <c r="H23" s="59" t="s">
        <v>49</v>
      </c>
      <c r="I23" s="59" t="s">
        <v>83</v>
      </c>
      <c r="J23" s="59" t="s">
        <v>76</v>
      </c>
      <c r="K23" s="60"/>
      <c r="L23" s="52" t="s">
        <v>76</v>
      </c>
      <c r="M23" s="52" t="str">
        <f>"110,7318"</f>
        <v>110,7318</v>
      </c>
      <c r="N23" s="90" t="s">
        <v>465</v>
      </c>
    </row>
    <row r="24" spans="1:14" ht="12.75">
      <c r="A24" s="52" t="s">
        <v>431</v>
      </c>
      <c r="B24" s="93" t="s">
        <v>232</v>
      </c>
      <c r="C24" s="28" t="s">
        <v>233</v>
      </c>
      <c r="D24" s="28" t="s">
        <v>95</v>
      </c>
      <c r="E24" s="28" t="str">
        <f>"0,5850"</f>
        <v>0,5850</v>
      </c>
      <c r="F24" s="28" t="s">
        <v>14</v>
      </c>
      <c r="G24" s="28" t="s">
        <v>209</v>
      </c>
      <c r="H24" s="68" t="s">
        <v>37</v>
      </c>
      <c r="I24" s="59" t="s">
        <v>37</v>
      </c>
      <c r="J24" s="68" t="s">
        <v>49</v>
      </c>
      <c r="K24" s="60"/>
      <c r="L24" s="52" t="s">
        <v>37</v>
      </c>
      <c r="M24" s="52" t="str">
        <f>"93,6080"</f>
        <v>93,6080</v>
      </c>
      <c r="N24" s="90" t="s">
        <v>489</v>
      </c>
    </row>
    <row r="25" spans="1:14" ht="12.75">
      <c r="A25" s="50" t="s">
        <v>439</v>
      </c>
      <c r="B25" s="92" t="s">
        <v>234</v>
      </c>
      <c r="C25" s="26" t="s">
        <v>235</v>
      </c>
      <c r="D25" s="26" t="s">
        <v>236</v>
      </c>
      <c r="E25" s="26" t="str">
        <f>"0,5813"</f>
        <v>0,5813</v>
      </c>
      <c r="F25" s="26" t="s">
        <v>14</v>
      </c>
      <c r="G25" s="26" t="s">
        <v>237</v>
      </c>
      <c r="H25" s="58" t="s">
        <v>37</v>
      </c>
      <c r="I25" s="56" t="s">
        <v>37</v>
      </c>
      <c r="J25" s="58" t="s">
        <v>49</v>
      </c>
      <c r="K25" s="57"/>
      <c r="L25" s="50" t="s">
        <v>37</v>
      </c>
      <c r="M25" s="50" t="str">
        <f>"93,0080"</f>
        <v>93,0080</v>
      </c>
      <c r="N25" s="89" t="s">
        <v>355</v>
      </c>
    </row>
    <row r="26" ht="12.75">
      <c r="A26" s="107"/>
    </row>
    <row r="27" spans="1:13" ht="15.75">
      <c r="A27" s="107"/>
      <c r="B27" s="133" t="s">
        <v>102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4" ht="12.75">
      <c r="A28" s="51" t="s">
        <v>428</v>
      </c>
      <c r="B28" s="27" t="s">
        <v>238</v>
      </c>
      <c r="C28" s="27" t="s">
        <v>239</v>
      </c>
      <c r="D28" s="27" t="s">
        <v>240</v>
      </c>
      <c r="E28" s="27" t="str">
        <f>"0,5631"</f>
        <v>0,5631</v>
      </c>
      <c r="F28" s="27" t="s">
        <v>14</v>
      </c>
      <c r="G28" s="27" t="s">
        <v>15</v>
      </c>
      <c r="H28" s="61" t="s">
        <v>76</v>
      </c>
      <c r="I28" s="62" t="s">
        <v>241</v>
      </c>
      <c r="J28" s="62" t="s">
        <v>241</v>
      </c>
      <c r="K28" s="63"/>
      <c r="L28" s="51" t="s">
        <v>76</v>
      </c>
      <c r="M28" s="51" t="str">
        <f>"104,1735"</f>
        <v>104,1735</v>
      </c>
      <c r="N28" s="88" t="s">
        <v>465</v>
      </c>
    </row>
    <row r="31" spans="2:3" ht="18">
      <c r="B31" s="30" t="s">
        <v>123</v>
      </c>
      <c r="C31" s="30"/>
    </row>
    <row r="33" spans="2:3" ht="15.75">
      <c r="B33" s="31" t="s">
        <v>131</v>
      </c>
      <c r="C33" s="31"/>
    </row>
    <row r="34" spans="2:3" ht="13.5">
      <c r="B34" s="33"/>
      <c r="C34" s="34"/>
    </row>
    <row r="35" spans="1:6" ht="13.5">
      <c r="A35" s="35" t="s">
        <v>427</v>
      </c>
      <c r="B35" s="35" t="s">
        <v>126</v>
      </c>
      <c r="C35" s="35" t="s">
        <v>127</v>
      </c>
      <c r="D35" s="35" t="s">
        <v>128</v>
      </c>
      <c r="E35" s="35" t="s">
        <v>129</v>
      </c>
      <c r="F35" s="35" t="s">
        <v>130</v>
      </c>
    </row>
    <row r="36" spans="1:6" ht="12.75">
      <c r="A36" s="107">
        <v>1</v>
      </c>
      <c r="B36" s="32" t="s">
        <v>227</v>
      </c>
      <c r="C36" s="37" t="s">
        <v>125</v>
      </c>
      <c r="D36" s="48" t="s">
        <v>434</v>
      </c>
      <c r="E36" s="48" t="s">
        <v>62</v>
      </c>
      <c r="F36" s="48" t="s">
        <v>242</v>
      </c>
    </row>
    <row r="37" spans="1:6" ht="12.75">
      <c r="A37" s="107">
        <v>2</v>
      </c>
      <c r="B37" s="32" t="s">
        <v>70</v>
      </c>
      <c r="C37" s="37" t="s">
        <v>125</v>
      </c>
      <c r="D37" s="48" t="s">
        <v>443</v>
      </c>
      <c r="E37" s="48" t="s">
        <v>76</v>
      </c>
      <c r="F37" s="48" t="s">
        <v>243</v>
      </c>
    </row>
    <row r="38" spans="1:6" ht="12.75">
      <c r="A38" s="107">
        <v>3</v>
      </c>
      <c r="B38" s="32" t="s">
        <v>229</v>
      </c>
      <c r="C38" s="37" t="s">
        <v>125</v>
      </c>
      <c r="D38" s="48" t="s">
        <v>16</v>
      </c>
      <c r="E38" s="48" t="s">
        <v>76</v>
      </c>
      <c r="F38" s="48" t="s">
        <v>244</v>
      </c>
    </row>
  </sheetData>
  <sheetProtection/>
  <mergeCells count="18">
    <mergeCell ref="A3:A4"/>
    <mergeCell ref="B16:M16"/>
    <mergeCell ref="B21:M21"/>
    <mergeCell ref="B27:M27"/>
    <mergeCell ref="L3:L4"/>
    <mergeCell ref="M3:M4"/>
    <mergeCell ref="G3:G4"/>
    <mergeCell ref="H3:K3"/>
    <mergeCell ref="N3:N4"/>
    <mergeCell ref="B5:M5"/>
    <mergeCell ref="B8:M8"/>
    <mergeCell ref="B13:M13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27">
      <selection activeCell="N37" sqref="N37"/>
    </sheetView>
  </sheetViews>
  <sheetFormatPr defaultColWidth="8.75390625" defaultRowHeight="12.75"/>
  <cols>
    <col min="1" max="1" width="9.125" style="108" customWidth="1"/>
    <col min="2" max="2" width="19.875" style="24" customWidth="1"/>
    <col min="3" max="3" width="24.125" style="24" customWidth="1"/>
    <col min="4" max="4" width="10.875" style="24" customWidth="1"/>
    <col min="5" max="5" width="8.375" style="24" bestFit="1" customWidth="1"/>
    <col min="6" max="6" width="22.75390625" style="24" bestFit="1" customWidth="1"/>
    <col min="7" max="7" width="26.375" style="24" bestFit="1" customWidth="1"/>
    <col min="8" max="10" width="5.625" style="24" bestFit="1" customWidth="1"/>
    <col min="11" max="11" width="4.625" style="24" bestFit="1" customWidth="1"/>
    <col min="12" max="12" width="11.375" style="24" customWidth="1"/>
    <col min="13" max="13" width="8.625" style="24" bestFit="1" customWidth="1"/>
    <col min="14" max="14" width="24.125" style="24" customWidth="1"/>
  </cols>
  <sheetData>
    <row r="1" spans="1:14" s="1" customFormat="1" ht="15" customHeight="1">
      <c r="A1" s="73"/>
      <c r="B1" s="134" t="s">
        <v>484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1" customFormat="1" ht="82.5" customHeight="1" thickBot="1">
      <c r="A2" s="73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4" s="2" customFormat="1" ht="12.75" customHeight="1">
      <c r="A3" s="144" t="s">
        <v>426</v>
      </c>
      <c r="B3" s="152" t="s">
        <v>0</v>
      </c>
      <c r="C3" s="142" t="s">
        <v>438</v>
      </c>
      <c r="D3" s="144" t="s">
        <v>435</v>
      </c>
      <c r="E3" s="144" t="s">
        <v>9</v>
      </c>
      <c r="F3" s="144" t="s">
        <v>7</v>
      </c>
      <c r="G3" s="144" t="s">
        <v>450</v>
      </c>
      <c r="H3" s="144" t="s">
        <v>2</v>
      </c>
      <c r="I3" s="144"/>
      <c r="J3" s="144"/>
      <c r="K3" s="144"/>
      <c r="L3" s="144" t="s">
        <v>432</v>
      </c>
      <c r="M3" s="144" t="s">
        <v>6</v>
      </c>
      <c r="N3" s="145" t="s">
        <v>5</v>
      </c>
    </row>
    <row r="4" spans="1:14" s="2" customFormat="1" ht="21" customHeight="1" thickBot="1">
      <c r="A4" s="143"/>
      <c r="B4" s="153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6"/>
    </row>
    <row r="5" spans="2:13" ht="15.75">
      <c r="B5" s="147" t="s">
        <v>245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ht="12.75">
      <c r="A6" s="51" t="s">
        <v>428</v>
      </c>
      <c r="B6" s="27" t="s">
        <v>246</v>
      </c>
      <c r="C6" s="27" t="s">
        <v>247</v>
      </c>
      <c r="D6" s="27" t="s">
        <v>248</v>
      </c>
      <c r="E6" s="27" t="str">
        <f>"1,1076"</f>
        <v>1,1076</v>
      </c>
      <c r="F6" s="27" t="s">
        <v>14</v>
      </c>
      <c r="G6" s="27" t="s">
        <v>15</v>
      </c>
      <c r="H6" s="62" t="s">
        <v>152</v>
      </c>
      <c r="I6" s="61" t="s">
        <v>152</v>
      </c>
      <c r="J6" s="62" t="s">
        <v>153</v>
      </c>
      <c r="K6" s="63"/>
      <c r="L6" s="51" t="s">
        <v>152</v>
      </c>
      <c r="M6" s="51" t="str">
        <f>"71,9940"</f>
        <v>71,9940</v>
      </c>
      <c r="N6" s="27" t="s">
        <v>483</v>
      </c>
    </row>
    <row r="7" ht="12.75">
      <c r="A7" s="107"/>
    </row>
    <row r="8" spans="1:13" ht="15.75">
      <c r="A8" s="107"/>
      <c r="B8" s="133" t="s">
        <v>140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4" ht="12.75">
      <c r="A9" s="51" t="s">
        <v>428</v>
      </c>
      <c r="B9" s="27" t="s">
        <v>145</v>
      </c>
      <c r="C9" s="27" t="s">
        <v>146</v>
      </c>
      <c r="D9" s="27" t="s">
        <v>143</v>
      </c>
      <c r="E9" s="27" t="str">
        <f>"1,0591"</f>
        <v>1,0591</v>
      </c>
      <c r="F9" s="27" t="s">
        <v>14</v>
      </c>
      <c r="G9" s="27" t="s">
        <v>15</v>
      </c>
      <c r="H9" s="61" t="s">
        <v>19</v>
      </c>
      <c r="I9" s="62" t="s">
        <v>384</v>
      </c>
      <c r="J9" s="62" t="s">
        <v>384</v>
      </c>
      <c r="K9" s="63"/>
      <c r="L9" s="51" t="s">
        <v>19</v>
      </c>
      <c r="M9" s="51" t="str">
        <f>"58,2505"</f>
        <v>58,2505</v>
      </c>
      <c r="N9" s="27" t="s">
        <v>356</v>
      </c>
    </row>
    <row r="10" spans="1:11" ht="12.75">
      <c r="A10" s="107"/>
      <c r="K10" s="24" t="s">
        <v>485</v>
      </c>
    </row>
    <row r="11" spans="1:13" ht="15.75">
      <c r="A11" s="107"/>
      <c r="B11" s="133" t="s">
        <v>10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4" ht="12.75">
      <c r="A12" s="51" t="s">
        <v>428</v>
      </c>
      <c r="B12" s="27" t="s">
        <v>249</v>
      </c>
      <c r="C12" s="27" t="s">
        <v>250</v>
      </c>
      <c r="D12" s="27" t="s">
        <v>251</v>
      </c>
      <c r="E12" s="27" t="str">
        <f>"1,0010"</f>
        <v>1,0010</v>
      </c>
      <c r="F12" s="27" t="s">
        <v>14</v>
      </c>
      <c r="G12" s="27" t="s">
        <v>15</v>
      </c>
      <c r="H12" s="61" t="s">
        <v>152</v>
      </c>
      <c r="I12" s="61" t="s">
        <v>153</v>
      </c>
      <c r="J12" s="62" t="s">
        <v>32</v>
      </c>
      <c r="K12" s="63"/>
      <c r="L12" s="51" t="s">
        <v>153</v>
      </c>
      <c r="M12" s="51" t="str">
        <f>"70,0700"</f>
        <v>70,0700</v>
      </c>
      <c r="N12" s="27" t="s">
        <v>461</v>
      </c>
    </row>
    <row r="13" ht="12.75">
      <c r="A13" s="107"/>
    </row>
    <row r="14" spans="1:13" ht="15.75">
      <c r="A14" s="107"/>
      <c r="B14" s="133" t="s">
        <v>25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4" ht="12.75">
      <c r="A15" s="51" t="s">
        <v>428</v>
      </c>
      <c r="B15" s="25" t="s">
        <v>252</v>
      </c>
      <c r="C15" s="25" t="s">
        <v>253</v>
      </c>
      <c r="D15" s="25" t="s">
        <v>254</v>
      </c>
      <c r="E15" s="25" t="str">
        <f>"0,9416"</f>
        <v>0,9416</v>
      </c>
      <c r="F15" s="25" t="s">
        <v>14</v>
      </c>
      <c r="G15" s="25" t="s">
        <v>255</v>
      </c>
      <c r="H15" s="54" t="s">
        <v>16</v>
      </c>
      <c r="I15" s="54" t="s">
        <v>21</v>
      </c>
      <c r="J15" s="64" t="s">
        <v>180</v>
      </c>
      <c r="K15" s="55"/>
      <c r="L15" s="49" t="s">
        <v>21</v>
      </c>
      <c r="M15" s="49" t="str">
        <f>"98,8628"</f>
        <v>98,8628</v>
      </c>
      <c r="N15" s="25" t="s">
        <v>454</v>
      </c>
    </row>
    <row r="16" spans="1:14" ht="12.75">
      <c r="A16" s="51" t="s">
        <v>430</v>
      </c>
      <c r="B16" s="26" t="s">
        <v>159</v>
      </c>
      <c r="C16" s="26" t="s">
        <v>160</v>
      </c>
      <c r="D16" s="26" t="s">
        <v>161</v>
      </c>
      <c r="E16" s="26" t="str">
        <f>"0,9007"</f>
        <v>0,9007</v>
      </c>
      <c r="F16" s="26" t="s">
        <v>14</v>
      </c>
      <c r="G16" s="26" t="s">
        <v>15</v>
      </c>
      <c r="H16" s="58" t="s">
        <v>152</v>
      </c>
      <c r="I16" s="112" t="s">
        <v>362</v>
      </c>
      <c r="J16" s="58" t="s">
        <v>363</v>
      </c>
      <c r="K16" s="57"/>
      <c r="L16" s="50" t="s">
        <v>152</v>
      </c>
      <c r="M16" s="50" t="str">
        <f>"58,5487"</f>
        <v>58,5487</v>
      </c>
      <c r="N16" s="26" t="s">
        <v>483</v>
      </c>
    </row>
    <row r="17" ht="12.75">
      <c r="A17" s="107"/>
    </row>
    <row r="18" spans="1:13" ht="15.75">
      <c r="A18" s="107"/>
      <c r="B18" s="133" t="s">
        <v>140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4" ht="12.75">
      <c r="A19" s="51" t="s">
        <v>428</v>
      </c>
      <c r="B19" s="27" t="s">
        <v>256</v>
      </c>
      <c r="C19" s="27" t="s">
        <v>257</v>
      </c>
      <c r="D19" s="27" t="s">
        <v>258</v>
      </c>
      <c r="E19" s="27" t="str">
        <f>"0,9139"</f>
        <v>0,9139</v>
      </c>
      <c r="F19" s="27" t="s">
        <v>14</v>
      </c>
      <c r="G19" s="27" t="s">
        <v>15</v>
      </c>
      <c r="H19" s="61" t="s">
        <v>259</v>
      </c>
      <c r="I19" s="62" t="s">
        <v>260</v>
      </c>
      <c r="J19" s="61" t="s">
        <v>260</v>
      </c>
      <c r="K19" s="63"/>
      <c r="L19" s="51" t="s">
        <v>260</v>
      </c>
      <c r="M19" s="51" t="str">
        <f>"45,6960"</f>
        <v>45,6960</v>
      </c>
      <c r="N19" s="27" t="s">
        <v>455</v>
      </c>
    </row>
    <row r="20" ht="12.75">
      <c r="A20" s="107"/>
    </row>
    <row r="21" spans="1:13" ht="15.75">
      <c r="A21" s="107"/>
      <c r="B21" s="133" t="s">
        <v>163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4" ht="12.75">
      <c r="A22" s="51" t="s">
        <v>428</v>
      </c>
      <c r="B22" s="27" t="s">
        <v>164</v>
      </c>
      <c r="C22" s="27" t="s">
        <v>165</v>
      </c>
      <c r="D22" s="27" t="s">
        <v>166</v>
      </c>
      <c r="E22" s="27" t="str">
        <f>"0,6885"</f>
        <v>0,6885</v>
      </c>
      <c r="F22" s="27" t="s">
        <v>14</v>
      </c>
      <c r="G22" s="27" t="s">
        <v>15</v>
      </c>
      <c r="H22" s="61" t="s">
        <v>388</v>
      </c>
      <c r="I22" s="61" t="s">
        <v>389</v>
      </c>
      <c r="J22" s="62" t="s">
        <v>366</v>
      </c>
      <c r="K22" s="63"/>
      <c r="L22" s="51">
        <v>117.5</v>
      </c>
      <c r="M22" s="51" t="str">
        <f>"80,9046"</f>
        <v>80,9046</v>
      </c>
      <c r="N22" s="27" t="s">
        <v>456</v>
      </c>
    </row>
    <row r="23" ht="12.75">
      <c r="A23" s="107"/>
    </row>
    <row r="24" spans="1:13" ht="15.75">
      <c r="A24" s="107"/>
      <c r="B24" s="133" t="s">
        <v>39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4" ht="12.75">
      <c r="A25" s="49" t="s">
        <v>428</v>
      </c>
      <c r="B25" s="91" t="s">
        <v>261</v>
      </c>
      <c r="C25" s="25" t="s">
        <v>262</v>
      </c>
      <c r="D25" s="25" t="s">
        <v>263</v>
      </c>
      <c r="E25" s="25" t="str">
        <f>"0,6557"</f>
        <v>0,6557</v>
      </c>
      <c r="F25" s="25" t="s">
        <v>14</v>
      </c>
      <c r="G25" s="25" t="s">
        <v>264</v>
      </c>
      <c r="H25" s="54" t="s">
        <v>30</v>
      </c>
      <c r="I25" s="64" t="s">
        <v>31</v>
      </c>
      <c r="J25" s="64" t="s">
        <v>31</v>
      </c>
      <c r="K25" s="55"/>
      <c r="L25" s="49" t="s">
        <v>30</v>
      </c>
      <c r="M25" s="49" t="str">
        <f>"85,2345"</f>
        <v>85,2345</v>
      </c>
      <c r="N25" s="25" t="s">
        <v>349</v>
      </c>
    </row>
    <row r="26" spans="1:14" ht="12.75">
      <c r="A26" s="52" t="s">
        <v>430</v>
      </c>
      <c r="B26" s="93" t="s">
        <v>265</v>
      </c>
      <c r="C26" s="28" t="s">
        <v>266</v>
      </c>
      <c r="D26" s="28" t="s">
        <v>267</v>
      </c>
      <c r="E26" s="28" t="str">
        <f>"0,6532"</f>
        <v>0,6532</v>
      </c>
      <c r="F26" s="28" t="s">
        <v>14</v>
      </c>
      <c r="G26" s="28" t="s">
        <v>15</v>
      </c>
      <c r="H26" s="59" t="s">
        <v>23</v>
      </c>
      <c r="I26" s="68" t="s">
        <v>48</v>
      </c>
      <c r="J26" s="68" t="s">
        <v>48</v>
      </c>
      <c r="K26" s="60"/>
      <c r="L26" s="52" t="s">
        <v>23</v>
      </c>
      <c r="M26" s="52" t="str">
        <f>"78,3810"</f>
        <v>78,3810</v>
      </c>
      <c r="N26" s="28" t="s">
        <v>349</v>
      </c>
    </row>
    <row r="27" spans="1:14" ht="12.75">
      <c r="A27" s="50"/>
      <c r="B27" s="92" t="s">
        <v>268</v>
      </c>
      <c r="C27" s="26" t="s">
        <v>269</v>
      </c>
      <c r="D27" s="26" t="s">
        <v>270</v>
      </c>
      <c r="E27" s="26" t="str">
        <f>"0,6697"</f>
        <v>0,6697</v>
      </c>
      <c r="F27" s="26" t="s">
        <v>14</v>
      </c>
      <c r="G27" s="26" t="s">
        <v>15</v>
      </c>
      <c r="H27" s="58" t="s">
        <v>31</v>
      </c>
      <c r="I27" s="58" t="s">
        <v>31</v>
      </c>
      <c r="J27" s="58" t="s">
        <v>81</v>
      </c>
      <c r="K27" s="57"/>
      <c r="L27" s="113">
        <v>0</v>
      </c>
      <c r="M27" s="50" t="s">
        <v>460</v>
      </c>
      <c r="N27" s="26" t="s">
        <v>349</v>
      </c>
    </row>
    <row r="28" ht="12.75">
      <c r="A28" s="107"/>
    </row>
    <row r="29" spans="1:13" ht="15.75">
      <c r="A29" s="107"/>
      <c r="B29" s="133" t="s">
        <v>52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4" ht="12.75">
      <c r="A30" s="49" t="s">
        <v>428</v>
      </c>
      <c r="B30" s="91" t="s">
        <v>271</v>
      </c>
      <c r="C30" s="25" t="s">
        <v>272</v>
      </c>
      <c r="D30" s="25" t="s">
        <v>273</v>
      </c>
      <c r="E30" s="25" t="str">
        <f>"0,6269"</f>
        <v>0,6269</v>
      </c>
      <c r="F30" s="25" t="s">
        <v>14</v>
      </c>
      <c r="G30" s="25" t="s">
        <v>15</v>
      </c>
      <c r="H30" s="64" t="s">
        <v>81</v>
      </c>
      <c r="I30" s="54" t="s">
        <v>81</v>
      </c>
      <c r="J30" s="64" t="s">
        <v>274</v>
      </c>
      <c r="K30" s="69"/>
      <c r="L30" s="49" t="s">
        <v>81</v>
      </c>
      <c r="M30" s="49" t="str">
        <f>"90,8933"</f>
        <v>90,8933</v>
      </c>
      <c r="N30" s="25" t="s">
        <v>349</v>
      </c>
    </row>
    <row r="31" spans="1:14" ht="12.75">
      <c r="A31" s="50" t="s">
        <v>430</v>
      </c>
      <c r="B31" s="92" t="s">
        <v>275</v>
      </c>
      <c r="C31" s="26" t="s">
        <v>276</v>
      </c>
      <c r="D31" s="26" t="s">
        <v>277</v>
      </c>
      <c r="E31" s="26" t="str">
        <f>"0,6126"</f>
        <v>0,6126</v>
      </c>
      <c r="F31" s="26" t="s">
        <v>14</v>
      </c>
      <c r="G31" s="26" t="s">
        <v>278</v>
      </c>
      <c r="H31" s="58" t="s">
        <v>23</v>
      </c>
      <c r="I31" s="58" t="s">
        <v>23</v>
      </c>
      <c r="J31" s="56" t="s">
        <v>23</v>
      </c>
      <c r="K31" s="70"/>
      <c r="L31" s="50" t="s">
        <v>23</v>
      </c>
      <c r="M31" s="50" t="str">
        <f>"73,5120"</f>
        <v>73,5120</v>
      </c>
      <c r="N31" s="26" t="s">
        <v>359</v>
      </c>
    </row>
    <row r="32" ht="12.75">
      <c r="A32" s="107"/>
    </row>
    <row r="33" spans="1:13" ht="15.75">
      <c r="A33" s="107"/>
      <c r="B33" s="133" t="s">
        <v>85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4" ht="12.75">
      <c r="A34" s="49" t="s">
        <v>428</v>
      </c>
      <c r="B34" s="91" t="s">
        <v>187</v>
      </c>
      <c r="C34" s="25" t="s">
        <v>188</v>
      </c>
      <c r="D34" s="25" t="s">
        <v>189</v>
      </c>
      <c r="E34" s="25" t="str">
        <f>"0,5861"</f>
        <v>0,5861</v>
      </c>
      <c r="F34" s="25" t="s">
        <v>14</v>
      </c>
      <c r="G34" s="25" t="s">
        <v>73</v>
      </c>
      <c r="H34" s="54" t="s">
        <v>49</v>
      </c>
      <c r="I34" s="54" t="s">
        <v>385</v>
      </c>
      <c r="J34" s="54" t="s">
        <v>368</v>
      </c>
      <c r="K34" s="55"/>
      <c r="L34" s="49" t="s">
        <v>50</v>
      </c>
      <c r="M34" s="49" t="str">
        <f>"105,5070"</f>
        <v>105,5070</v>
      </c>
      <c r="N34" s="25" t="s">
        <v>451</v>
      </c>
    </row>
    <row r="35" spans="1:14" ht="12.75">
      <c r="A35" s="52" t="s">
        <v>430</v>
      </c>
      <c r="B35" s="93" t="s">
        <v>279</v>
      </c>
      <c r="C35" s="28" t="s">
        <v>280</v>
      </c>
      <c r="D35" s="28" t="s">
        <v>281</v>
      </c>
      <c r="E35" s="28" t="str">
        <f>"0,5834"</f>
        <v>0,5834</v>
      </c>
      <c r="F35" s="28" t="s">
        <v>14</v>
      </c>
      <c r="G35" s="28" t="s">
        <v>15</v>
      </c>
      <c r="H35" s="59" t="s">
        <v>45</v>
      </c>
      <c r="I35" s="68" t="s">
        <v>76</v>
      </c>
      <c r="J35" s="68" t="s">
        <v>76</v>
      </c>
      <c r="K35" s="60"/>
      <c r="L35" s="52" t="s">
        <v>45</v>
      </c>
      <c r="M35" s="52" t="str">
        <f>"102,0994"</f>
        <v>102,0994</v>
      </c>
      <c r="N35" s="28" t="s">
        <v>457</v>
      </c>
    </row>
    <row r="36" spans="1:14" ht="12.75">
      <c r="A36" s="52" t="s">
        <v>431</v>
      </c>
      <c r="B36" s="93" t="s">
        <v>282</v>
      </c>
      <c r="C36" s="28" t="s">
        <v>283</v>
      </c>
      <c r="D36" s="28" t="s">
        <v>284</v>
      </c>
      <c r="E36" s="28" t="str">
        <f>"0,5823"</f>
        <v>0,5823</v>
      </c>
      <c r="F36" s="28" t="s">
        <v>14</v>
      </c>
      <c r="G36" s="28" t="s">
        <v>15</v>
      </c>
      <c r="H36" s="59" t="s">
        <v>177</v>
      </c>
      <c r="I36" s="59" t="s">
        <v>43</v>
      </c>
      <c r="J36" s="59" t="s">
        <v>121</v>
      </c>
      <c r="K36" s="60"/>
      <c r="L36" s="52">
        <v>167.5</v>
      </c>
      <c r="M36" s="52" t="str">
        <f>"97,5353"</f>
        <v>97,5353</v>
      </c>
      <c r="N36" s="28" t="s">
        <v>483</v>
      </c>
    </row>
    <row r="37" spans="1:14" ht="12.75">
      <c r="A37" s="52" t="s">
        <v>439</v>
      </c>
      <c r="B37" s="93" t="s">
        <v>285</v>
      </c>
      <c r="C37" s="28" t="s">
        <v>286</v>
      </c>
      <c r="D37" s="28" t="s">
        <v>287</v>
      </c>
      <c r="E37" s="28" t="str">
        <f>"0,5924"</f>
        <v>0,5924</v>
      </c>
      <c r="F37" s="28" t="s">
        <v>14</v>
      </c>
      <c r="G37" s="28" t="s">
        <v>15</v>
      </c>
      <c r="H37" s="59" t="s">
        <v>36</v>
      </c>
      <c r="I37" s="68" t="s">
        <v>43</v>
      </c>
      <c r="J37" s="59" t="s">
        <v>43</v>
      </c>
      <c r="K37" s="60"/>
      <c r="L37" s="52">
        <v>162.5</v>
      </c>
      <c r="M37" s="52" t="str">
        <f>"96,2650"</f>
        <v>96,2650</v>
      </c>
      <c r="N37" s="28" t="s">
        <v>483</v>
      </c>
    </row>
    <row r="38" spans="1:14" ht="12.75">
      <c r="A38" s="52" t="s">
        <v>440</v>
      </c>
      <c r="B38" s="93" t="s">
        <v>288</v>
      </c>
      <c r="C38" s="28" t="s">
        <v>289</v>
      </c>
      <c r="D38" s="28" t="s">
        <v>290</v>
      </c>
      <c r="E38" s="28" t="str">
        <f>"0,5893"</f>
        <v>0,5893</v>
      </c>
      <c r="F38" s="28" t="s">
        <v>14</v>
      </c>
      <c r="G38" s="28" t="s">
        <v>15</v>
      </c>
      <c r="H38" s="68" t="s">
        <v>31</v>
      </c>
      <c r="I38" s="59" t="s">
        <v>31</v>
      </c>
      <c r="J38" s="59" t="s">
        <v>36</v>
      </c>
      <c r="K38" s="60"/>
      <c r="L38" s="52" t="s">
        <v>36</v>
      </c>
      <c r="M38" s="52" t="str">
        <f>"88,3875"</f>
        <v>88,3875</v>
      </c>
      <c r="N38" s="28" t="s">
        <v>357</v>
      </c>
    </row>
    <row r="39" spans="1:14" ht="12.75">
      <c r="A39" s="52" t="s">
        <v>441</v>
      </c>
      <c r="B39" s="93" t="s">
        <v>291</v>
      </c>
      <c r="C39" s="28" t="s">
        <v>292</v>
      </c>
      <c r="D39" s="28" t="s">
        <v>293</v>
      </c>
      <c r="E39" s="28" t="str">
        <f>"0,5989"</f>
        <v>0,5989</v>
      </c>
      <c r="F39" s="28" t="s">
        <v>14</v>
      </c>
      <c r="G39" s="28" t="s">
        <v>15</v>
      </c>
      <c r="H39" s="59" t="s">
        <v>186</v>
      </c>
      <c r="I39" s="59" t="s">
        <v>60</v>
      </c>
      <c r="J39" s="68" t="s">
        <v>81</v>
      </c>
      <c r="K39" s="60"/>
      <c r="L39" s="52">
        <v>142.5</v>
      </c>
      <c r="M39" s="52" t="str">
        <f>"85,3361"</f>
        <v>85,3361</v>
      </c>
      <c r="N39" s="28" t="s">
        <v>349</v>
      </c>
    </row>
    <row r="40" spans="1:14" ht="12.75">
      <c r="A40" s="50" t="s">
        <v>442</v>
      </c>
      <c r="B40" s="26" t="s">
        <v>294</v>
      </c>
      <c r="C40" s="26" t="s">
        <v>295</v>
      </c>
      <c r="D40" s="26" t="s">
        <v>296</v>
      </c>
      <c r="E40" s="26" t="str">
        <f>"0,5889"</f>
        <v>0,5889</v>
      </c>
      <c r="F40" s="26" t="s">
        <v>14</v>
      </c>
      <c r="G40" s="26" t="s">
        <v>213</v>
      </c>
      <c r="H40" s="56" t="s">
        <v>23</v>
      </c>
      <c r="I40" s="56" t="s">
        <v>30</v>
      </c>
      <c r="J40" s="58" t="s">
        <v>31</v>
      </c>
      <c r="K40" s="57"/>
      <c r="L40" s="50" t="s">
        <v>30</v>
      </c>
      <c r="M40" s="50" t="str">
        <f>"76,5505"</f>
        <v>76,5505</v>
      </c>
      <c r="N40" s="26" t="s">
        <v>359</v>
      </c>
    </row>
    <row r="41" ht="12.75">
      <c r="A41" s="107"/>
    </row>
    <row r="42" spans="1:13" ht="15.75">
      <c r="A42" s="107"/>
      <c r="B42" s="133" t="s">
        <v>102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4" ht="12.75">
      <c r="A43" s="49" t="s">
        <v>428</v>
      </c>
      <c r="B43" s="91" t="s">
        <v>297</v>
      </c>
      <c r="C43" s="25" t="s">
        <v>298</v>
      </c>
      <c r="D43" s="25" t="s">
        <v>299</v>
      </c>
      <c r="E43" s="25" t="str">
        <f>"0,5667"</f>
        <v>0,5667</v>
      </c>
      <c r="F43" s="25" t="s">
        <v>14</v>
      </c>
      <c r="G43" s="25" t="s">
        <v>171</v>
      </c>
      <c r="H43" s="54" t="s">
        <v>76</v>
      </c>
      <c r="I43" s="54" t="s">
        <v>241</v>
      </c>
      <c r="J43" s="64" t="s">
        <v>167</v>
      </c>
      <c r="K43" s="55"/>
      <c r="L43" s="49">
        <v>192.5</v>
      </c>
      <c r="M43" s="49" t="str">
        <f>"109,0897"</f>
        <v>109,0897</v>
      </c>
      <c r="N43" s="25" t="s">
        <v>349</v>
      </c>
    </row>
    <row r="44" spans="1:14" ht="12.75">
      <c r="A44" s="52" t="s">
        <v>430</v>
      </c>
      <c r="B44" s="93" t="s">
        <v>193</v>
      </c>
      <c r="C44" s="28" t="s">
        <v>194</v>
      </c>
      <c r="D44" s="28" t="s">
        <v>195</v>
      </c>
      <c r="E44" s="28" t="str">
        <f>"0,5731"</f>
        <v>0,5731</v>
      </c>
      <c r="F44" s="28" t="s">
        <v>14</v>
      </c>
      <c r="G44" s="28" t="s">
        <v>73</v>
      </c>
      <c r="H44" s="59" t="s">
        <v>386</v>
      </c>
      <c r="I44" s="59" t="s">
        <v>387</v>
      </c>
      <c r="J44" s="68" t="s">
        <v>368</v>
      </c>
      <c r="K44" s="60"/>
      <c r="L44" s="52">
        <v>172.5</v>
      </c>
      <c r="M44" s="52" t="str">
        <f>"98,8684"</f>
        <v>98,8684</v>
      </c>
      <c r="N44" s="28" t="s">
        <v>360</v>
      </c>
    </row>
    <row r="45" spans="1:14" ht="12.75">
      <c r="A45" s="52" t="s">
        <v>431</v>
      </c>
      <c r="B45" s="93" t="s">
        <v>300</v>
      </c>
      <c r="C45" s="28" t="s">
        <v>301</v>
      </c>
      <c r="D45" s="28" t="s">
        <v>302</v>
      </c>
      <c r="E45" s="28" t="str">
        <f>"0,5742"</f>
        <v>0,5742</v>
      </c>
      <c r="F45" s="28" t="s">
        <v>14</v>
      </c>
      <c r="G45" s="28" t="s">
        <v>303</v>
      </c>
      <c r="H45" s="59" t="s">
        <v>49</v>
      </c>
      <c r="I45" s="68" t="s">
        <v>45</v>
      </c>
      <c r="J45" s="68" t="s">
        <v>45</v>
      </c>
      <c r="K45" s="60"/>
      <c r="L45" s="52" t="s">
        <v>49</v>
      </c>
      <c r="M45" s="52" t="str">
        <f>"97,6140"</f>
        <v>97,6140</v>
      </c>
      <c r="N45" s="28" t="s">
        <v>349</v>
      </c>
    </row>
    <row r="46" spans="1:14" ht="12.75">
      <c r="A46" s="52" t="s">
        <v>439</v>
      </c>
      <c r="B46" s="93" t="s">
        <v>304</v>
      </c>
      <c r="C46" s="28" t="s">
        <v>305</v>
      </c>
      <c r="D46" s="28" t="s">
        <v>118</v>
      </c>
      <c r="E46" s="28" t="str">
        <f>"0,5655"</f>
        <v>0,5655</v>
      </c>
      <c r="F46" s="28" t="s">
        <v>14</v>
      </c>
      <c r="G46" s="28" t="s">
        <v>15</v>
      </c>
      <c r="H46" s="59" t="s">
        <v>120</v>
      </c>
      <c r="I46" s="59" t="s">
        <v>121</v>
      </c>
      <c r="J46" s="59" t="s">
        <v>49</v>
      </c>
      <c r="K46" s="60"/>
      <c r="L46" s="52" t="s">
        <v>49</v>
      </c>
      <c r="M46" s="52" t="str">
        <f>"96,1350"</f>
        <v>96,1350</v>
      </c>
      <c r="N46" s="28" t="s">
        <v>361</v>
      </c>
    </row>
    <row r="47" spans="1:14" ht="12.75">
      <c r="A47" s="52" t="s">
        <v>440</v>
      </c>
      <c r="B47" s="93" t="s">
        <v>306</v>
      </c>
      <c r="C47" s="28" t="s">
        <v>307</v>
      </c>
      <c r="D47" s="28" t="s">
        <v>308</v>
      </c>
      <c r="E47" s="28" t="str">
        <f>"0,5678"</f>
        <v>0,5678</v>
      </c>
      <c r="F47" s="28" t="s">
        <v>14</v>
      </c>
      <c r="G47" s="28" t="s">
        <v>15</v>
      </c>
      <c r="H47" s="59" t="s">
        <v>177</v>
      </c>
      <c r="I47" s="59" t="s">
        <v>121</v>
      </c>
      <c r="J47" s="68" t="s">
        <v>45</v>
      </c>
      <c r="K47" s="60"/>
      <c r="L47" s="52">
        <v>167.5</v>
      </c>
      <c r="M47" s="52" t="str">
        <f>"95,1065"</f>
        <v>95,1065</v>
      </c>
      <c r="N47" s="28" t="s">
        <v>356</v>
      </c>
    </row>
    <row r="48" spans="1:14" ht="12.75">
      <c r="A48" s="50"/>
      <c r="B48" s="92" t="s">
        <v>309</v>
      </c>
      <c r="C48" s="26" t="s">
        <v>310</v>
      </c>
      <c r="D48" s="26" t="s">
        <v>311</v>
      </c>
      <c r="E48" s="26" t="str">
        <f>"0,5714"</f>
        <v>0,5714</v>
      </c>
      <c r="F48" s="26" t="s">
        <v>14</v>
      </c>
      <c r="G48" s="26" t="s">
        <v>209</v>
      </c>
      <c r="H48" s="58" t="s">
        <v>36</v>
      </c>
      <c r="I48" s="58" t="s">
        <v>36</v>
      </c>
      <c r="J48" s="58" t="s">
        <v>36</v>
      </c>
      <c r="K48" s="57"/>
      <c r="L48" s="50" t="s">
        <v>460</v>
      </c>
      <c r="M48" s="50" t="s">
        <v>460</v>
      </c>
      <c r="N48" s="26" t="s">
        <v>349</v>
      </c>
    </row>
    <row r="49" ht="12.75">
      <c r="A49" s="107"/>
    </row>
    <row r="50" spans="1:13" ht="15.75">
      <c r="A50" s="107"/>
      <c r="B50" s="133" t="s">
        <v>312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4" ht="12.75">
      <c r="A51" s="51" t="s">
        <v>428</v>
      </c>
      <c r="B51" s="27" t="s">
        <v>313</v>
      </c>
      <c r="C51" s="27" t="s">
        <v>314</v>
      </c>
      <c r="D51" s="27" t="s">
        <v>315</v>
      </c>
      <c r="E51" s="27" t="str">
        <f>"0,5515"</f>
        <v>0,5515</v>
      </c>
      <c r="F51" s="27" t="s">
        <v>14</v>
      </c>
      <c r="G51" s="27" t="s">
        <v>184</v>
      </c>
      <c r="H51" s="61" t="s">
        <v>49</v>
      </c>
      <c r="I51" s="62" t="s">
        <v>50</v>
      </c>
      <c r="J51" s="62" t="s">
        <v>50</v>
      </c>
      <c r="K51" s="63"/>
      <c r="L51" s="51" t="s">
        <v>49</v>
      </c>
      <c r="M51" s="51" t="str">
        <f>"93,7635"</f>
        <v>93,7635</v>
      </c>
      <c r="N51" s="27" t="s">
        <v>462</v>
      </c>
    </row>
    <row r="52" ht="12.75">
      <c r="A52" s="107"/>
    </row>
    <row r="53" spans="1:13" ht="15.75">
      <c r="A53" s="107"/>
      <c r="B53" s="133" t="s">
        <v>316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1:14" ht="12.75">
      <c r="A54" s="51" t="s">
        <v>428</v>
      </c>
      <c r="B54" s="27" t="s">
        <v>317</v>
      </c>
      <c r="C54" s="27" t="s">
        <v>318</v>
      </c>
      <c r="D54" s="27" t="s">
        <v>319</v>
      </c>
      <c r="E54" s="27" t="str">
        <f>"0,5451"</f>
        <v>0,5451</v>
      </c>
      <c r="F54" s="27" t="s">
        <v>14</v>
      </c>
      <c r="G54" s="27" t="s">
        <v>15</v>
      </c>
      <c r="H54" s="61" t="s">
        <v>43</v>
      </c>
      <c r="I54" s="61" t="s">
        <v>121</v>
      </c>
      <c r="J54" s="61" t="s">
        <v>49</v>
      </c>
      <c r="K54" s="63"/>
      <c r="L54" s="51" t="s">
        <v>49</v>
      </c>
      <c r="M54" s="51" t="str">
        <f>"92,6645"</f>
        <v>92,6645</v>
      </c>
      <c r="N54" s="27" t="s">
        <v>463</v>
      </c>
    </row>
    <row r="57" spans="2:3" ht="18">
      <c r="B57" s="30" t="s">
        <v>123</v>
      </c>
      <c r="C57" s="30"/>
    </row>
    <row r="58" spans="2:3" ht="15.75">
      <c r="B58" s="31" t="s">
        <v>124</v>
      </c>
      <c r="C58" s="31"/>
    </row>
    <row r="59" spans="2:3" ht="13.5">
      <c r="B59" s="33"/>
      <c r="C59" s="34"/>
    </row>
    <row r="60" spans="1:6" ht="13.5">
      <c r="A60" s="35" t="s">
        <v>427</v>
      </c>
      <c r="B60" s="35" t="s">
        <v>126</v>
      </c>
      <c r="C60" s="35" t="s">
        <v>127</v>
      </c>
      <c r="D60" s="35" t="s">
        <v>128</v>
      </c>
      <c r="E60" s="35" t="s">
        <v>129</v>
      </c>
      <c r="F60" s="35" t="s">
        <v>130</v>
      </c>
    </row>
    <row r="61" spans="1:6" ht="12.75">
      <c r="A61" s="107">
        <v>1</v>
      </c>
      <c r="B61" s="32" t="s">
        <v>252</v>
      </c>
      <c r="C61" s="37" t="s">
        <v>125</v>
      </c>
      <c r="D61" s="48" t="s">
        <v>459</v>
      </c>
      <c r="E61" s="48" t="s">
        <v>21</v>
      </c>
      <c r="F61" s="48" t="s">
        <v>320</v>
      </c>
    </row>
    <row r="62" spans="1:6" ht="12.75">
      <c r="A62" s="107">
        <v>2</v>
      </c>
      <c r="B62" s="32" t="s">
        <v>246</v>
      </c>
      <c r="C62" s="37" t="s">
        <v>125</v>
      </c>
      <c r="D62" s="48" t="s">
        <v>458</v>
      </c>
      <c r="E62" s="48" t="s">
        <v>152</v>
      </c>
      <c r="F62" s="48" t="s">
        <v>321</v>
      </c>
    </row>
    <row r="63" spans="1:6" ht="12.75">
      <c r="A63" s="107">
        <v>3</v>
      </c>
      <c r="B63" s="32" t="s">
        <v>249</v>
      </c>
      <c r="C63" s="37" t="s">
        <v>125</v>
      </c>
      <c r="D63" s="48" t="s">
        <v>144</v>
      </c>
      <c r="E63" s="48" t="s">
        <v>153</v>
      </c>
      <c r="F63" s="48" t="s">
        <v>322</v>
      </c>
    </row>
    <row r="66" spans="2:3" ht="15.75">
      <c r="B66" s="31" t="s">
        <v>131</v>
      </c>
      <c r="C66" s="31"/>
    </row>
    <row r="67" spans="2:3" ht="13.5">
      <c r="B67" s="33"/>
      <c r="C67" s="34"/>
    </row>
    <row r="68" spans="1:6" ht="13.5">
      <c r="A68" s="35" t="s">
        <v>427</v>
      </c>
      <c r="B68" s="35" t="s">
        <v>126</v>
      </c>
      <c r="C68" s="35" t="s">
        <v>127</v>
      </c>
      <c r="D68" s="35" t="s">
        <v>128</v>
      </c>
      <c r="E68" s="35" t="s">
        <v>129</v>
      </c>
      <c r="F68" s="35" t="s">
        <v>130</v>
      </c>
    </row>
    <row r="69" spans="1:6" ht="12.75">
      <c r="A69" s="107">
        <v>1</v>
      </c>
      <c r="B69" s="32" t="s">
        <v>297</v>
      </c>
      <c r="C69" s="37" t="s">
        <v>125</v>
      </c>
      <c r="D69" s="48" t="s">
        <v>17</v>
      </c>
      <c r="E69" s="48" t="s">
        <v>241</v>
      </c>
      <c r="F69" s="48" t="s">
        <v>323</v>
      </c>
    </row>
    <row r="70" spans="1:6" ht="12.75">
      <c r="A70" s="107">
        <v>2</v>
      </c>
      <c r="B70" s="32" t="s">
        <v>187</v>
      </c>
      <c r="C70" s="37" t="s">
        <v>125</v>
      </c>
      <c r="D70" s="48" t="s">
        <v>434</v>
      </c>
      <c r="E70" s="48" t="s">
        <v>50</v>
      </c>
      <c r="F70" s="48" t="s">
        <v>324</v>
      </c>
    </row>
    <row r="71" spans="1:6" ht="12.75">
      <c r="A71" s="107">
        <v>3</v>
      </c>
      <c r="B71" s="32" t="s">
        <v>279</v>
      </c>
      <c r="C71" s="37" t="s">
        <v>125</v>
      </c>
      <c r="D71" s="48" t="s">
        <v>16</v>
      </c>
      <c r="E71" s="48" t="s">
        <v>45</v>
      </c>
      <c r="F71" s="48" t="s">
        <v>325</v>
      </c>
    </row>
  </sheetData>
  <sheetProtection/>
  <mergeCells count="24">
    <mergeCell ref="A3:A4"/>
    <mergeCell ref="B53:M53"/>
    <mergeCell ref="B14:M14"/>
    <mergeCell ref="B18:M18"/>
    <mergeCell ref="B21:M21"/>
    <mergeCell ref="B24:M24"/>
    <mergeCell ref="B29:M29"/>
    <mergeCell ref="B33:M33"/>
    <mergeCell ref="N3:N4"/>
    <mergeCell ref="B5:M5"/>
    <mergeCell ref="B8:M8"/>
    <mergeCell ref="B11:M11"/>
    <mergeCell ref="B42:M42"/>
    <mergeCell ref="B50:M50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N12" sqref="N12"/>
    </sheetView>
  </sheetViews>
  <sheetFormatPr defaultColWidth="8.75390625" defaultRowHeight="12.75"/>
  <cols>
    <col min="1" max="1" width="9.125" style="108" customWidth="1"/>
    <col min="2" max="2" width="16.875" style="24" customWidth="1"/>
    <col min="3" max="3" width="23.625" style="24" customWidth="1"/>
    <col min="4" max="4" width="12.125" style="24" customWidth="1"/>
    <col min="5" max="5" width="8.375" style="24" bestFit="1" customWidth="1"/>
    <col min="6" max="6" width="13.125" style="24" customWidth="1"/>
    <col min="7" max="7" width="27.625" style="24" bestFit="1" customWidth="1"/>
    <col min="8" max="10" width="5.625" style="24" bestFit="1" customWidth="1"/>
    <col min="11" max="11" width="4.625" style="24" bestFit="1" customWidth="1"/>
    <col min="12" max="12" width="11.25390625" style="24" bestFit="1" customWidth="1"/>
    <col min="13" max="13" width="8.625" style="24" bestFit="1" customWidth="1"/>
    <col min="14" max="14" width="18.875" style="24" bestFit="1" customWidth="1"/>
  </cols>
  <sheetData>
    <row r="1" spans="1:14" s="1" customFormat="1" ht="15" customHeight="1">
      <c r="A1" s="73"/>
      <c r="B1" s="134" t="s">
        <v>482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1" customFormat="1" ht="81" customHeight="1" thickBot="1">
      <c r="A2" s="73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4" s="2" customFormat="1" ht="12.75" customHeight="1">
      <c r="A3" s="144" t="s">
        <v>426</v>
      </c>
      <c r="B3" s="152" t="s">
        <v>0</v>
      </c>
      <c r="C3" s="142" t="s">
        <v>436</v>
      </c>
      <c r="D3" s="144" t="s">
        <v>435</v>
      </c>
      <c r="E3" s="144" t="s">
        <v>9</v>
      </c>
      <c r="F3" s="144" t="s">
        <v>7</v>
      </c>
      <c r="G3" s="144" t="s">
        <v>450</v>
      </c>
      <c r="H3" s="144" t="s">
        <v>3</v>
      </c>
      <c r="I3" s="144"/>
      <c r="J3" s="144"/>
      <c r="K3" s="144"/>
      <c r="L3" s="144" t="s">
        <v>432</v>
      </c>
      <c r="M3" s="144" t="s">
        <v>6</v>
      </c>
      <c r="N3" s="145" t="s">
        <v>5</v>
      </c>
    </row>
    <row r="4" spans="1:14" s="2" customFormat="1" ht="21" customHeight="1" thickBot="1">
      <c r="A4" s="143"/>
      <c r="B4" s="153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6"/>
    </row>
    <row r="5" spans="2:13" ht="15.75">
      <c r="B5" s="147" t="s">
        <v>10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ht="12.75">
      <c r="A6" s="49" t="s">
        <v>428</v>
      </c>
      <c r="B6" s="91" t="s">
        <v>11</v>
      </c>
      <c r="C6" s="25" t="s">
        <v>12</v>
      </c>
      <c r="D6" s="25" t="s">
        <v>326</v>
      </c>
      <c r="E6" s="25" t="str">
        <f>"1,0100"</f>
        <v>1,0100</v>
      </c>
      <c r="F6" s="25" t="s">
        <v>14</v>
      </c>
      <c r="G6" s="25" t="s">
        <v>15</v>
      </c>
      <c r="H6" s="54" t="s">
        <v>21</v>
      </c>
      <c r="I6" s="54" t="s">
        <v>365</v>
      </c>
      <c r="J6" s="54" t="s">
        <v>366</v>
      </c>
      <c r="K6" s="55"/>
      <c r="L6" s="49" t="s">
        <v>23</v>
      </c>
      <c r="M6" s="49" t="str">
        <f>"121,2000"</f>
        <v>121,2000</v>
      </c>
      <c r="N6" s="25" t="s">
        <v>483</v>
      </c>
    </row>
    <row r="7" spans="1:14" ht="12.75">
      <c r="A7" s="50" t="s">
        <v>430</v>
      </c>
      <c r="B7" s="92" t="s">
        <v>149</v>
      </c>
      <c r="C7" s="26" t="s">
        <v>150</v>
      </c>
      <c r="D7" s="26" t="s">
        <v>151</v>
      </c>
      <c r="E7" s="26" t="str">
        <f>"1,0156"</f>
        <v>1,0156</v>
      </c>
      <c r="F7" s="26" t="s">
        <v>14</v>
      </c>
      <c r="G7" s="26" t="s">
        <v>73</v>
      </c>
      <c r="H7" s="56" t="s">
        <v>157</v>
      </c>
      <c r="I7" s="56" t="s">
        <v>380</v>
      </c>
      <c r="J7" s="56" t="s">
        <v>381</v>
      </c>
      <c r="K7" s="57"/>
      <c r="L7" s="50">
        <v>77.5</v>
      </c>
      <c r="M7" s="50" t="str">
        <f>"78,7090"</f>
        <v>78,7090</v>
      </c>
      <c r="N7" s="26" t="s">
        <v>349</v>
      </c>
    </row>
    <row r="9" spans="2:13" ht="15.75">
      <c r="B9" s="133" t="s">
        <v>163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4" ht="12.75">
      <c r="A10" s="109" t="s">
        <v>428</v>
      </c>
      <c r="B10" s="25" t="s">
        <v>327</v>
      </c>
      <c r="C10" s="25" t="s">
        <v>328</v>
      </c>
      <c r="D10" s="25" t="s">
        <v>329</v>
      </c>
      <c r="E10" s="25" t="str">
        <f>"0,7442"</f>
        <v>0,7442</v>
      </c>
      <c r="F10" s="25" t="s">
        <v>14</v>
      </c>
      <c r="G10" s="25" t="s">
        <v>73</v>
      </c>
      <c r="H10" s="54" t="s">
        <v>368</v>
      </c>
      <c r="I10" s="64" t="s">
        <v>382</v>
      </c>
      <c r="J10" s="64" t="s">
        <v>382</v>
      </c>
      <c r="K10" s="96"/>
      <c r="L10" s="49" t="s">
        <v>50</v>
      </c>
      <c r="M10" s="99" t="s">
        <v>383</v>
      </c>
      <c r="N10" s="25" t="s">
        <v>359</v>
      </c>
    </row>
    <row r="11" spans="1:14" ht="12.75">
      <c r="A11" s="110" t="s">
        <v>430</v>
      </c>
      <c r="B11" s="28" t="s">
        <v>206</v>
      </c>
      <c r="C11" s="28" t="s">
        <v>207</v>
      </c>
      <c r="D11" s="28" t="s">
        <v>208</v>
      </c>
      <c r="E11" s="28" t="str">
        <f>"0,7348"</f>
        <v>0,7348</v>
      </c>
      <c r="F11" s="28" t="s">
        <v>14</v>
      </c>
      <c r="G11" s="28" t="s">
        <v>209</v>
      </c>
      <c r="H11" s="59" t="s">
        <v>37</v>
      </c>
      <c r="I11" s="59" t="s">
        <v>49</v>
      </c>
      <c r="J11" s="59" t="s">
        <v>50</v>
      </c>
      <c r="K11" s="97"/>
      <c r="L11" s="52" t="s">
        <v>50</v>
      </c>
      <c r="M11" s="100" t="str">
        <f>"132,2730"</f>
        <v>132,2730</v>
      </c>
      <c r="N11" s="28" t="s">
        <v>364</v>
      </c>
    </row>
    <row r="12" spans="1:14" ht="12.75">
      <c r="A12" s="111" t="s">
        <v>431</v>
      </c>
      <c r="B12" s="26" t="s">
        <v>215</v>
      </c>
      <c r="C12" s="26" t="s">
        <v>216</v>
      </c>
      <c r="D12" s="26" t="s">
        <v>217</v>
      </c>
      <c r="E12" s="26" t="str">
        <f>"0,7212"</f>
        <v>0,7212</v>
      </c>
      <c r="F12" s="26" t="s">
        <v>14</v>
      </c>
      <c r="G12" s="26" t="s">
        <v>15</v>
      </c>
      <c r="H12" s="56" t="s">
        <v>36</v>
      </c>
      <c r="I12" s="56" t="s">
        <v>37</v>
      </c>
      <c r="J12" s="56" t="s">
        <v>49</v>
      </c>
      <c r="K12" s="98"/>
      <c r="L12" s="50" t="s">
        <v>49</v>
      </c>
      <c r="M12" s="101" t="str">
        <f>"122,6125"</f>
        <v>122,6125</v>
      </c>
      <c r="N12" s="26" t="s">
        <v>356</v>
      </c>
    </row>
    <row r="13" spans="2:14" ht="12.7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2:13" ht="15.75"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4" ht="12.75">
      <c r="A15" s="51" t="s">
        <v>428</v>
      </c>
      <c r="B15" s="27" t="s">
        <v>78</v>
      </c>
      <c r="C15" s="27" t="s">
        <v>79</v>
      </c>
      <c r="D15" s="27" t="s">
        <v>80</v>
      </c>
      <c r="E15" s="27" t="str">
        <f>"0,6251"</f>
        <v>0,6251</v>
      </c>
      <c r="F15" s="27" t="s">
        <v>14</v>
      </c>
      <c r="G15" s="27" t="s">
        <v>15</v>
      </c>
      <c r="H15" s="61" t="s">
        <v>121</v>
      </c>
      <c r="I15" s="61" t="s">
        <v>367</v>
      </c>
      <c r="J15" s="62" t="s">
        <v>368</v>
      </c>
      <c r="K15" s="63"/>
      <c r="L15" s="51">
        <v>177.5</v>
      </c>
      <c r="M15" s="51" t="str">
        <f>"110,9553"</f>
        <v>110,9553</v>
      </c>
      <c r="N15" s="27" t="s">
        <v>349</v>
      </c>
    </row>
    <row r="17" spans="2:13" ht="15.75">
      <c r="B17" s="133" t="s">
        <v>102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4" ht="12.75">
      <c r="A18" s="49" t="s">
        <v>428</v>
      </c>
      <c r="B18" s="91" t="s">
        <v>330</v>
      </c>
      <c r="C18" s="25" t="s">
        <v>331</v>
      </c>
      <c r="D18" s="25" t="s">
        <v>332</v>
      </c>
      <c r="E18" s="25" t="str">
        <f>"0,5732"</f>
        <v>0,5732</v>
      </c>
      <c r="F18" s="25" t="s">
        <v>14</v>
      </c>
      <c r="G18" s="25" t="s">
        <v>15</v>
      </c>
      <c r="H18" s="54" t="s">
        <v>90</v>
      </c>
      <c r="I18" s="64" t="s">
        <v>57</v>
      </c>
      <c r="J18" s="54" t="s">
        <v>57</v>
      </c>
      <c r="K18" s="55"/>
      <c r="L18" s="49" t="s">
        <v>57</v>
      </c>
      <c r="M18" s="49" t="str">
        <f>"149,0450"</f>
        <v>149,0450</v>
      </c>
      <c r="N18" s="25" t="s">
        <v>349</v>
      </c>
    </row>
    <row r="19" spans="1:14" ht="12.75">
      <c r="A19" s="50" t="s">
        <v>430</v>
      </c>
      <c r="B19" s="92" t="s">
        <v>333</v>
      </c>
      <c r="C19" s="26" t="s">
        <v>334</v>
      </c>
      <c r="D19" s="26" t="s">
        <v>335</v>
      </c>
      <c r="E19" s="26" t="str">
        <f>"0,5737"</f>
        <v>0,5737</v>
      </c>
      <c r="F19" s="26" t="s">
        <v>14</v>
      </c>
      <c r="G19" s="26" t="s">
        <v>336</v>
      </c>
      <c r="H19" s="56" t="s">
        <v>337</v>
      </c>
      <c r="I19" s="56" t="s">
        <v>199</v>
      </c>
      <c r="J19" s="58" t="s">
        <v>61</v>
      </c>
      <c r="K19" s="57"/>
      <c r="L19" s="50" t="s">
        <v>199</v>
      </c>
      <c r="M19" s="50" t="str">
        <f>"129,0769"</f>
        <v>129,0769</v>
      </c>
      <c r="N19" s="26" t="s">
        <v>349</v>
      </c>
    </row>
    <row r="22" spans="2:3" ht="18">
      <c r="B22" s="30" t="s">
        <v>123</v>
      </c>
      <c r="C22" s="30"/>
    </row>
    <row r="25" spans="2:3" ht="15.75">
      <c r="B25" s="31" t="s">
        <v>131</v>
      </c>
      <c r="C25" s="31"/>
    </row>
    <row r="26" spans="2:3" ht="13.5">
      <c r="B26" s="33"/>
      <c r="C26" s="34"/>
    </row>
    <row r="27" spans="1:6" ht="13.5">
      <c r="A27" s="35" t="s">
        <v>427</v>
      </c>
      <c r="B27" s="35" t="s">
        <v>126</v>
      </c>
      <c r="C27" s="35" t="s">
        <v>127</v>
      </c>
      <c r="D27" s="35" t="s">
        <v>128</v>
      </c>
      <c r="E27" s="35" t="s">
        <v>129</v>
      </c>
      <c r="F27" s="35" t="s">
        <v>130</v>
      </c>
    </row>
    <row r="28" spans="1:6" ht="12.75">
      <c r="A28" s="107">
        <v>1</v>
      </c>
      <c r="B28" s="37" t="s">
        <v>330</v>
      </c>
      <c r="C28" s="37" t="s">
        <v>125</v>
      </c>
      <c r="D28" s="48" t="s">
        <v>433</v>
      </c>
      <c r="E28" s="48" t="s">
        <v>57</v>
      </c>
      <c r="F28" s="48" t="s">
        <v>338</v>
      </c>
    </row>
    <row r="29" spans="1:6" ht="12.75">
      <c r="A29" s="107">
        <v>2</v>
      </c>
      <c r="B29" s="37" t="s">
        <v>206</v>
      </c>
      <c r="C29" s="37" t="s">
        <v>125</v>
      </c>
      <c r="D29" s="48" t="s">
        <v>437</v>
      </c>
      <c r="E29" s="48" t="s">
        <v>50</v>
      </c>
      <c r="F29" s="48" t="s">
        <v>339</v>
      </c>
    </row>
    <row r="30" spans="1:6" ht="12.75">
      <c r="A30" s="107">
        <v>3</v>
      </c>
      <c r="B30" s="37" t="s">
        <v>333</v>
      </c>
      <c r="C30" s="37" t="s">
        <v>125</v>
      </c>
      <c r="D30" s="48" t="s">
        <v>433</v>
      </c>
      <c r="E30" s="48" t="s">
        <v>199</v>
      </c>
      <c r="F30" s="48" t="s">
        <v>340</v>
      </c>
    </row>
  </sheetData>
  <sheetProtection/>
  <mergeCells count="16">
    <mergeCell ref="A3:A4"/>
    <mergeCell ref="B17:M17"/>
    <mergeCell ref="L3:L4"/>
    <mergeCell ref="M3:M4"/>
    <mergeCell ref="N3:N4"/>
    <mergeCell ref="B5:M5"/>
    <mergeCell ref="B9:M9"/>
    <mergeCell ref="B14:M1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18" sqref="N18"/>
    </sheetView>
  </sheetViews>
  <sheetFormatPr defaultColWidth="8.75390625" defaultRowHeight="12.75"/>
  <cols>
    <col min="1" max="1" width="6.875" style="103" customWidth="1"/>
    <col min="2" max="2" width="17.75390625" style="24" customWidth="1"/>
    <col min="3" max="3" width="22.00390625" style="24" customWidth="1"/>
    <col min="4" max="4" width="11.875" style="24" customWidth="1"/>
    <col min="5" max="5" width="22.75390625" style="24" bestFit="1" customWidth="1"/>
    <col min="6" max="6" width="14.375" style="24" customWidth="1"/>
    <col min="7" max="7" width="24.125" style="24" customWidth="1"/>
    <col min="8" max="9" width="5.625" style="24" bestFit="1" customWidth="1"/>
    <col min="10" max="10" width="5.25390625" style="24" customWidth="1"/>
    <col min="11" max="11" width="7.875" style="24" bestFit="1" customWidth="1"/>
    <col min="12" max="12" width="10.875" style="24" customWidth="1"/>
    <col min="13" max="13" width="14.75390625" style="24" customWidth="1"/>
    <col min="14" max="14" width="19.25390625" style="0" customWidth="1"/>
  </cols>
  <sheetData>
    <row r="1" spans="1:13" s="1" customFormat="1" ht="24.75" customHeight="1">
      <c r="A1" s="134" t="s">
        <v>481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s="1" customFormat="1" ht="79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1:14" s="2" customFormat="1" ht="12.75" customHeight="1">
      <c r="A3" s="140" t="s">
        <v>426</v>
      </c>
      <c r="B3" s="140" t="s">
        <v>0</v>
      </c>
      <c r="C3" s="154" t="s">
        <v>449</v>
      </c>
      <c r="D3" s="156" t="s">
        <v>435</v>
      </c>
      <c r="E3" s="144" t="s">
        <v>9</v>
      </c>
      <c r="F3" s="144" t="s">
        <v>7</v>
      </c>
      <c r="G3" s="144" t="s">
        <v>450</v>
      </c>
      <c r="H3" s="144" t="s">
        <v>3</v>
      </c>
      <c r="I3" s="144"/>
      <c r="J3" s="144"/>
      <c r="K3" s="144"/>
      <c r="L3" s="144" t="s">
        <v>432</v>
      </c>
      <c r="M3" s="144" t="s">
        <v>6</v>
      </c>
      <c r="N3" s="145" t="s">
        <v>5</v>
      </c>
    </row>
    <row r="4" spans="1:14" s="2" customFormat="1" ht="21" customHeight="1" thickBot="1">
      <c r="A4" s="141"/>
      <c r="B4" s="141"/>
      <c r="C4" s="155"/>
      <c r="D4" s="157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6"/>
    </row>
    <row r="5" spans="1:12" ht="15.75">
      <c r="A5" s="147" t="s">
        <v>140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4" ht="12.75">
      <c r="A6" s="102" t="s">
        <v>429</v>
      </c>
      <c r="B6" s="27" t="s">
        <v>358</v>
      </c>
      <c r="C6" s="27" t="s">
        <v>146</v>
      </c>
      <c r="D6" s="27" t="s">
        <v>143</v>
      </c>
      <c r="E6" s="27" t="str">
        <f>"1,0591"</f>
        <v>1,0591</v>
      </c>
      <c r="F6" s="27" t="s">
        <v>14</v>
      </c>
      <c r="G6" s="27" t="s">
        <v>15</v>
      </c>
      <c r="H6" s="65" t="s">
        <v>21</v>
      </c>
      <c r="I6" s="62" t="s">
        <v>365</v>
      </c>
      <c r="J6" s="62" t="s">
        <v>365</v>
      </c>
      <c r="K6" s="63"/>
      <c r="L6" s="51" t="s">
        <v>21</v>
      </c>
      <c r="M6" s="51" t="str">
        <f>"111,2055"</f>
        <v>111,2055</v>
      </c>
      <c r="N6" s="27" t="s">
        <v>356</v>
      </c>
    </row>
    <row r="8" spans="1:12" ht="15.75">
      <c r="A8" s="133" t="s">
        <v>25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4" ht="12.75">
      <c r="A9" s="49" t="s">
        <v>428</v>
      </c>
      <c r="B9" s="91" t="s">
        <v>327</v>
      </c>
      <c r="C9" s="25" t="s">
        <v>328</v>
      </c>
      <c r="D9" s="25" t="s">
        <v>28</v>
      </c>
      <c r="E9" s="25" t="str">
        <f>"0,7484"</f>
        <v>0,7484</v>
      </c>
      <c r="F9" s="25" t="s">
        <v>14</v>
      </c>
      <c r="G9" s="25" t="s">
        <v>73</v>
      </c>
      <c r="H9" s="94" t="s">
        <v>50</v>
      </c>
      <c r="I9" s="64" t="s">
        <v>341</v>
      </c>
      <c r="J9" s="64" t="s">
        <v>341</v>
      </c>
      <c r="K9" s="42"/>
      <c r="L9" s="49" t="s">
        <v>50</v>
      </c>
      <c r="M9" s="49" t="str">
        <f>"134,7120"</f>
        <v>134,7120</v>
      </c>
      <c r="N9" s="25" t="s">
        <v>359</v>
      </c>
    </row>
    <row r="10" spans="1:14" ht="12.75">
      <c r="A10" s="50" t="s">
        <v>430</v>
      </c>
      <c r="B10" s="92" t="s">
        <v>342</v>
      </c>
      <c r="C10" s="26" t="s">
        <v>343</v>
      </c>
      <c r="D10" s="26" t="s">
        <v>344</v>
      </c>
      <c r="E10" s="26" t="str">
        <f>"0,7610"</f>
        <v>0,7610</v>
      </c>
      <c r="F10" s="26" t="s">
        <v>14</v>
      </c>
      <c r="G10" s="26" t="s">
        <v>15</v>
      </c>
      <c r="H10" s="56" t="s">
        <v>16</v>
      </c>
      <c r="I10" s="56" t="s">
        <v>81</v>
      </c>
      <c r="J10" s="56" t="s">
        <v>82</v>
      </c>
      <c r="K10" s="44"/>
      <c r="L10" s="50" t="s">
        <v>82</v>
      </c>
      <c r="M10" s="50" t="str">
        <f>"125,5568"</f>
        <v>125,5568</v>
      </c>
      <c r="N10" s="26" t="s">
        <v>349</v>
      </c>
    </row>
    <row r="11" ht="12.75">
      <c r="B11" s="37"/>
    </row>
    <row r="12" spans="1:12" ht="15.75">
      <c r="A12" s="133" t="s">
        <v>163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4" ht="12.75">
      <c r="A13" s="49" t="s">
        <v>428</v>
      </c>
      <c r="B13" s="91" t="s">
        <v>164</v>
      </c>
      <c r="C13" s="25" t="s">
        <v>165</v>
      </c>
      <c r="D13" s="25" t="s">
        <v>166</v>
      </c>
      <c r="E13" s="25" t="str">
        <f>"0,6885"</f>
        <v>0,6885</v>
      </c>
      <c r="F13" s="25" t="s">
        <v>14</v>
      </c>
      <c r="G13" s="25" t="s">
        <v>15</v>
      </c>
      <c r="H13" s="54" t="s">
        <v>50</v>
      </c>
      <c r="I13" s="54" t="s">
        <v>373</v>
      </c>
      <c r="J13" s="54" t="s">
        <v>374</v>
      </c>
      <c r="K13" s="42"/>
      <c r="L13" s="49" t="s">
        <v>167</v>
      </c>
      <c r="M13" s="49" t="str">
        <f>"134,2672"</f>
        <v>134,2672</v>
      </c>
      <c r="N13" s="25" t="s">
        <v>349</v>
      </c>
    </row>
    <row r="14" spans="1:14" ht="12.75">
      <c r="A14" s="50" t="s">
        <v>430</v>
      </c>
      <c r="B14" s="92" t="s">
        <v>345</v>
      </c>
      <c r="C14" s="26" t="s">
        <v>346</v>
      </c>
      <c r="D14" s="26" t="s">
        <v>347</v>
      </c>
      <c r="E14" s="26" t="str">
        <f>"0,7079"</f>
        <v>0,7079</v>
      </c>
      <c r="F14" s="26" t="s">
        <v>14</v>
      </c>
      <c r="G14" s="26" t="s">
        <v>348</v>
      </c>
      <c r="H14" s="58" t="s">
        <v>49</v>
      </c>
      <c r="I14" s="56" t="s">
        <v>49</v>
      </c>
      <c r="J14" s="56" t="s">
        <v>107</v>
      </c>
      <c r="K14" s="44"/>
      <c r="L14" s="50">
        <v>182.5</v>
      </c>
      <c r="M14" s="50" t="str">
        <f>"129,1917"</f>
        <v>129,1917</v>
      </c>
      <c r="N14" s="26" t="s">
        <v>349</v>
      </c>
    </row>
    <row r="16" spans="1:12" ht="15.75">
      <c r="A16" s="133" t="s">
        <v>52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4" ht="12.75">
      <c r="A17" s="49" t="s">
        <v>428</v>
      </c>
      <c r="B17" s="91" t="s">
        <v>168</v>
      </c>
      <c r="C17" s="25" t="s">
        <v>169</v>
      </c>
      <c r="D17" s="25" t="s">
        <v>350</v>
      </c>
      <c r="E17" s="25" t="str">
        <f>"0,6259"</f>
        <v>0,6259</v>
      </c>
      <c r="F17" s="25" t="s">
        <v>14</v>
      </c>
      <c r="G17" s="25" t="s">
        <v>171</v>
      </c>
      <c r="H17" s="54" t="s">
        <v>61</v>
      </c>
      <c r="I17" s="54" t="s">
        <v>376</v>
      </c>
      <c r="J17" s="64" t="s">
        <v>375</v>
      </c>
      <c r="K17" s="42"/>
      <c r="L17" s="49" t="s">
        <v>62</v>
      </c>
      <c r="M17" s="49" t="str">
        <f>"150,2280"</f>
        <v>150,2280</v>
      </c>
      <c r="N17" s="25" t="s">
        <v>349</v>
      </c>
    </row>
    <row r="18" spans="1:14" ht="12.75">
      <c r="A18" s="50" t="s">
        <v>430</v>
      </c>
      <c r="B18" s="92" t="s">
        <v>174</v>
      </c>
      <c r="C18" s="26" t="s">
        <v>175</v>
      </c>
      <c r="D18" s="26" t="s">
        <v>176</v>
      </c>
      <c r="E18" s="26" t="str">
        <f>"0,6203"</f>
        <v>0,6203</v>
      </c>
      <c r="F18" s="26" t="s">
        <v>14</v>
      </c>
      <c r="G18" s="26" t="s">
        <v>15</v>
      </c>
      <c r="H18" s="56" t="s">
        <v>167</v>
      </c>
      <c r="I18" s="56" t="s">
        <v>377</v>
      </c>
      <c r="J18" s="56" t="s">
        <v>378</v>
      </c>
      <c r="K18" s="44"/>
      <c r="L18" s="50" t="s">
        <v>61</v>
      </c>
      <c r="M18" s="50" t="str">
        <f>"142,6690"</f>
        <v>142,6690</v>
      </c>
      <c r="N18" s="26" t="s">
        <v>356</v>
      </c>
    </row>
    <row r="20" spans="1:12" ht="15.75">
      <c r="A20" s="133" t="s">
        <v>85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4" ht="12.75">
      <c r="A21" s="49" t="s">
        <v>428</v>
      </c>
      <c r="B21" s="91" t="s">
        <v>190</v>
      </c>
      <c r="C21" s="25" t="s">
        <v>191</v>
      </c>
      <c r="D21" s="25" t="s">
        <v>192</v>
      </c>
      <c r="E21" s="25" t="str">
        <f>"0,5911"</f>
        <v>0,5911</v>
      </c>
      <c r="F21" s="25" t="s">
        <v>14</v>
      </c>
      <c r="G21" s="25" t="s">
        <v>73</v>
      </c>
      <c r="H21" s="45" t="s">
        <v>62</v>
      </c>
      <c r="I21" s="45" t="s">
        <v>372</v>
      </c>
      <c r="J21" s="41" t="s">
        <v>375</v>
      </c>
      <c r="K21" s="42"/>
      <c r="L21" s="49" t="s">
        <v>90</v>
      </c>
      <c r="M21" s="49" t="str">
        <f>"147,7750"</f>
        <v>147,7750</v>
      </c>
      <c r="N21" s="25" t="s">
        <v>451</v>
      </c>
    </row>
    <row r="22" spans="1:14" ht="12.75">
      <c r="A22" s="50" t="s">
        <v>430</v>
      </c>
      <c r="B22" s="92" t="s">
        <v>288</v>
      </c>
      <c r="C22" s="26" t="s">
        <v>289</v>
      </c>
      <c r="D22" s="26" t="s">
        <v>290</v>
      </c>
      <c r="E22" s="26" t="str">
        <f>"0,5893"</f>
        <v>0,5893</v>
      </c>
      <c r="F22" s="26" t="s">
        <v>14</v>
      </c>
      <c r="G22" s="26" t="s">
        <v>15</v>
      </c>
      <c r="H22" s="46" t="s">
        <v>45</v>
      </c>
      <c r="I22" s="43" t="s">
        <v>67</v>
      </c>
      <c r="J22" s="46" t="s">
        <v>75</v>
      </c>
      <c r="K22" s="44"/>
      <c r="L22" s="50" t="s">
        <v>67</v>
      </c>
      <c r="M22" s="50" t="str">
        <f>"111,9575"</f>
        <v>111,9575</v>
      </c>
      <c r="N22" s="26" t="s">
        <v>452</v>
      </c>
    </row>
    <row r="24" spans="1:12" ht="15.75">
      <c r="A24" s="133" t="s">
        <v>102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4" ht="12.75">
      <c r="A25" s="49" t="s">
        <v>428</v>
      </c>
      <c r="B25" s="91" t="s">
        <v>193</v>
      </c>
      <c r="C25" s="25" t="s">
        <v>194</v>
      </c>
      <c r="D25" s="25" t="s">
        <v>195</v>
      </c>
      <c r="E25" s="25" t="str">
        <f>"0,5731"</f>
        <v>0,5731</v>
      </c>
      <c r="F25" s="25" t="s">
        <v>14</v>
      </c>
      <c r="G25" s="25" t="s">
        <v>73</v>
      </c>
      <c r="H25" s="54" t="s">
        <v>62</v>
      </c>
      <c r="I25" s="54" t="s">
        <v>372</v>
      </c>
      <c r="J25" s="54" t="s">
        <v>379</v>
      </c>
      <c r="K25" s="42"/>
      <c r="L25" s="49" t="s">
        <v>57</v>
      </c>
      <c r="M25" s="49" t="str">
        <f>"149,0190"</f>
        <v>149,0190</v>
      </c>
      <c r="N25" s="25" t="s">
        <v>451</v>
      </c>
    </row>
    <row r="26" spans="1:14" ht="12.75">
      <c r="A26" s="52" t="s">
        <v>430</v>
      </c>
      <c r="B26" s="93" t="s">
        <v>300</v>
      </c>
      <c r="C26" s="28" t="s">
        <v>301</v>
      </c>
      <c r="D26" s="28" t="s">
        <v>302</v>
      </c>
      <c r="E26" s="28" t="str">
        <f>"0,5742"</f>
        <v>0,5742</v>
      </c>
      <c r="F26" s="28" t="s">
        <v>14</v>
      </c>
      <c r="G26" s="28" t="s">
        <v>303</v>
      </c>
      <c r="H26" s="59" t="s">
        <v>61</v>
      </c>
      <c r="I26" s="59" t="s">
        <v>62</v>
      </c>
      <c r="J26" s="59" t="s">
        <v>90</v>
      </c>
      <c r="K26" s="47"/>
      <c r="L26" s="52" t="s">
        <v>90</v>
      </c>
      <c r="M26" s="52" t="str">
        <f>"143,5500"</f>
        <v>143,5500</v>
      </c>
      <c r="N26" s="28" t="s">
        <v>453</v>
      </c>
    </row>
    <row r="27" spans="1:14" ht="13.5">
      <c r="A27" s="50" t="s">
        <v>431</v>
      </c>
      <c r="B27" s="92" t="s">
        <v>333</v>
      </c>
      <c r="C27" s="26" t="s">
        <v>334</v>
      </c>
      <c r="D27" s="26" t="s">
        <v>335</v>
      </c>
      <c r="E27" s="26" t="str">
        <f>"0,5737"</f>
        <v>0,5737</v>
      </c>
      <c r="F27" s="26" t="s">
        <v>14</v>
      </c>
      <c r="G27" s="26" t="s">
        <v>336</v>
      </c>
      <c r="H27" s="66" t="s">
        <v>369</v>
      </c>
      <c r="I27" s="67" t="s">
        <v>370</v>
      </c>
      <c r="J27" s="58" t="s">
        <v>61</v>
      </c>
      <c r="K27" s="44"/>
      <c r="L27" s="50" t="s">
        <v>199</v>
      </c>
      <c r="M27" s="50" t="s">
        <v>371</v>
      </c>
      <c r="N27" s="26" t="s">
        <v>349</v>
      </c>
    </row>
    <row r="30" spans="1:2" ht="18">
      <c r="A30" s="104" t="s">
        <v>123</v>
      </c>
      <c r="B30" s="30"/>
    </row>
    <row r="32" spans="1:2" ht="15.75">
      <c r="A32" s="105" t="s">
        <v>131</v>
      </c>
      <c r="B32" s="31"/>
    </row>
    <row r="33" spans="1:2" ht="13.5">
      <c r="A33" s="106"/>
      <c r="B33" s="34"/>
    </row>
    <row r="34" spans="1:14" ht="13.5">
      <c r="A34" s="35" t="s">
        <v>427</v>
      </c>
      <c r="B34" s="35" t="s">
        <v>126</v>
      </c>
      <c r="C34" s="35" t="s">
        <v>127</v>
      </c>
      <c r="D34" s="35" t="s">
        <v>128</v>
      </c>
      <c r="E34" s="35" t="s">
        <v>129</v>
      </c>
      <c r="F34" s="35" t="s">
        <v>130</v>
      </c>
      <c r="N34" s="24"/>
    </row>
    <row r="35" spans="1:14" ht="12.75">
      <c r="A35" s="107">
        <v>1</v>
      </c>
      <c r="B35" s="32" t="s">
        <v>168</v>
      </c>
      <c r="C35" s="37" t="s">
        <v>125</v>
      </c>
      <c r="D35" s="48" t="s">
        <v>413</v>
      </c>
      <c r="E35" s="48" t="s">
        <v>62</v>
      </c>
      <c r="F35" s="48" t="s">
        <v>351</v>
      </c>
      <c r="N35" s="24"/>
    </row>
    <row r="36" spans="1:14" ht="12.75">
      <c r="A36" s="107">
        <v>2</v>
      </c>
      <c r="B36" s="32" t="s">
        <v>193</v>
      </c>
      <c r="C36" s="37" t="s">
        <v>125</v>
      </c>
      <c r="D36" s="48" t="s">
        <v>433</v>
      </c>
      <c r="E36" s="48" t="s">
        <v>57</v>
      </c>
      <c r="F36" s="48" t="s">
        <v>352</v>
      </c>
      <c r="N36" s="24"/>
    </row>
    <row r="37" spans="1:14" ht="12.75">
      <c r="A37" s="107">
        <v>3</v>
      </c>
      <c r="B37" s="32" t="s">
        <v>190</v>
      </c>
      <c r="C37" s="37" t="s">
        <v>125</v>
      </c>
      <c r="D37" s="48" t="s">
        <v>434</v>
      </c>
      <c r="E37" s="48" t="s">
        <v>90</v>
      </c>
      <c r="F37" s="48" t="s">
        <v>353</v>
      </c>
      <c r="N37" s="24"/>
    </row>
  </sheetData>
  <sheetProtection/>
  <mergeCells count="18">
    <mergeCell ref="A16:L16"/>
    <mergeCell ref="A20:L20"/>
    <mergeCell ref="A24:L24"/>
    <mergeCell ref="L3:L4"/>
    <mergeCell ref="M3:M4"/>
    <mergeCell ref="N3:N4"/>
    <mergeCell ref="A5:L5"/>
    <mergeCell ref="A8:L8"/>
    <mergeCell ref="A12:L12"/>
    <mergeCell ref="A1:M2"/>
    <mergeCell ref="B3:B4"/>
    <mergeCell ref="C3:C4"/>
    <mergeCell ref="D3:D4"/>
    <mergeCell ref="E3:E4"/>
    <mergeCell ref="F3:F4"/>
    <mergeCell ref="G3:G4"/>
    <mergeCell ref="H3:K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13" sqref="G13"/>
    </sheetView>
  </sheetViews>
  <sheetFormatPr defaultColWidth="8.75390625" defaultRowHeight="12.75"/>
  <cols>
    <col min="1" max="1" width="8.75390625" style="0" customWidth="1"/>
    <col min="2" max="2" width="22.00390625" style="0" customWidth="1"/>
    <col min="3" max="3" width="23.75390625" style="0" customWidth="1"/>
    <col min="4" max="4" width="15.625" style="0" customWidth="1"/>
    <col min="5" max="5" width="8.375" style="0" customWidth="1"/>
    <col min="6" max="6" width="15.25390625" style="0" customWidth="1"/>
    <col min="7" max="7" width="22.75390625" style="0" bestFit="1" customWidth="1"/>
    <col min="8" max="12" width="15.625" style="0" customWidth="1"/>
  </cols>
  <sheetData>
    <row r="1" spans="2:13" ht="45" customHeight="1">
      <c r="B1" s="134" t="s">
        <v>493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"/>
    </row>
    <row r="2" spans="2:13" ht="51.75" customHeight="1" thickBo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"/>
    </row>
    <row r="3" spans="1:13" ht="13.5">
      <c r="A3" s="144" t="s">
        <v>426</v>
      </c>
      <c r="B3" s="140" t="s">
        <v>0</v>
      </c>
      <c r="C3" s="142" t="s">
        <v>436</v>
      </c>
      <c r="D3" s="144" t="s">
        <v>435</v>
      </c>
      <c r="E3" s="144" t="s">
        <v>9</v>
      </c>
      <c r="F3" s="144" t="s">
        <v>7</v>
      </c>
      <c r="G3" s="144" t="s">
        <v>450</v>
      </c>
      <c r="H3" s="144" t="s">
        <v>2</v>
      </c>
      <c r="I3" s="144"/>
      <c r="J3" s="144" t="s">
        <v>432</v>
      </c>
      <c r="K3" s="144" t="s">
        <v>6</v>
      </c>
      <c r="L3" s="145" t="s">
        <v>5</v>
      </c>
      <c r="M3" s="2"/>
    </row>
    <row r="4" spans="1:13" ht="15" thickBot="1">
      <c r="A4" s="143"/>
      <c r="B4" s="141"/>
      <c r="C4" s="143"/>
      <c r="D4" s="143"/>
      <c r="E4" s="143"/>
      <c r="F4" s="143"/>
      <c r="G4" s="143"/>
      <c r="H4" s="3" t="s">
        <v>392</v>
      </c>
      <c r="I4" s="3" t="s">
        <v>393</v>
      </c>
      <c r="J4" s="143"/>
      <c r="K4" s="143"/>
      <c r="L4" s="146"/>
      <c r="M4" s="2"/>
    </row>
    <row r="5" spans="2:12" ht="15.75">
      <c r="B5" s="147" t="s">
        <v>140</v>
      </c>
      <c r="C5" s="147"/>
      <c r="D5" s="147"/>
      <c r="E5" s="147"/>
      <c r="F5" s="147"/>
      <c r="G5" s="147"/>
      <c r="H5" s="147"/>
      <c r="I5" s="147"/>
      <c r="J5" s="147"/>
      <c r="K5" s="147"/>
      <c r="L5" s="24"/>
    </row>
    <row r="6" spans="1:12" ht="12.75">
      <c r="A6" s="51" t="s">
        <v>428</v>
      </c>
      <c r="B6" s="36" t="s">
        <v>394</v>
      </c>
      <c r="C6" s="88" t="s">
        <v>395</v>
      </c>
      <c r="D6" s="88" t="s">
        <v>396</v>
      </c>
      <c r="E6" s="88" t="str">
        <f>"1,0828"</f>
        <v>1,0828</v>
      </c>
      <c r="F6" s="36" t="s">
        <v>14</v>
      </c>
      <c r="G6" s="36" t="s">
        <v>15</v>
      </c>
      <c r="H6" s="51" t="s">
        <v>397</v>
      </c>
      <c r="I6" s="51" t="s">
        <v>448</v>
      </c>
      <c r="J6" s="51" t="s">
        <v>469</v>
      </c>
      <c r="K6" s="51" t="str">
        <f>"1131,5260"</f>
        <v>1131,5260</v>
      </c>
      <c r="L6" s="36" t="s">
        <v>398</v>
      </c>
    </row>
    <row r="7" spans="2:12" ht="12.7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2" ht="15.75">
      <c r="B8" s="24"/>
      <c r="C8" s="24"/>
      <c r="D8" s="24"/>
      <c r="E8" s="24"/>
      <c r="F8" s="29"/>
      <c r="G8" s="24"/>
      <c r="H8" s="24"/>
      <c r="I8" s="24"/>
      <c r="J8" s="24"/>
      <c r="K8" s="24"/>
      <c r="L8" s="24"/>
    </row>
    <row r="9" spans="2:12" ht="12.75">
      <c r="B9" s="24"/>
      <c r="C9" s="24"/>
      <c r="D9" s="24"/>
      <c r="E9" s="24"/>
      <c r="F9" s="24"/>
      <c r="G9" s="24" t="s">
        <v>492</v>
      </c>
      <c r="H9" s="24"/>
      <c r="I9" s="24"/>
      <c r="J9" s="24"/>
      <c r="K9" s="24"/>
      <c r="L9" s="24"/>
    </row>
    <row r="10" spans="2:12" ht="12.7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7:12" ht="12.75">
      <c r="G11" s="24"/>
      <c r="H11" s="24"/>
      <c r="I11" s="24"/>
      <c r="J11" s="24"/>
      <c r="K11" s="24"/>
      <c r="L11" s="24"/>
    </row>
    <row r="12" spans="7:12" ht="12.75">
      <c r="G12" s="24"/>
      <c r="H12" s="24"/>
      <c r="I12" s="24"/>
      <c r="J12" s="24"/>
      <c r="K12" s="24"/>
      <c r="L12" s="24"/>
    </row>
    <row r="13" spans="7:12" ht="12.75">
      <c r="G13" s="24"/>
      <c r="H13" s="24"/>
      <c r="I13" s="24"/>
      <c r="J13" s="24"/>
      <c r="K13" s="24"/>
      <c r="L13" s="24"/>
    </row>
    <row r="14" spans="7:12" ht="12.75">
      <c r="G14" s="24"/>
      <c r="H14" s="24"/>
      <c r="I14" s="24"/>
      <c r="J14" s="24"/>
      <c r="K14" s="24"/>
      <c r="L14" s="24"/>
    </row>
    <row r="15" spans="7:12" ht="12.75">
      <c r="G15" s="24"/>
      <c r="H15" s="24"/>
      <c r="I15" s="24"/>
      <c r="J15" s="24"/>
      <c r="K15" s="24"/>
      <c r="L15" s="24"/>
    </row>
    <row r="16" spans="7:12" ht="12.75">
      <c r="G16" s="24"/>
      <c r="H16" s="24"/>
      <c r="I16" s="24"/>
      <c r="J16" s="24"/>
      <c r="K16" s="24"/>
      <c r="L16" s="24"/>
    </row>
  </sheetData>
  <sheetProtection/>
  <mergeCells count="13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  <mergeCell ref="L3:L4"/>
    <mergeCell ref="B5:K5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1" sqref="B1:L2"/>
    </sheetView>
  </sheetViews>
  <sheetFormatPr defaultColWidth="8.75390625" defaultRowHeight="12.75"/>
  <cols>
    <col min="1" max="1" width="9.125" style="108" customWidth="1"/>
    <col min="2" max="2" width="20.875" style="0" customWidth="1"/>
    <col min="3" max="3" width="24.625" style="0" customWidth="1"/>
    <col min="4" max="4" width="14.125" style="0" customWidth="1"/>
    <col min="5" max="5" width="6.625" style="0" customWidth="1"/>
    <col min="6" max="6" width="11.25390625" style="0" customWidth="1"/>
    <col min="7" max="7" width="25.875" style="132" customWidth="1"/>
    <col min="8" max="9" width="8.75390625" style="0" customWidth="1"/>
    <col min="10" max="10" width="10.75390625" style="131" customWidth="1"/>
    <col min="11" max="11" width="8.75390625" style="0" customWidth="1"/>
    <col min="12" max="12" width="18.00390625" style="132" customWidth="1"/>
  </cols>
  <sheetData>
    <row r="1" spans="2:12" ht="51.75" customHeight="1">
      <c r="B1" s="134" t="s">
        <v>494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2:12" ht="42" customHeight="1" thickBo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13.5">
      <c r="A3" s="144" t="s">
        <v>426</v>
      </c>
      <c r="B3" s="140" t="s">
        <v>0</v>
      </c>
      <c r="C3" s="142" t="s">
        <v>436</v>
      </c>
      <c r="D3" s="144" t="s">
        <v>435</v>
      </c>
      <c r="E3" s="144" t="s">
        <v>9</v>
      </c>
      <c r="F3" s="144" t="s">
        <v>7</v>
      </c>
      <c r="G3" s="158" t="s">
        <v>450</v>
      </c>
      <c r="H3" s="144" t="s">
        <v>2</v>
      </c>
      <c r="I3" s="144"/>
      <c r="J3" s="160" t="s">
        <v>432</v>
      </c>
      <c r="K3" s="144" t="s">
        <v>6</v>
      </c>
      <c r="L3" s="150" t="s">
        <v>5</v>
      </c>
    </row>
    <row r="4" spans="1:12" ht="15" thickBot="1">
      <c r="A4" s="143"/>
      <c r="B4" s="141"/>
      <c r="C4" s="143"/>
      <c r="D4" s="143"/>
      <c r="E4" s="143"/>
      <c r="F4" s="143"/>
      <c r="G4" s="159"/>
      <c r="H4" s="3" t="s">
        <v>392</v>
      </c>
      <c r="I4" s="3" t="s">
        <v>393</v>
      </c>
      <c r="J4" s="161"/>
      <c r="K4" s="143"/>
      <c r="L4" s="151"/>
    </row>
    <row r="5" spans="2:12" ht="15.75">
      <c r="B5" s="147" t="s">
        <v>245</v>
      </c>
      <c r="C5" s="147"/>
      <c r="D5" s="147"/>
      <c r="E5" s="147"/>
      <c r="F5" s="147"/>
      <c r="G5" s="147"/>
      <c r="H5" s="147"/>
      <c r="I5" s="147"/>
      <c r="J5" s="147"/>
      <c r="K5" s="147"/>
      <c r="L5" s="71"/>
    </row>
    <row r="6" spans="1:12" ht="12.75">
      <c r="A6" s="51" t="s">
        <v>428</v>
      </c>
      <c r="B6" s="88" t="s">
        <v>246</v>
      </c>
      <c r="C6" s="88" t="s">
        <v>247</v>
      </c>
      <c r="D6" s="88" t="s">
        <v>248</v>
      </c>
      <c r="E6" s="36" t="str">
        <f>"1,1076"</f>
        <v>1,1076</v>
      </c>
      <c r="F6" s="88" t="s">
        <v>14</v>
      </c>
      <c r="G6" s="88" t="s">
        <v>15</v>
      </c>
      <c r="H6" s="51" t="s">
        <v>399</v>
      </c>
      <c r="I6" s="51" t="s">
        <v>470</v>
      </c>
      <c r="J6" s="126">
        <v>577.5</v>
      </c>
      <c r="K6" s="51" t="str">
        <f>"639,6390"</f>
        <v>639,6390</v>
      </c>
      <c r="L6" s="88" t="s">
        <v>495</v>
      </c>
    </row>
    <row r="7" spans="2:12" ht="12.75">
      <c r="B7" s="37"/>
      <c r="C7" s="37"/>
      <c r="D7" s="37"/>
      <c r="E7" s="37"/>
      <c r="F7" s="37"/>
      <c r="G7" s="71"/>
      <c r="H7" s="37"/>
      <c r="I7" s="37"/>
      <c r="J7" s="127"/>
      <c r="K7" s="37"/>
      <c r="L7" s="71"/>
    </row>
    <row r="8" spans="2:12" ht="15.75">
      <c r="B8" s="133" t="s">
        <v>163</v>
      </c>
      <c r="C8" s="133"/>
      <c r="D8" s="133"/>
      <c r="E8" s="133"/>
      <c r="F8" s="133"/>
      <c r="G8" s="133"/>
      <c r="H8" s="133"/>
      <c r="I8" s="133"/>
      <c r="J8" s="133"/>
      <c r="K8" s="133"/>
      <c r="L8" s="71"/>
    </row>
    <row r="9" spans="1:12" ht="12.75">
      <c r="A9" s="51" t="s">
        <v>428</v>
      </c>
      <c r="B9" s="88" t="s">
        <v>400</v>
      </c>
      <c r="C9" s="88" t="s">
        <v>401</v>
      </c>
      <c r="D9" s="88" t="s">
        <v>402</v>
      </c>
      <c r="E9" s="36" t="str">
        <f>"0,7176"</f>
        <v>0,7176</v>
      </c>
      <c r="F9" s="88" t="s">
        <v>14</v>
      </c>
      <c r="G9" s="88" t="s">
        <v>73</v>
      </c>
      <c r="H9" s="51" t="s">
        <v>158</v>
      </c>
      <c r="I9" s="51" t="s">
        <v>471</v>
      </c>
      <c r="J9" s="126">
        <v>1522.5</v>
      </c>
      <c r="K9" s="51" t="str">
        <f>"1092,6221"</f>
        <v>1092,6221</v>
      </c>
      <c r="L9" s="88" t="s">
        <v>349</v>
      </c>
    </row>
    <row r="10" spans="2:12" ht="12.75">
      <c r="B10" s="37"/>
      <c r="C10" s="37"/>
      <c r="D10" s="37"/>
      <c r="E10" s="37"/>
      <c r="F10" s="37"/>
      <c r="G10" s="71"/>
      <c r="H10" s="37"/>
      <c r="I10" s="37"/>
      <c r="J10" s="127"/>
      <c r="K10" s="37"/>
      <c r="L10" s="71"/>
    </row>
    <row r="11" spans="2:12" ht="15.75">
      <c r="B11" s="133" t="s">
        <v>39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71"/>
    </row>
    <row r="12" spans="1:12" ht="12.75">
      <c r="A12" s="49" t="s">
        <v>428</v>
      </c>
      <c r="B12" s="123" t="s">
        <v>403</v>
      </c>
      <c r="C12" s="53" t="s">
        <v>235</v>
      </c>
      <c r="D12" s="53" t="s">
        <v>404</v>
      </c>
      <c r="E12" s="38" t="str">
        <f>"0,6451"</f>
        <v>0,6451</v>
      </c>
      <c r="F12" s="53" t="s">
        <v>14</v>
      </c>
      <c r="G12" s="53" t="s">
        <v>15</v>
      </c>
      <c r="H12" s="49" t="s">
        <v>33</v>
      </c>
      <c r="I12" s="49" t="s">
        <v>472</v>
      </c>
      <c r="J12" s="128">
        <v>2392.5</v>
      </c>
      <c r="K12" s="49" t="str">
        <f>"1543,4017"</f>
        <v>1543,4017</v>
      </c>
      <c r="L12" s="53" t="s">
        <v>478</v>
      </c>
    </row>
    <row r="13" spans="1:12" ht="12.75">
      <c r="A13" s="50" t="s">
        <v>430</v>
      </c>
      <c r="B13" s="124" t="s">
        <v>405</v>
      </c>
      <c r="C13" s="89" t="s">
        <v>406</v>
      </c>
      <c r="D13" s="89" t="s">
        <v>407</v>
      </c>
      <c r="E13" s="39" t="str">
        <f>"0,6578"</f>
        <v>0,6578</v>
      </c>
      <c r="F13" s="89" t="s">
        <v>14</v>
      </c>
      <c r="G13" s="89" t="s">
        <v>15</v>
      </c>
      <c r="H13" s="50" t="s">
        <v>408</v>
      </c>
      <c r="I13" s="50" t="s">
        <v>473</v>
      </c>
      <c r="J13" s="129">
        <v>2240</v>
      </c>
      <c r="K13" s="50" t="str">
        <f>"1473,4720"</f>
        <v>1473,4720</v>
      </c>
      <c r="L13" s="89" t="s">
        <v>359</v>
      </c>
    </row>
    <row r="14" spans="2:12" ht="12.75">
      <c r="B14" s="37"/>
      <c r="C14" s="37"/>
      <c r="D14" s="37"/>
      <c r="E14" s="37"/>
      <c r="F14" s="37"/>
      <c r="G14" s="71"/>
      <c r="H14" s="37"/>
      <c r="I14" s="37"/>
      <c r="J14" s="127"/>
      <c r="K14" s="37"/>
      <c r="L14" s="71"/>
    </row>
    <row r="15" spans="2:12" ht="15.75">
      <c r="B15" s="133" t="s">
        <v>52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71"/>
    </row>
    <row r="16" spans="1:12" ht="12.75">
      <c r="A16" s="49" t="s">
        <v>428</v>
      </c>
      <c r="B16" s="123" t="s">
        <v>221</v>
      </c>
      <c r="C16" s="53" t="s">
        <v>222</v>
      </c>
      <c r="D16" s="53" t="s">
        <v>223</v>
      </c>
      <c r="E16" s="38" t="str">
        <f>"0,6224"</f>
        <v>0,6224</v>
      </c>
      <c r="F16" s="53" t="s">
        <v>14</v>
      </c>
      <c r="G16" s="53" t="s">
        <v>113</v>
      </c>
      <c r="H16" s="49" t="s">
        <v>409</v>
      </c>
      <c r="I16" s="49" t="s">
        <v>474</v>
      </c>
      <c r="J16" s="128">
        <v>2800</v>
      </c>
      <c r="K16" s="49" t="str">
        <f>"1742,6500"</f>
        <v>1742,6500</v>
      </c>
      <c r="L16" s="53" t="s">
        <v>349</v>
      </c>
    </row>
    <row r="17" spans="1:12" ht="12.75">
      <c r="A17" s="52" t="s">
        <v>430</v>
      </c>
      <c r="B17" s="125" t="s">
        <v>410</v>
      </c>
      <c r="C17" s="90" t="s">
        <v>411</v>
      </c>
      <c r="D17" s="90" t="s">
        <v>412</v>
      </c>
      <c r="E17" s="40" t="str">
        <f>"0,6119"</f>
        <v>0,6119</v>
      </c>
      <c r="F17" s="90" t="s">
        <v>14</v>
      </c>
      <c r="G17" s="90" t="s">
        <v>29</v>
      </c>
      <c r="H17" s="52" t="s">
        <v>413</v>
      </c>
      <c r="I17" s="52" t="s">
        <v>474</v>
      </c>
      <c r="J17" s="130">
        <v>2880</v>
      </c>
      <c r="K17" s="52" t="str">
        <f>"1762,1281"</f>
        <v>1762,1281</v>
      </c>
      <c r="L17" s="90" t="s">
        <v>349</v>
      </c>
    </row>
    <row r="18" spans="1:12" ht="12.75">
      <c r="A18" s="52" t="s">
        <v>431</v>
      </c>
      <c r="B18" s="125" t="s">
        <v>414</v>
      </c>
      <c r="C18" s="90" t="s">
        <v>415</v>
      </c>
      <c r="D18" s="90" t="s">
        <v>416</v>
      </c>
      <c r="E18" s="40" t="str">
        <f>"0,6306"</f>
        <v>0,6306</v>
      </c>
      <c r="F18" s="90" t="s">
        <v>14</v>
      </c>
      <c r="G18" s="90" t="s">
        <v>15</v>
      </c>
      <c r="H18" s="52" t="s">
        <v>409</v>
      </c>
      <c r="I18" s="52" t="s">
        <v>475</v>
      </c>
      <c r="J18" s="130">
        <v>2625</v>
      </c>
      <c r="K18" s="52" t="str">
        <f>"1655,2594"</f>
        <v>1655,2594</v>
      </c>
      <c r="L18" s="90" t="s">
        <v>349</v>
      </c>
    </row>
    <row r="19" spans="1:12" ht="12.75">
      <c r="A19" s="50" t="s">
        <v>439</v>
      </c>
      <c r="B19" s="124" t="s">
        <v>224</v>
      </c>
      <c r="C19" s="89" t="s">
        <v>225</v>
      </c>
      <c r="D19" s="89" t="s">
        <v>72</v>
      </c>
      <c r="E19" s="39" t="str">
        <f>"0,6145"</f>
        <v>0,6145</v>
      </c>
      <c r="F19" s="89" t="s">
        <v>14</v>
      </c>
      <c r="G19" s="89" t="s">
        <v>15</v>
      </c>
      <c r="H19" s="50" t="s">
        <v>413</v>
      </c>
      <c r="I19" s="50" t="s">
        <v>476</v>
      </c>
      <c r="J19" s="129">
        <v>2430</v>
      </c>
      <c r="K19" s="50" t="str">
        <f>"1493,3565"</f>
        <v>1493,3565</v>
      </c>
      <c r="L19" s="89" t="s">
        <v>479</v>
      </c>
    </row>
    <row r="20" spans="2:12" ht="12.75">
      <c r="B20" s="37"/>
      <c r="C20" s="37"/>
      <c r="D20" s="37"/>
      <c r="E20" s="37"/>
      <c r="F20" s="37"/>
      <c r="G20" s="71"/>
      <c r="H20" s="37"/>
      <c r="I20" s="37"/>
      <c r="J20" s="127"/>
      <c r="K20" s="37"/>
      <c r="L20" s="71"/>
    </row>
    <row r="21" spans="2:12" ht="15.75">
      <c r="B21" s="133" t="s">
        <v>102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71"/>
    </row>
    <row r="22" spans="1:12" ht="12.75">
      <c r="A22" s="51" t="s">
        <v>428</v>
      </c>
      <c r="B22" s="36" t="s">
        <v>417</v>
      </c>
      <c r="C22" s="88" t="s">
        <v>418</v>
      </c>
      <c r="D22" s="88" t="s">
        <v>419</v>
      </c>
      <c r="E22" s="36" t="str">
        <f>"0,5781"</f>
        <v>0,5781</v>
      </c>
      <c r="F22" s="36" t="s">
        <v>14</v>
      </c>
      <c r="G22" s="88" t="s">
        <v>213</v>
      </c>
      <c r="H22" s="51" t="s">
        <v>179</v>
      </c>
      <c r="I22" s="51" t="s">
        <v>477</v>
      </c>
      <c r="J22" s="126">
        <v>1845</v>
      </c>
      <c r="K22" s="51" t="str">
        <f>"1066,6867"</f>
        <v>1066,6867</v>
      </c>
      <c r="L22" s="88" t="s">
        <v>359</v>
      </c>
    </row>
    <row r="23" spans="2:12" ht="12.75">
      <c r="B23" s="24"/>
      <c r="C23" s="24"/>
      <c r="D23" s="24"/>
      <c r="E23" s="24"/>
      <c r="F23" s="24"/>
      <c r="G23" s="71"/>
      <c r="H23" s="24"/>
      <c r="I23" s="24"/>
      <c r="K23" s="24"/>
      <c r="L23" s="71"/>
    </row>
    <row r="24" spans="2:12" ht="12.75">
      <c r="B24" s="24"/>
      <c r="C24" s="24"/>
      <c r="D24" s="24"/>
      <c r="E24" s="24"/>
      <c r="F24" s="24"/>
      <c r="G24" s="71"/>
      <c r="H24" s="24"/>
      <c r="I24" s="24"/>
      <c r="K24" s="24"/>
      <c r="L24" s="71"/>
    </row>
    <row r="25" spans="2:12" ht="18">
      <c r="B25" s="30" t="s">
        <v>123</v>
      </c>
      <c r="C25" s="30"/>
      <c r="D25" s="24"/>
      <c r="E25" s="24"/>
      <c r="F25" s="24"/>
      <c r="G25" s="71"/>
      <c r="H25" s="24"/>
      <c r="I25" s="24"/>
      <c r="K25" s="24"/>
      <c r="L25" s="71"/>
    </row>
    <row r="26" spans="2:12" ht="12.75">
      <c r="B26" s="24"/>
      <c r="C26" s="24"/>
      <c r="D26" s="24"/>
      <c r="E26" s="24"/>
      <c r="F26" s="24"/>
      <c r="G26" s="71"/>
      <c r="H26" s="24"/>
      <c r="I26" s="24"/>
      <c r="K26" s="24"/>
      <c r="L26" s="71"/>
    </row>
    <row r="27" spans="2:12" ht="15.75">
      <c r="B27" s="31" t="s">
        <v>131</v>
      </c>
      <c r="C27" s="31"/>
      <c r="D27" s="24"/>
      <c r="E27" s="24"/>
      <c r="F27" s="24"/>
      <c r="G27" s="71"/>
      <c r="H27" s="24"/>
      <c r="I27" s="24"/>
      <c r="K27" s="24"/>
      <c r="L27" s="71"/>
    </row>
    <row r="28" spans="2:12" ht="13.5">
      <c r="B28" s="33"/>
      <c r="C28" s="34"/>
      <c r="D28" s="24"/>
      <c r="E28" s="24"/>
      <c r="F28" s="24"/>
      <c r="G28" s="71"/>
      <c r="H28" s="24"/>
      <c r="I28" s="24"/>
      <c r="K28" s="24"/>
      <c r="L28" s="71"/>
    </row>
    <row r="29" spans="1:12" ht="13.5">
      <c r="A29" s="35" t="s">
        <v>427</v>
      </c>
      <c r="B29" s="35" t="s">
        <v>126</v>
      </c>
      <c r="C29" s="35" t="s">
        <v>127</v>
      </c>
      <c r="D29" s="35" t="s">
        <v>128</v>
      </c>
      <c r="E29" s="35" t="s">
        <v>129</v>
      </c>
      <c r="F29" s="35" t="s">
        <v>130</v>
      </c>
      <c r="G29" s="71"/>
      <c r="H29" s="24"/>
      <c r="I29" s="24"/>
      <c r="K29" s="24"/>
      <c r="L29" s="71"/>
    </row>
    <row r="30" spans="1:12" ht="12.75">
      <c r="A30" s="107">
        <v>1</v>
      </c>
      <c r="B30" s="32" t="s">
        <v>410</v>
      </c>
      <c r="C30" s="37" t="s">
        <v>125</v>
      </c>
      <c r="D30" s="48" t="s">
        <v>443</v>
      </c>
      <c r="E30" s="48" t="s">
        <v>420</v>
      </c>
      <c r="F30" s="48" t="s">
        <v>421</v>
      </c>
      <c r="G30" s="71"/>
      <c r="H30" s="24"/>
      <c r="I30" s="24"/>
      <c r="K30" s="24"/>
      <c r="L30" s="71"/>
    </row>
    <row r="31" spans="1:12" ht="12.75">
      <c r="A31" s="107">
        <v>2</v>
      </c>
      <c r="B31" s="32" t="s">
        <v>221</v>
      </c>
      <c r="C31" s="37" t="s">
        <v>125</v>
      </c>
      <c r="D31" s="48" t="s">
        <v>443</v>
      </c>
      <c r="E31" s="48" t="s">
        <v>422</v>
      </c>
      <c r="F31" s="48" t="s">
        <v>423</v>
      </c>
      <c r="G31" s="71"/>
      <c r="H31" s="24"/>
      <c r="I31" s="24"/>
      <c r="K31" s="24"/>
      <c r="L31" s="71"/>
    </row>
    <row r="32" spans="1:12" ht="12.75">
      <c r="A32" s="107">
        <v>3</v>
      </c>
      <c r="B32" s="32" t="s">
        <v>414</v>
      </c>
      <c r="C32" s="37" t="s">
        <v>125</v>
      </c>
      <c r="D32" s="48" t="s">
        <v>443</v>
      </c>
      <c r="E32" s="48" t="s">
        <v>424</v>
      </c>
      <c r="F32" s="48" t="s">
        <v>425</v>
      </c>
      <c r="G32" s="71"/>
      <c r="H32" s="24"/>
      <c r="I32" s="24"/>
      <c r="K32" s="24"/>
      <c r="L32" s="71"/>
    </row>
    <row r="33" spans="7:12" ht="12.75">
      <c r="G33" s="71"/>
      <c r="H33" s="24"/>
      <c r="I33" s="24"/>
      <c r="K33" s="24"/>
      <c r="L33" s="71"/>
    </row>
    <row r="34" spans="7:12" ht="12.75">
      <c r="G34" s="71"/>
      <c r="H34" s="24"/>
      <c r="I34" s="24"/>
      <c r="K34" s="24"/>
      <c r="L34" s="71"/>
    </row>
    <row r="35" spans="7:12" ht="12.75">
      <c r="G35" s="71"/>
      <c r="H35" s="24"/>
      <c r="I35" s="24"/>
      <c r="K35" s="24"/>
      <c r="L35" s="71"/>
    </row>
    <row r="36" spans="7:12" ht="12.75">
      <c r="G36" s="71"/>
      <c r="H36" s="24"/>
      <c r="I36" s="24"/>
      <c r="K36" s="24"/>
      <c r="L36" s="71"/>
    </row>
    <row r="37" spans="7:12" ht="12.75">
      <c r="G37" s="71"/>
      <c r="H37" s="24"/>
      <c r="I37" s="24"/>
      <c r="K37" s="24"/>
      <c r="L37" s="71"/>
    </row>
    <row r="38" spans="7:12" ht="12.75">
      <c r="G38" s="71"/>
      <c r="H38" s="24"/>
      <c r="I38" s="24"/>
      <c r="K38" s="24"/>
      <c r="L38" s="71"/>
    </row>
    <row r="39" spans="7:12" ht="12.75">
      <c r="G39" s="71"/>
      <c r="H39" s="24"/>
      <c r="I39" s="24"/>
      <c r="K39" s="24"/>
      <c r="L39" s="71"/>
    </row>
    <row r="40" spans="7:12" ht="12.75">
      <c r="G40" s="71"/>
      <c r="H40" s="24"/>
      <c r="I40" s="24"/>
      <c r="K40" s="24"/>
      <c r="L40" s="71"/>
    </row>
    <row r="41" spans="7:12" ht="12.75">
      <c r="G41" s="71"/>
      <c r="H41" s="24"/>
      <c r="I41" s="24"/>
      <c r="K41" s="24"/>
      <c r="L41" s="71"/>
    </row>
    <row r="42" spans="7:12" ht="12.75">
      <c r="G42" s="71"/>
      <c r="H42" s="24"/>
      <c r="I42" s="24"/>
      <c r="K42" s="24"/>
      <c r="L42" s="71"/>
    </row>
  </sheetData>
  <sheetProtection/>
  <mergeCells count="17"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B21:K21"/>
    <mergeCell ref="K3:K4"/>
    <mergeCell ref="L3:L4"/>
    <mergeCell ref="B5:K5"/>
    <mergeCell ref="B8:K8"/>
    <mergeCell ref="B11:K11"/>
    <mergeCell ref="B15:K15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13" sqref="G13"/>
    </sheetView>
  </sheetViews>
  <sheetFormatPr defaultColWidth="8.75390625" defaultRowHeight="12.75"/>
  <cols>
    <col min="1" max="4" width="8.75390625" style="0" customWidth="1"/>
    <col min="5" max="5" width="12.875" style="0" customWidth="1"/>
  </cols>
  <sheetData>
    <row r="1" spans="1:5" ht="28.5">
      <c r="A1" s="162" t="s">
        <v>496</v>
      </c>
      <c r="B1" s="163"/>
      <c r="C1" s="163"/>
      <c r="D1" s="163"/>
      <c r="E1" s="164"/>
    </row>
    <row r="2" spans="1:5" ht="12" customHeight="1">
      <c r="A2" s="165"/>
      <c r="B2" s="166"/>
      <c r="C2" s="166"/>
      <c r="D2" s="166"/>
      <c r="E2" s="167"/>
    </row>
    <row r="3" spans="1:5" ht="12.75">
      <c r="A3" s="168" t="s">
        <v>498</v>
      </c>
      <c r="B3" s="169"/>
      <c r="C3" s="169"/>
      <c r="D3" s="169"/>
      <c r="E3" s="170"/>
    </row>
    <row r="4" spans="1:5" ht="12.75">
      <c r="A4" s="171" t="s">
        <v>497</v>
      </c>
      <c r="B4" s="172"/>
      <c r="C4" s="172"/>
      <c r="D4" s="172"/>
      <c r="E4" s="167"/>
    </row>
    <row r="5" spans="1:5" ht="12.75">
      <c r="A5" s="171" t="s">
        <v>500</v>
      </c>
      <c r="B5" s="172"/>
      <c r="C5" s="172"/>
      <c r="D5" s="172"/>
      <c r="E5" s="167"/>
    </row>
    <row r="6" spans="1:5" ht="12.75">
      <c r="A6" s="171" t="s">
        <v>502</v>
      </c>
      <c r="B6" s="172"/>
      <c r="C6" s="172"/>
      <c r="D6" s="172"/>
      <c r="E6" s="167"/>
    </row>
    <row r="7" spans="1:5" ht="12.75">
      <c r="A7" s="171" t="s">
        <v>499</v>
      </c>
      <c r="B7" s="172"/>
      <c r="C7" s="172"/>
      <c r="D7" s="172"/>
      <c r="E7" s="167"/>
    </row>
    <row r="8" spans="1:5" ht="12.75">
      <c r="A8" s="171" t="s">
        <v>501</v>
      </c>
      <c r="B8" s="172"/>
      <c r="C8" s="172"/>
      <c r="D8" s="172"/>
      <c r="E8" s="167"/>
    </row>
    <row r="9" spans="1:5" ht="13.5" thickBot="1">
      <c r="A9" s="173"/>
      <c r="B9" s="174"/>
      <c r="C9" s="174"/>
      <c r="D9" s="174"/>
      <c r="E9" s="1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2016-11-29T09:26:37Z</dcterms:modified>
  <cp:category/>
  <cp:version/>
  <cp:contentType/>
  <cp:contentStatus/>
</cp:coreProperties>
</file>