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90" firstSheet="9" activeTab="10"/>
  </bookViews>
  <sheets>
    <sheet name="Пауэрлифтинг в бинтах ДК" sheetId="1" r:id="rId1"/>
    <sheet name="Пауэрлифтинг в бинтах" sheetId="2" r:id="rId2"/>
    <sheet name="Пауэрлифтинг без экипировки ДК" sheetId="3" r:id="rId3"/>
    <sheet name="Пауэрлифтинг без экипировки" sheetId="4" r:id="rId4"/>
    <sheet name="Жим лежа в однослойной экип ДК" sheetId="5" r:id="rId5"/>
    <sheet name="Жим лежа без экипировки ДК" sheetId="6" r:id="rId6"/>
    <sheet name="Жим лежа без экипировки" sheetId="7" r:id="rId7"/>
    <sheet name="Присед без экипировки" sheetId="8" r:id="rId8"/>
    <sheet name="Силовое двоеборье без экип ДК" sheetId="9" r:id="rId9"/>
    <sheet name="Силовое двоеборье без экипировк" sheetId="10" r:id="rId10"/>
    <sheet name="Становая тяга без экипировки ДК" sheetId="11" r:id="rId11"/>
    <sheet name="Становая тяга без экипировки" sheetId="12" r:id="rId12"/>
    <sheet name="Пауэрспорт ДК" sheetId="13" r:id="rId13"/>
    <sheet name="Пауэрспорт" sheetId="14" r:id="rId14"/>
    <sheet name="Многоповторный жим Любители ДК" sheetId="15" r:id="rId15"/>
    <sheet name="Многоповторный жим Любители " sheetId="16" r:id="rId16"/>
    <sheet name="Жим на максимум Любители ДК" sheetId="17" r:id="rId17"/>
    <sheet name="Жим на максимум Любители " sheetId="18" r:id="rId18"/>
    <sheet name=" Армейский жим многоповторный" sheetId="19" r:id="rId19"/>
    <sheet name=" Армейский жим на максимум" sheetId="20" r:id="rId20"/>
    <sheet name="ЖД Армейский жим" sheetId="21" r:id="rId21"/>
    <sheet name="ЖД Софт однослой жим на макс" sheetId="22" r:id="rId22"/>
    <sheet name="ЖД Военный жим на макс" sheetId="23" r:id="rId23"/>
    <sheet name="ЖД любители ДК" sheetId="24" r:id="rId24"/>
    <sheet name="ЖД любители" sheetId="25" r:id="rId25"/>
    <sheet name="Жим в облегченной экипировке ДК" sheetId="26" r:id="rId26"/>
    <sheet name="Жим в облегченной экипировке " sheetId="27" r:id="rId27"/>
    <sheet name="Народный жим 1_2 веса ДК" sheetId="28" r:id="rId28"/>
    <sheet name="Народный жим 1_2 веса " sheetId="29" r:id="rId29"/>
    <sheet name="Народный жим 1 вес ДК " sheetId="30" r:id="rId30"/>
    <sheet name="Народный жим 1 вес " sheetId="31" r:id="rId31"/>
    <sheet name="Судейская коллегия" sheetId="32" r:id="rId32"/>
    <sheet name="Командный зачет" sheetId="33" r:id="rId33"/>
  </sheets>
  <definedNames>
    <definedName name="_xlnm._FilterDatabase" localSheetId="15" hidden="1">'Многоповторный жим Любители '!$A$13:$L$14</definedName>
  </definedNames>
  <calcPr fullCalcOnLoad="1" refMode="R1C1"/>
</workbook>
</file>

<file path=xl/sharedStrings.xml><?xml version="1.0" encoding="utf-8"?>
<sst xmlns="http://schemas.openxmlformats.org/spreadsheetml/2006/main" count="2499" uniqueCount="727">
  <si>
    <t>ФИО</t>
  </si>
  <si>
    <t>Жим</t>
  </si>
  <si>
    <t>Сумма</t>
  </si>
  <si>
    <t>Тренер</t>
  </si>
  <si>
    <t>Очки</t>
  </si>
  <si>
    <t>Команда</t>
  </si>
  <si>
    <t>Рек</t>
  </si>
  <si>
    <t>Город/область</t>
  </si>
  <si>
    <t xml:space="preserve">Абсолютный зачёт </t>
  </si>
  <si>
    <t>Жим макс кг.</t>
  </si>
  <si>
    <t>Жим мн. повт.</t>
  </si>
  <si>
    <t>Вес</t>
  </si>
  <si>
    <t>Повторы</t>
  </si>
  <si>
    <t>Wilks</t>
  </si>
  <si>
    <t>ВЕСОВАЯ КАТЕГОРИЯ   90</t>
  </si>
  <si>
    <t>Смирнов Александр</t>
  </si>
  <si>
    <t xml:space="preserve">Железная семья </t>
  </si>
  <si>
    <t xml:space="preserve">Рыбинск/Ярославская область </t>
  </si>
  <si>
    <t>170,0</t>
  </si>
  <si>
    <t>175,0</t>
  </si>
  <si>
    <t>90,0</t>
  </si>
  <si>
    <t>Андреев Михаил</t>
  </si>
  <si>
    <t>140,0</t>
  </si>
  <si>
    <t>150,0</t>
  </si>
  <si>
    <t>160,0</t>
  </si>
  <si>
    <t>ВЕСОВАЯ КАТЕГОРИЯ   100</t>
  </si>
  <si>
    <t>Юрков Вадим</t>
  </si>
  <si>
    <t xml:space="preserve">Ярославль/Ярославская область </t>
  </si>
  <si>
    <t>100,0</t>
  </si>
  <si>
    <t>ВЕСОВАЯ КАТЕГОРИЯ   110</t>
  </si>
  <si>
    <t>Кузьмин Дмитрий</t>
  </si>
  <si>
    <t xml:space="preserve">Бомба </t>
  </si>
  <si>
    <t xml:space="preserve">Кострома/Костромская область </t>
  </si>
  <si>
    <t>180,0</t>
  </si>
  <si>
    <t>110,0</t>
  </si>
  <si>
    <t>30,0</t>
  </si>
  <si>
    <t>Кузьминский Кирилл</t>
  </si>
  <si>
    <t>165,0</t>
  </si>
  <si>
    <t>177,5</t>
  </si>
  <si>
    <t>ВЕСОВАЯ КАТЕГОРИЯ   120</t>
  </si>
  <si>
    <t>Соловьев Иван</t>
  </si>
  <si>
    <t>220,0</t>
  </si>
  <si>
    <t>230,0</t>
  </si>
  <si>
    <t>235,0</t>
  </si>
  <si>
    <t>120,0</t>
  </si>
  <si>
    <t>Константинов Константин</t>
  </si>
  <si>
    <t xml:space="preserve">Дедовск/Московская область </t>
  </si>
  <si>
    <t>172,5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</si>
  <si>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</si>
  <si>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</si>
  <si>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</si>
  <si>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</si>
  <si>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</si>
  <si>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</si>
  <si>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Wilks /Залутский</t>
  </si>
  <si>
    <t>276,0</t>
  </si>
  <si>
    <t>160,7976</t>
  </si>
  <si>
    <t>208,0</t>
  </si>
  <si>
    <t>135,0128</t>
  </si>
  <si>
    <t>210,0</t>
  </si>
  <si>
    <t>125,5380</t>
  </si>
  <si>
    <t>Wilks/Залутский</t>
  </si>
  <si>
    <t xml:space="preserve">Сборная Иваново </t>
  </si>
  <si>
    <t xml:space="preserve">Иваново/Ивановская область </t>
  </si>
  <si>
    <t>85,0</t>
  </si>
  <si>
    <t>ВЕСОВАЯ КАТЕГОРИЯ   60</t>
  </si>
  <si>
    <t>Воропай Елена</t>
  </si>
  <si>
    <t>45,0</t>
  </si>
  <si>
    <t>52,5</t>
  </si>
  <si>
    <t>ВЕСОВАЯ КАТЕГОРИЯ   70</t>
  </si>
  <si>
    <t>75,0</t>
  </si>
  <si>
    <t>35,0</t>
  </si>
  <si>
    <t>Сурков Дмитрий</t>
  </si>
  <si>
    <t>95,0</t>
  </si>
  <si>
    <t>102,5</t>
  </si>
  <si>
    <t>105,0</t>
  </si>
  <si>
    <t>60,0</t>
  </si>
  <si>
    <t>ВЕСОВАЯ КАТЕГОРИЯ   80</t>
  </si>
  <si>
    <t>Уханов Илья</t>
  </si>
  <si>
    <t>115,0</t>
  </si>
  <si>
    <t>122,5</t>
  </si>
  <si>
    <t>80,0</t>
  </si>
  <si>
    <t>Иванов Денис</t>
  </si>
  <si>
    <t>155,0</t>
  </si>
  <si>
    <t>162,5</t>
  </si>
  <si>
    <t>Астафуров Иван</t>
  </si>
  <si>
    <t>145,0</t>
  </si>
  <si>
    <t>ВЕСОВАЯ КАТЕГОРИЯ   130+</t>
  </si>
  <si>
    <t>Шпагин Максим</t>
  </si>
  <si>
    <t xml:space="preserve">NNPT </t>
  </si>
  <si>
    <t>185,0</t>
  </si>
  <si>
    <t>190,0</t>
  </si>
  <si>
    <t>130,0</t>
  </si>
  <si>
    <t>138,5</t>
  </si>
  <si>
    <t>Лазарев Александр</t>
  </si>
  <si>
    <t>200,0</t>
  </si>
  <si>
    <t>Результат</t>
  </si>
  <si>
    <t>Смекалов Максим</t>
  </si>
  <si>
    <t>Фотин Александр</t>
  </si>
  <si>
    <t>280,0</t>
  </si>
  <si>
    <t>290,0</t>
  </si>
  <si>
    <t>300,0</t>
  </si>
  <si>
    <t>Хамилов Александр</t>
  </si>
  <si>
    <t xml:space="preserve">Аркуда </t>
  </si>
  <si>
    <t>70,0</t>
  </si>
  <si>
    <t>Тоннаж</t>
  </si>
  <si>
    <t>Антошин Максим</t>
  </si>
  <si>
    <t>40,0</t>
  </si>
  <si>
    <t>42,5</t>
  </si>
  <si>
    <t>Смекалов Валерий</t>
  </si>
  <si>
    <t>192,5</t>
  </si>
  <si>
    <t xml:space="preserve">Юноши </t>
  </si>
  <si>
    <t>56,7545</t>
  </si>
  <si>
    <t>131,4825</t>
  </si>
  <si>
    <t>120,6205</t>
  </si>
  <si>
    <t>113,5925</t>
  </si>
  <si>
    <t>Соколов Даниил</t>
  </si>
  <si>
    <t>77,5</t>
  </si>
  <si>
    <t>Хорев Роман</t>
  </si>
  <si>
    <t>Мохов Игорь</t>
  </si>
  <si>
    <t>Соловьева Ксения</t>
  </si>
  <si>
    <t xml:space="preserve">Пошехонье/Ярославская область </t>
  </si>
  <si>
    <t>Потехина Екатерина</t>
  </si>
  <si>
    <t>Смирнов Евгений</t>
  </si>
  <si>
    <t>Смирнова Полина</t>
  </si>
  <si>
    <t>25,0</t>
  </si>
  <si>
    <t>875,0</t>
  </si>
  <si>
    <t>Место</t>
  </si>
  <si>
    <t>Фотин А.</t>
  </si>
  <si>
    <t>Ксенофонтов Р.</t>
  </si>
  <si>
    <t xml:space="preserve">Нижний Новгород/Нижегородская область  </t>
  </si>
  <si>
    <t>Потехин К.</t>
  </si>
  <si>
    <t>Митин П.</t>
  </si>
  <si>
    <t>1</t>
  </si>
  <si>
    <t>2</t>
  </si>
  <si>
    <t>3</t>
  </si>
  <si>
    <t>Соловьев А.</t>
  </si>
  <si>
    <t>67,5</t>
  </si>
  <si>
    <t>Кинг Амира</t>
  </si>
  <si>
    <t>57,5</t>
  </si>
  <si>
    <t>55,0</t>
  </si>
  <si>
    <t>Gloss</t>
  </si>
  <si>
    <t>Волжский Алексей</t>
  </si>
  <si>
    <t>250,0</t>
  </si>
  <si>
    <t>Гусев Роман</t>
  </si>
  <si>
    <t>152,5</t>
  </si>
  <si>
    <t>270,0</t>
  </si>
  <si>
    <t xml:space="preserve">Нижний Новгород/Нижегородская область </t>
  </si>
  <si>
    <t>Шуров Антон</t>
  </si>
  <si>
    <t>50,0</t>
  </si>
  <si>
    <t>960,0</t>
  </si>
  <si>
    <t xml:space="preserve">Соловьев А. </t>
  </si>
  <si>
    <t>Макевнин Андрей</t>
  </si>
  <si>
    <t>125,0</t>
  </si>
  <si>
    <t>Карелов Михаил</t>
  </si>
  <si>
    <t>82,5</t>
  </si>
  <si>
    <t>Корсков Александр</t>
  </si>
  <si>
    <t>Кузнецов Олег</t>
  </si>
  <si>
    <t>Авдулов Евгений</t>
  </si>
  <si>
    <t>Ирин Дмитрий</t>
  </si>
  <si>
    <t>Стасюк Игорь</t>
  </si>
  <si>
    <t>Варивода Дмитрий</t>
  </si>
  <si>
    <t>117,5</t>
  </si>
  <si>
    <t xml:space="preserve">Суздаль/Владимирская область </t>
  </si>
  <si>
    <t>ВЕСОВАЯ КАТЕГОРИЯ   125</t>
  </si>
  <si>
    <t>107,5</t>
  </si>
  <si>
    <t xml:space="preserve">Воины Света </t>
  </si>
  <si>
    <t xml:space="preserve">ФК Гараж </t>
  </si>
  <si>
    <t xml:space="preserve">Вологда/Вологодская область </t>
  </si>
  <si>
    <t>72,5</t>
  </si>
  <si>
    <t>ВЕСОВАЯ КАТЕГОРИЯ   75</t>
  </si>
  <si>
    <t>Горшков Павел</t>
  </si>
  <si>
    <t>Соловьев Александр</t>
  </si>
  <si>
    <t>Хохалев Семен</t>
  </si>
  <si>
    <t>Григорьев Константин</t>
  </si>
  <si>
    <t>Разумков Александр</t>
  </si>
  <si>
    <t>52,0</t>
  </si>
  <si>
    <t>Хитров Сергей</t>
  </si>
  <si>
    <t>97,5</t>
  </si>
  <si>
    <t xml:space="preserve">5-Звезд </t>
  </si>
  <si>
    <t>Смирнов Е.</t>
  </si>
  <si>
    <t>32,5</t>
  </si>
  <si>
    <t>ВЕСОВАЯ КАТЕГОРИЯ   52</t>
  </si>
  <si>
    <t>ВЕСОВАЯ КАТЕГОРИЯ   130</t>
  </si>
  <si>
    <t>Лихачёва Татьяна</t>
  </si>
  <si>
    <t>Ванюшечкин Сергей</t>
  </si>
  <si>
    <t>Дегтярева Юля</t>
  </si>
  <si>
    <t>47,5</t>
  </si>
  <si>
    <t>27,5</t>
  </si>
  <si>
    <t>Армейский жим</t>
  </si>
  <si>
    <t>Сакович Олег</t>
  </si>
  <si>
    <t>Ксенофонтов Роман</t>
  </si>
  <si>
    <t>Наумов Владимир</t>
  </si>
  <si>
    <t>130+</t>
  </si>
  <si>
    <t xml:space="preserve">Зеленоградск/Калининградская область </t>
  </si>
  <si>
    <t>Зеленоградск/Калининградская область</t>
  </si>
  <si>
    <t>Лученецкая Елена</t>
  </si>
  <si>
    <t>Жильцов Николай</t>
  </si>
  <si>
    <t xml:space="preserve">Алферов Е. </t>
  </si>
  <si>
    <t>Белков Дмитрий</t>
  </si>
  <si>
    <t>Присед</t>
  </si>
  <si>
    <t>320,0</t>
  </si>
  <si>
    <t>167,5</t>
  </si>
  <si>
    <t>Сотов Алексей</t>
  </si>
  <si>
    <t>Бурдаков Сергей</t>
  </si>
  <si>
    <t>135,0</t>
  </si>
  <si>
    <t>Пашков Игорь</t>
  </si>
  <si>
    <t>Тяга</t>
  </si>
  <si>
    <t>Макаров Александр</t>
  </si>
  <si>
    <t>Шипунов Сергей</t>
  </si>
  <si>
    <t>Белов Александр</t>
  </si>
  <si>
    <t>Тихонов Евгений</t>
  </si>
  <si>
    <t>Пикалов Алексй</t>
  </si>
  <si>
    <t>Пьянов Денис</t>
  </si>
  <si>
    <t>Дмитриева Дарья</t>
  </si>
  <si>
    <t>Бредихина Наталья</t>
  </si>
  <si>
    <t xml:space="preserve">Ростов/Ярославская область </t>
  </si>
  <si>
    <t xml:space="preserve">Импульс </t>
  </si>
  <si>
    <t>245,0</t>
  </si>
  <si>
    <t>Сурков Сергей</t>
  </si>
  <si>
    <t>225,0</t>
  </si>
  <si>
    <t>Савинов Евгений</t>
  </si>
  <si>
    <t>282,5</t>
  </si>
  <si>
    <t>Гуркин Дмитрий</t>
  </si>
  <si>
    <t>Молодцов Николай</t>
  </si>
  <si>
    <t>260,0</t>
  </si>
  <si>
    <t>Кольцов Павел</t>
  </si>
  <si>
    <t>240,0</t>
  </si>
  <si>
    <t>275,0</t>
  </si>
  <si>
    <t>265,0</t>
  </si>
  <si>
    <t xml:space="preserve">Родники/Ивановская область </t>
  </si>
  <si>
    <t>215,0</t>
  </si>
  <si>
    <t>Мартынов Александр</t>
  </si>
  <si>
    <t>Сапожков Денис</t>
  </si>
  <si>
    <t>Нурутдинов Табриз</t>
  </si>
  <si>
    <t>Белозёров Сергей</t>
  </si>
  <si>
    <t>Груздева Галина</t>
  </si>
  <si>
    <t>Карпова Ольга</t>
  </si>
  <si>
    <t>Соловьева Екатерина</t>
  </si>
  <si>
    <t>182,5</t>
  </si>
  <si>
    <t>247,5</t>
  </si>
  <si>
    <t>242,5</t>
  </si>
  <si>
    <t>205,0</t>
  </si>
  <si>
    <t>132,5</t>
  </si>
  <si>
    <t>87,5</t>
  </si>
  <si>
    <t>Русаков Виталий</t>
  </si>
  <si>
    <t>Гончаров Олег</t>
  </si>
  <si>
    <t>Раимов Рустам</t>
  </si>
  <si>
    <t>262,5</t>
  </si>
  <si>
    <t xml:space="preserve">Владимир/Владимирская область </t>
  </si>
  <si>
    <t>285,0</t>
  </si>
  <si>
    <t>Дурандин Сергей</t>
  </si>
  <si>
    <t>Иванов Николай</t>
  </si>
  <si>
    <t>Дурнов Павел</t>
  </si>
  <si>
    <t>565,0</t>
  </si>
  <si>
    <t>Черноситов Юлий</t>
  </si>
  <si>
    <t>492,5</t>
  </si>
  <si>
    <t>Карпов Евгений</t>
  </si>
  <si>
    <t>642,5</t>
  </si>
  <si>
    <t>Губанов Юрий</t>
  </si>
  <si>
    <t>Пожогина Анастасия</t>
  </si>
  <si>
    <t>Чижова Ирина</t>
  </si>
  <si>
    <t>195,0</t>
  </si>
  <si>
    <t>147,5</t>
  </si>
  <si>
    <t>212,5</t>
  </si>
  <si>
    <t xml:space="preserve">Тутаев/Ярославская область </t>
  </si>
  <si>
    <t>157,5</t>
  </si>
  <si>
    <t>217,5</t>
  </si>
  <si>
    <t>112,5</t>
  </si>
  <si>
    <t>92,5</t>
  </si>
  <si>
    <t>127,5</t>
  </si>
  <si>
    <t>65,0</t>
  </si>
  <si>
    <t>62,5</t>
  </si>
  <si>
    <t>Гусев Михаил</t>
  </si>
  <si>
    <t>Радаев Виталий</t>
  </si>
  <si>
    <t>Лавров Дмитрий</t>
  </si>
  <si>
    <t>Бурнашов Владимир</t>
  </si>
  <si>
    <t>617,5</t>
  </si>
  <si>
    <t>Постаногов Геннадий</t>
  </si>
  <si>
    <t>775,0</t>
  </si>
  <si>
    <t>Шаров Александр</t>
  </si>
  <si>
    <t>810,0</t>
  </si>
  <si>
    <t>Кузьмин Юрий</t>
  </si>
  <si>
    <t>Аксенин Александр</t>
  </si>
  <si>
    <t xml:space="preserve">Волжский А. </t>
  </si>
  <si>
    <t xml:space="preserve">Навашино/Нижегородская область </t>
  </si>
  <si>
    <t>255,0</t>
  </si>
  <si>
    <t>227,5</t>
  </si>
  <si>
    <t>207,5</t>
  </si>
  <si>
    <t>Хранин Сергей</t>
  </si>
  <si>
    <t>Туликов Максим</t>
  </si>
  <si>
    <t>Старостенко Роман</t>
  </si>
  <si>
    <t>Кочетков Илья</t>
  </si>
  <si>
    <t>Жогов Владимир</t>
  </si>
  <si>
    <t>Мисаилов Николай</t>
  </si>
  <si>
    <t>Мифтахов Рашит</t>
  </si>
  <si>
    <t>Сычак Денис</t>
  </si>
  <si>
    <t>Степанов Сергей</t>
  </si>
  <si>
    <t>Гусев Сергей</t>
  </si>
  <si>
    <t>Айбабин Александр</t>
  </si>
  <si>
    <t>Филатов Александр</t>
  </si>
  <si>
    <t>Мымрин Михаил</t>
  </si>
  <si>
    <t>Стрельцов Кирилл</t>
  </si>
  <si>
    <t>Минасян Артур</t>
  </si>
  <si>
    <t>Косарев Андрей</t>
  </si>
  <si>
    <t>Белов Михаил</t>
  </si>
  <si>
    <t>Шибаев Илья</t>
  </si>
  <si>
    <t>Соков Денис</t>
  </si>
  <si>
    <t>197,5</t>
  </si>
  <si>
    <t>Самохвалов Роман</t>
  </si>
  <si>
    <t>Коломейчук Павел</t>
  </si>
  <si>
    <t>Воронов Юрий</t>
  </si>
  <si>
    <t>Алехин Никита</t>
  </si>
  <si>
    <t>Пухова Анна</t>
  </si>
  <si>
    <t>Хорхорина Анастасия</t>
  </si>
  <si>
    <t xml:space="preserve">Комсомольск/Ивановская область </t>
  </si>
  <si>
    <t>142,5</t>
  </si>
  <si>
    <t xml:space="preserve">Гаврилов-Ям/Ярославская область </t>
  </si>
  <si>
    <t>137,5</t>
  </si>
  <si>
    <t xml:space="preserve">Фурманов/Ивановская область </t>
  </si>
  <si>
    <t>ВЕСОВАЯ КАТЕГОРИЯ   56</t>
  </si>
  <si>
    <t>Подольский Артур</t>
  </si>
  <si>
    <t>Григорьев Денис</t>
  </si>
  <si>
    <t>121,8315</t>
  </si>
  <si>
    <t>Попов Сергей</t>
  </si>
  <si>
    <t>122,1870</t>
  </si>
  <si>
    <t>133,9980</t>
  </si>
  <si>
    <t>Смурова Анна</t>
  </si>
  <si>
    <t>Гуркин Д.</t>
  </si>
  <si>
    <t>Клюшин Н.</t>
  </si>
  <si>
    <t>Налимов В.</t>
  </si>
  <si>
    <t>Алферов Е.</t>
  </si>
  <si>
    <t>Сакович О.</t>
  </si>
  <si>
    <t>Климантьев Владислав</t>
  </si>
  <si>
    <t>Желтушко Виктор</t>
  </si>
  <si>
    <t xml:space="preserve">Парфеньево/Костромская область </t>
  </si>
  <si>
    <t xml:space="preserve">Клюшин Н. </t>
  </si>
  <si>
    <t>Рыбинск/Ярославская область</t>
  </si>
  <si>
    <t xml:space="preserve">Рычагов С. </t>
  </si>
  <si>
    <t>Джохар Т.</t>
  </si>
  <si>
    <t xml:space="preserve">Cамостоятельно </t>
  </si>
  <si>
    <t xml:space="preserve">Лично </t>
  </si>
  <si>
    <t>4</t>
  </si>
  <si>
    <t>Самостоятельно</t>
  </si>
  <si>
    <t xml:space="preserve">Самостоятельно </t>
  </si>
  <si>
    <t>Бурнашов В.</t>
  </si>
  <si>
    <t>Аверьянов А.</t>
  </si>
  <si>
    <t>Жарков Д.</t>
  </si>
  <si>
    <t>Аренкин И.</t>
  </si>
  <si>
    <t>Варивода Д.</t>
  </si>
  <si>
    <t>Хитров С.</t>
  </si>
  <si>
    <t>5</t>
  </si>
  <si>
    <t>Уразов А.</t>
  </si>
  <si>
    <t>Длужневский С.</t>
  </si>
  <si>
    <t xml:space="preserve">Гуркин Д. </t>
  </si>
  <si>
    <t xml:space="preserve">Сакович О. </t>
  </si>
  <si>
    <t>77,7</t>
  </si>
  <si>
    <t>50,8</t>
  </si>
  <si>
    <t>73,9</t>
  </si>
  <si>
    <t>73,8</t>
  </si>
  <si>
    <t>88,8</t>
  </si>
  <si>
    <t>89,7</t>
  </si>
  <si>
    <t>99,4</t>
  </si>
  <si>
    <t>100,2</t>
  </si>
  <si>
    <t>109,5</t>
  </si>
  <si>
    <t>91,9</t>
  </si>
  <si>
    <t>93,4</t>
  </si>
  <si>
    <t>93,7</t>
  </si>
  <si>
    <t>80,9</t>
  </si>
  <si>
    <t>80,2</t>
  </si>
  <si>
    <t>66,7</t>
  </si>
  <si>
    <t>77,1</t>
  </si>
  <si>
    <t>58,6</t>
  </si>
  <si>
    <t>76,6</t>
  </si>
  <si>
    <t>81,0</t>
  </si>
  <si>
    <t>113,9</t>
  </si>
  <si>
    <t>105,3</t>
  </si>
  <si>
    <t>106,7</t>
  </si>
  <si>
    <t>93,5</t>
  </si>
  <si>
    <t>88,3</t>
  </si>
  <si>
    <t>89,6</t>
  </si>
  <si>
    <t>66,8</t>
  </si>
  <si>
    <t>Гаврилов Ям/Ярославская  область</t>
  </si>
  <si>
    <t>58,3</t>
  </si>
  <si>
    <t>54,0</t>
  </si>
  <si>
    <t>69,0</t>
  </si>
  <si>
    <t>104,9</t>
  </si>
  <si>
    <t>109,0</t>
  </si>
  <si>
    <t xml:space="preserve">Фотин А. </t>
  </si>
  <si>
    <t>73,1</t>
  </si>
  <si>
    <t>84,3</t>
  </si>
  <si>
    <t>96,5</t>
  </si>
  <si>
    <t>112,3</t>
  </si>
  <si>
    <t>123,4</t>
  </si>
  <si>
    <t>138,9</t>
  </si>
  <si>
    <t>57,8</t>
  </si>
  <si>
    <t>67,8</t>
  </si>
  <si>
    <t>59,5</t>
  </si>
  <si>
    <t>75,2</t>
  </si>
  <si>
    <t>99,1</t>
  </si>
  <si>
    <t>107,0</t>
  </si>
  <si>
    <t>87,2</t>
  </si>
  <si>
    <t>89,9</t>
  </si>
  <si>
    <t>111,8</t>
  </si>
  <si>
    <t>64,4</t>
  </si>
  <si>
    <t>Нижний Новгород/Нижегородская область</t>
  </si>
  <si>
    <t>84,0</t>
  </si>
  <si>
    <t>102,2</t>
  </si>
  <si>
    <t>108,1</t>
  </si>
  <si>
    <t>99,5</t>
  </si>
  <si>
    <t>Смирнов А.</t>
  </si>
  <si>
    <t>58,2</t>
  </si>
  <si>
    <t>61,0</t>
  </si>
  <si>
    <t>116,3</t>
  </si>
  <si>
    <t>115,5</t>
  </si>
  <si>
    <t>105,5</t>
  </si>
  <si>
    <t>99,3</t>
  </si>
  <si>
    <t>89,2</t>
  </si>
  <si>
    <t>81,3</t>
  </si>
  <si>
    <t>71,2</t>
  </si>
  <si>
    <t>31,2</t>
  </si>
  <si>
    <t>76,8</t>
  </si>
  <si>
    <t>89,5</t>
  </si>
  <si>
    <t>84,6</t>
  </si>
  <si>
    <t>97,3</t>
  </si>
  <si>
    <t>59,4</t>
  </si>
  <si>
    <t>70,6</t>
  </si>
  <si>
    <t>98,3</t>
  </si>
  <si>
    <t>120,8</t>
  </si>
  <si>
    <t>95,6</t>
  </si>
  <si>
    <t>101,6</t>
  </si>
  <si>
    <t>Долгопрудный/Московская область</t>
  </si>
  <si>
    <t>59,6</t>
  </si>
  <si>
    <t>81,6</t>
  </si>
  <si>
    <t>88,2</t>
  </si>
  <si>
    <t>84,5</t>
  </si>
  <si>
    <t>94,4</t>
  </si>
  <si>
    <t>103,4</t>
  </si>
  <si>
    <t>121,6</t>
  </si>
  <si>
    <t>113,3</t>
  </si>
  <si>
    <t>Нижний Новгород/Нижегородская  область</t>
  </si>
  <si>
    <t>99,8</t>
  </si>
  <si>
    <t>39,4</t>
  </si>
  <si>
    <t>124,7</t>
  </si>
  <si>
    <t>67,3</t>
  </si>
  <si>
    <t>93,0</t>
  </si>
  <si>
    <t>92,9</t>
  </si>
  <si>
    <t>98,0</t>
  </si>
  <si>
    <t>122.5</t>
  </si>
  <si>
    <t>342,5</t>
  </si>
  <si>
    <t>Весовая категория               Дата рождения/возраст</t>
  </si>
  <si>
    <t>Собств. вес</t>
  </si>
  <si>
    <t>0</t>
  </si>
  <si>
    <t xml:space="preserve">Москва/Московская область </t>
  </si>
  <si>
    <t xml:space="preserve">Москва/Московская область  </t>
  </si>
  <si>
    <t xml:space="preserve">Долгопрудный/Московская область </t>
  </si>
  <si>
    <t>Председатель апеляционного жюри: Длужневская Эльвира/МК г. Вологда</t>
  </si>
  <si>
    <t>Секретарь соревнований: Литвинов Дмитрий</t>
  </si>
  <si>
    <t>Судьи на помосте: Кузнецов Руслан г. Вологда, Латышев артем г. Иваново, Трапезникова Наталья/РК г. Москва, Длужневская Эльвира г. Вологда.</t>
  </si>
  <si>
    <t xml:space="preserve">Гусев Роман г. Ярославль, Потехин Кирилл г. Иваново,Вожский Алексей г. Нижний Новгород </t>
  </si>
  <si>
    <t>364,630</t>
  </si>
  <si>
    <t>345,045</t>
  </si>
  <si>
    <t>259,379</t>
  </si>
  <si>
    <t>380,653</t>
  </si>
  <si>
    <t>282,108</t>
  </si>
  <si>
    <t>326,116</t>
  </si>
  <si>
    <t>274,347</t>
  </si>
  <si>
    <t>403,618</t>
  </si>
  <si>
    <t>355,102</t>
  </si>
  <si>
    <t>333,824</t>
  </si>
  <si>
    <t>371,758</t>
  </si>
  <si>
    <t>420,593</t>
  </si>
  <si>
    <t>373,273</t>
  </si>
  <si>
    <t>382,731</t>
  </si>
  <si>
    <t>337,200</t>
  </si>
  <si>
    <t>398,349</t>
  </si>
  <si>
    <t>353,421</t>
  </si>
  <si>
    <t>392,994</t>
  </si>
  <si>
    <t>372,558</t>
  </si>
  <si>
    <t>464,292</t>
  </si>
  <si>
    <t>452,135</t>
  </si>
  <si>
    <t>114,629</t>
  </si>
  <si>
    <t>114,494</t>
  </si>
  <si>
    <t>113,354</t>
  </si>
  <si>
    <t>99,1312</t>
  </si>
  <si>
    <t>108,7660</t>
  </si>
  <si>
    <t>96,7050</t>
  </si>
  <si>
    <t>104,4750</t>
  </si>
  <si>
    <t>56,754</t>
  </si>
  <si>
    <t>113,592</t>
  </si>
  <si>
    <t>120,620</t>
  </si>
  <si>
    <t>107,604</t>
  </si>
  <si>
    <t>131,482</t>
  </si>
  <si>
    <t>1936,179</t>
  </si>
  <si>
    <t>64,910</t>
  </si>
  <si>
    <t>134,527</t>
  </si>
  <si>
    <t>165,706</t>
  </si>
  <si>
    <t>123,090</t>
  </si>
  <si>
    <t>3804,956</t>
  </si>
  <si>
    <t>5848,216</t>
  </si>
  <si>
    <t>5357,469</t>
  </si>
  <si>
    <t>6575,262</t>
  </si>
  <si>
    <t>4972,237</t>
  </si>
  <si>
    <t>6974,318</t>
  </si>
  <si>
    <t>7896,626</t>
  </si>
  <si>
    <t>6377,779</t>
  </si>
  <si>
    <t>5113,976</t>
  </si>
  <si>
    <t>7846,125</t>
  </si>
  <si>
    <t>7012,669</t>
  </si>
  <si>
    <t>10571,859</t>
  </si>
  <si>
    <t>6695,165</t>
  </si>
  <si>
    <t>56,007</t>
  </si>
  <si>
    <t>144,043</t>
  </si>
  <si>
    <t>81,968</t>
  </si>
  <si>
    <t>1427,247</t>
  </si>
  <si>
    <t>970,848</t>
  </si>
  <si>
    <t>963,112</t>
  </si>
  <si>
    <t>1557,408</t>
  </si>
  <si>
    <t>912,361</t>
  </si>
  <si>
    <t>1217,502</t>
  </si>
  <si>
    <t>1690,845</t>
  </si>
  <si>
    <t>1394,172</t>
  </si>
  <si>
    <t>1592,451</t>
  </si>
  <si>
    <t>1371,066</t>
  </si>
  <si>
    <t>1580,039</t>
  </si>
  <si>
    <t>2109,027</t>
  </si>
  <si>
    <t>1834,893</t>
  </si>
  <si>
    <t>1625,11</t>
  </si>
  <si>
    <t>1711,804</t>
  </si>
  <si>
    <t>1563,919</t>
  </si>
  <si>
    <t>860,315</t>
  </si>
  <si>
    <t>Открытый лично – командный Мастерский турнир "Кубок Ярослава Мудрого"
Становая тяга без экипировки ДК
г. Ярославль, 25 - 26 февраля 2017 г.</t>
  </si>
  <si>
    <t>Открытый лично – командный Мастерский турнир "Кубок Ярослава Мудрого"
Пауэрлифтинг в бинтах ДК
г. Ярославль, 25 - 26 февраля 2017 г.</t>
  </si>
  <si>
    <t>Открытый лично – командный  Мастерский турнир "Кубок Ярослава Мудрого"
Пауэрлифтинг без экипировки
г. Ярославль, 25 - 26 февраля 2017 г.</t>
  </si>
  <si>
    <t>Открытый лично – командный Мастерский турнир "Кубок Ярослава Мудрого"
Жим лежа в однослойной экипировке ДК
г. Ярославль, 25 - 26 февраля 2017 г.</t>
  </si>
  <si>
    <t>Открытый лично – командный Мастерский турнир "Кубок Ярослава Мудрого"
Жим лежа без экипировки ДК
г. Ярославль, 25 - 26 февраля 2017 г.</t>
  </si>
  <si>
    <t>Открытый лично – командный  Мастерский турнир "Кубок Ярослава Мудрого"
Жим лежа без экипировки
г. Ярославль, 25 - 26 февраля 2017 г.</t>
  </si>
  <si>
    <t>Открытый лично – командный Мастерский турнир "Кубок Ярослава Мудрого"
Присед без экипировки
г. Ярославль, 25 - 26 февраля 2017 г.</t>
  </si>
  <si>
    <t>Открытый лично – командный Мастерский турнир "Кубок Ярослава Мудрого"
Силовое двоеборье без экипировки
г. Ярославль 25 - 26 февраля 2017 г.</t>
  </si>
  <si>
    <t>Открытый лично – командный  Мастерский турнир "Кубок Ярослава Мудрого"
Становая тяга без экипировки
г. Ярославль, 25 - 26 февраля 2017 г.</t>
  </si>
  <si>
    <t>Открытый лично – командный Мастерский турнир "Кубок Ярослава Мудрого"
Пауэрспорт
г. Ярославль, 25 - 26 февраля 2017 г.</t>
  </si>
  <si>
    <t>Открытый лично – командный Мастерский турнир "Кубок Ярослава Мудрого"
ФЖД любители с ДК многоповторный жим
г. Ярославль, 25 - 26 февраля 2017 г.</t>
  </si>
  <si>
    <t>Открытый лично – командный Мастерский турнир "Кубок Ярослава Мудрого"
ФЖД любители многоповторный жим
г. Ярославль, 25 - 26 февраля 2017 г.</t>
  </si>
  <si>
    <t>Открытый лично – командный Мастерский турнир "Кубок Ярослава Мудрого"
ФЖД любители с ДК жим на максимум
г. Ярославль, 25 - 26 февраля 2017 г.</t>
  </si>
  <si>
    <t>Открытый лично – командный Мастерский турнир "Кубок Ярослава Мудрого"
ФЖД армейский жим многоповторный
г. Ярославль, 25 - 26 февраля 2017 г.</t>
  </si>
  <si>
    <t>Открытый лично – командный Мастерский турнир "Кубок Ярослава Мудрого"
ФЖД армейский жим на максимум
г. Ярославль, 25 - 26 февраля 2017 г.</t>
  </si>
  <si>
    <t>Открытый лично – командный  Мастерский турнир "Кубок Ярослава Мудрого"
ФЖД армейский жим двоеборье
г. Ярославль, 25 - 26 февраля 2017 г.</t>
  </si>
  <si>
    <t>Открытый лично – командный Мастерский турнир "Кубок Ярослава Мудрого"
ФЖД жим в однослойной софт экипировке на максимум
г. Ярославль, 25 - 26 февраля 2017 г.</t>
  </si>
  <si>
    <t>Открытый лично – командный Мастерский турнир "Кубок Ярослава Мудрого"
ФЖД военный жим на максимум
г. Ярославль, 25 - 26 февраля 2017 г.</t>
  </si>
  <si>
    <t>Открытый лично – командный Мастерский турнир "Кубок Ярослава Мудрого"
ФЖД любители с ДК двоеборье
г. Ярославль 25 - 26 февраля 2017 г.</t>
  </si>
  <si>
    <t>Открытый лично – командный Мастерский турнир "Кубок Ярослава Мудрого"
Жим лежа в SOFT экипировке ДК
г. Ярославль, 25 - 26 февраля 2017 г.</t>
  </si>
  <si>
    <t>Открытый лично – командный Мастерский турнир "Кубок Ярослава Мудрого"
Жим лежа в SOFT экипировке
г. Ярославль, 25 - 26 февраля 2017 г.</t>
  </si>
  <si>
    <t>Открытый лично – командный Мастерский турнир "Кубок Ярослава Мудрого"
Народный жим (1/2 вес) ДК
г. Ярославль, 25 - 26 февраля 2017 г.</t>
  </si>
  <si>
    <t>Открытый лично – командный Мастерский турнир "Кубок Ярослава Мудрого"
Народный жим (1/2 вес)
г. Ярославль, 25 - 26 февраля 2017 г.</t>
  </si>
  <si>
    <t>Открытый лично – командный Мастерский турнир "Кубок Ярослава Мудрого"
Народный жим (1 вес) ДК
г. Ярославль, 25 - 26 февраля 2017 г.</t>
  </si>
  <si>
    <t>Открытый лично – командный Мастерский турнир "Кубок Ярослава Мудрого"
Народный жим (1 вес)
г. Ярославль, 25 - 26 февраля 2017 г.</t>
  </si>
  <si>
    <t>Open (09.01.1983)/34</t>
  </si>
  <si>
    <t>Junior 20 - 23 (30.09.1994)/22</t>
  </si>
  <si>
    <t>Junior 20 - 23 (04.07.1993)/23</t>
  </si>
  <si>
    <t xml:space="preserve">Open </t>
  </si>
  <si>
    <t>Junior 20 - 23 (14.03.1993)/23</t>
  </si>
  <si>
    <t>Junior 20 - 23 (01.04.1994)/22</t>
  </si>
  <si>
    <t>Masters 40 - 44 (04.05.1974)/42</t>
  </si>
  <si>
    <t>Masters 55 - 59 (18.05.1961)/55</t>
  </si>
  <si>
    <t>Junior 20 - 23 (05.04.1993)/23</t>
  </si>
  <si>
    <t>Masters 40 - 44 (03.02.1976)/41</t>
  </si>
  <si>
    <t>Masters 50 - 54 (03.10.1962)/54</t>
  </si>
  <si>
    <t>Masters 40 - 44 (06.07.1973)/43</t>
  </si>
  <si>
    <t>Masters 40 - 44 (26.06.1977)/39</t>
  </si>
  <si>
    <t>Open (29.01.1978)/39</t>
  </si>
  <si>
    <t>Junior 20 - 23 (19.05.1993)/23</t>
  </si>
  <si>
    <t>Junior 20 - 23 (22.04.1993)/23</t>
  </si>
  <si>
    <t>Junior 20 - 23 (21.10.1996)/20</t>
  </si>
  <si>
    <t>Junior 20 - 23 (22.09.1996)/20</t>
  </si>
  <si>
    <t>Junior 20 - 23 (23.05.1994)/22</t>
  </si>
  <si>
    <t>Junior 20 - 23 (18.12.1994)/22</t>
  </si>
  <si>
    <t>Masters 45 - 49 (14.09.1971)/45</t>
  </si>
  <si>
    <t>Junior 20 - 23 (11.08.1993)/23</t>
  </si>
  <si>
    <t>Железная семья</t>
  </si>
  <si>
    <t>Воины Света</t>
  </si>
  <si>
    <t>ФК Бомба</t>
  </si>
  <si>
    <t xml:space="preserve">Воины света </t>
  </si>
  <si>
    <t>Федотово/Вологодская область</t>
  </si>
  <si>
    <t>Первомайский/Тамбовская область</t>
  </si>
  <si>
    <t>ВЕСОВАЯ КАТЕГОРИЯ   67,5</t>
  </si>
  <si>
    <t>ВЕСОВАЯ КАТЕГОРИЯ   82,5</t>
  </si>
  <si>
    <t>23</t>
  </si>
  <si>
    <t>28</t>
  </si>
  <si>
    <t>16</t>
  </si>
  <si>
    <t>22</t>
  </si>
  <si>
    <t>10</t>
  </si>
  <si>
    <t>17</t>
  </si>
  <si>
    <t>33</t>
  </si>
  <si>
    <t>24</t>
  </si>
  <si>
    <t>26</t>
  </si>
  <si>
    <t>30</t>
  </si>
  <si>
    <t>41</t>
  </si>
  <si>
    <t>18</t>
  </si>
  <si>
    <t>Благовещенское/Архангельская  область</t>
  </si>
  <si>
    <t>Открытый лично – командный  Мастерский турнир "Кубок Ярослава Мудрого"
Пауэрлифтинг в бинтах
г. Ярославль, 25 - 26 февраля 2017 г.</t>
  </si>
  <si>
    <t>Москва/Московская область</t>
  </si>
  <si>
    <t>Teen (15.11.2002)/14</t>
  </si>
  <si>
    <t>Teen 15-19 (09.12.2000)/16</t>
  </si>
  <si>
    <t>Teen 15-19 (20.11.2004)/12</t>
  </si>
  <si>
    <t>Открытый лично – командный  Мастерский турнир "Кубок Ярослава Мудрого"
Пауэрлифтинг без экипировки ДК
г. Ярославль, 25 - 26 февраля 2017 г.</t>
  </si>
  <si>
    <t>Teen 15-19 (20.10.2001)/15</t>
  </si>
  <si>
    <t>Открытый лично – командный Мастерский турнир "Кубок Ярослава Мудрого"
Силовое двоеборье без экипировки ДК
г. Ярославль, 25 - 26 февраля 2017 г.</t>
  </si>
  <si>
    <t>Open 24-39 (22.07.1984)/32</t>
  </si>
  <si>
    <t>Open 24-39 (26.04.1987)/29</t>
  </si>
  <si>
    <t>Open 24-39 (22.12.1987)/29</t>
  </si>
  <si>
    <t>Open 24-39 (06.02.1979)/38</t>
  </si>
  <si>
    <t>Open 24-39 (31.07.1981)/35</t>
  </si>
  <si>
    <t>Open 24-39 (14.10.1985)/31</t>
  </si>
  <si>
    <t>Open 24-39 (13.10.1990)/26</t>
  </si>
  <si>
    <t>Open 24-39 (21.01.1992)/25</t>
  </si>
  <si>
    <t>Open 24-39 (21.10.1992)/24</t>
  </si>
  <si>
    <t>Open 24-39 (24.12.1986)/30</t>
  </si>
  <si>
    <t>Open 24-39 (26.10.1979)/37</t>
  </si>
  <si>
    <t>Open 24-39 (14.07.1988)/28</t>
  </si>
  <si>
    <t>Open 24-39 (17.01.1990)/27</t>
  </si>
  <si>
    <t>Open 24-39 (20.11.1986)/30</t>
  </si>
  <si>
    <t>Open 24-39 (06.03.1987)/29</t>
  </si>
  <si>
    <t>Open 24-39 (30.11.1979)/37</t>
  </si>
  <si>
    <t>Open 24-39 (02.07.1979)/37</t>
  </si>
  <si>
    <t>Open 24-39 (09.09.1987)/29</t>
  </si>
  <si>
    <t>Open 24-39 (15.09.1989)/27</t>
  </si>
  <si>
    <t>Open 24-39 (26.04.1984)/32</t>
  </si>
  <si>
    <t>Open 24-39 (30.05.1987)/29</t>
  </si>
  <si>
    <t>Open 24-39 (08.01.1979)/38</t>
  </si>
  <si>
    <t>Open 24-39 (09.12.1982)/34</t>
  </si>
  <si>
    <t>Open 24-39 (03.09.1983)/33</t>
  </si>
  <si>
    <t>Open 24-39 (08.09.1990)/26</t>
  </si>
  <si>
    <t>Open 24-39 (18.02.1978)/39</t>
  </si>
  <si>
    <t>Open 24-39 (23.08.1989)/27</t>
  </si>
  <si>
    <t>Open 24-39 (16.05.1989)/27</t>
  </si>
  <si>
    <t>Open 24-39 (02.06.1989)/27</t>
  </si>
  <si>
    <t>Open 24-39 (09.02.1988)/29</t>
  </si>
  <si>
    <t>Open 24-39 (06.12.1983)/33</t>
  </si>
  <si>
    <t>Open 24-39 (30.08.1985)/31</t>
  </si>
  <si>
    <t>Open 24-39 (30.01.1984)/33</t>
  </si>
  <si>
    <t>Open 24-39 (30.07.1982)/34</t>
  </si>
  <si>
    <t>Open 24-39 (30.09.1987)/29</t>
  </si>
  <si>
    <t>Open 24-39 (09.09.1990)/26</t>
  </si>
  <si>
    <t>Open 24-39 (14.04.1990)/26</t>
  </si>
  <si>
    <t>Open 24-39 (20.02.1987)/30</t>
  </si>
  <si>
    <t>Open 24-39 (28.04.1985)/31</t>
  </si>
  <si>
    <t>Open 24-39 (29.01.1990)/27</t>
  </si>
  <si>
    <t>Open 24-39 (06.04.1983)/33</t>
  </si>
  <si>
    <t>Open 24-39 (11.01.1988)/29</t>
  </si>
  <si>
    <t>Open 24-39 (29.10.1991)/25</t>
  </si>
  <si>
    <t>Open 24-39 (04.11.1983)/33</t>
  </si>
  <si>
    <t>Open 24-39 (16.06.1977)/39</t>
  </si>
  <si>
    <t>Open 24-39 (24.09.1978)/38</t>
  </si>
  <si>
    <t>Open 24-39 (24.09.1987)/29</t>
  </si>
  <si>
    <t>Open 24-39 (09.09.1988)/28</t>
  </si>
  <si>
    <t>Open 24-39 (04.05.1984)/32</t>
  </si>
  <si>
    <t>Open 24-39 (28.03.1980)/36</t>
  </si>
  <si>
    <t>Open 24-39 (15.02.1984)/33</t>
  </si>
  <si>
    <t>Open 24-39 (11.02.1992)/25</t>
  </si>
  <si>
    <t>Open 24-39 (10.06.1986)/30</t>
  </si>
  <si>
    <t>Open 24-39 (04.10.1989)/27</t>
  </si>
  <si>
    <t>Teen 15-19 (10.03.1998)/18</t>
  </si>
  <si>
    <t>Open 24-39 (18.08.1981)/35</t>
  </si>
  <si>
    <t>Open 24-39 (19.12.1986)/30</t>
  </si>
  <si>
    <t>Teen 15-19 (10.07.1997)/19</t>
  </si>
  <si>
    <t>Open 24-39 (24.07.1983)/33</t>
  </si>
  <si>
    <t>Open 24-39 (07.05.1986)/30</t>
  </si>
  <si>
    <t>Open 24-39 (07.01.1979)/38</t>
  </si>
  <si>
    <t>Open 24-39 (07.12.1981)/35</t>
  </si>
  <si>
    <t>Открытый лично – командный Мастерский турнир "Кубок Ярослава Мудрого"
Пауэрспорт с допинг контролем
г. Ярославль, 25 - 26 февраля 2017 г.</t>
  </si>
  <si>
    <t>Open 24-39 (21.08.1992)/24</t>
  </si>
  <si>
    <t>Teen 14-18 (15.02.2002)/15</t>
  </si>
  <si>
    <t>Open 24-39 (05.10.1984)/32</t>
  </si>
  <si>
    <t>Teen 14-18 (17.04.2003)/13</t>
  </si>
  <si>
    <t>Open 24-39 (23.09.1992)/24</t>
  </si>
  <si>
    <t>Open 24-39 (04.09.1992)/24</t>
  </si>
  <si>
    <t>Open 24-39 (13.06.1986)/30</t>
  </si>
  <si>
    <t>Teen</t>
  </si>
  <si>
    <t>Открытый лично – командный Мастерский турнир "Кубок Ярослава Мудрого"
ФЖД любители жим на максимум
г. Ярославль, 25 - 26 февраля 2017 г.</t>
  </si>
  <si>
    <t>Open 40-44 (05.01.1977)/40</t>
  </si>
  <si>
    <t>Masters 45 - 50 (20.05.1969)/47</t>
  </si>
  <si>
    <t>Open 24-40 (17.02.1988)/29</t>
  </si>
  <si>
    <t>Masters 50-55 (23.05.1965)/51</t>
  </si>
  <si>
    <t>Open 24-40 (05.10.1984)/32</t>
  </si>
  <si>
    <t>Masters 45-50 (20.05.1969)/47</t>
  </si>
  <si>
    <t>Junior 18-23 (10.04.1998)/18</t>
  </si>
  <si>
    <t>Open 24-40 (04.08.1982)/34</t>
  </si>
  <si>
    <t>Open 24-40 (12.07.1989)/27</t>
  </si>
  <si>
    <t>Open 23-40 (23.09.1992)/24</t>
  </si>
  <si>
    <t>Open 23-40 (24.01.1989)/28</t>
  </si>
  <si>
    <t>Open 23-40 (05.05.1986)/30</t>
  </si>
  <si>
    <t>Open 23-40 (09.03.1991)/25</t>
  </si>
  <si>
    <t>Open 23-40 (13.06.1986)/30</t>
  </si>
  <si>
    <t>Open 23-40 (25.12.1991)/25</t>
  </si>
  <si>
    <t>Open 23-40 (05.12.1978)/38</t>
  </si>
  <si>
    <t>Open 23-40 (24.04.1989)/27</t>
  </si>
  <si>
    <t>Junior 14-18 (20.05.1998)/18</t>
  </si>
  <si>
    <t>Open 23-40 (25.03.1987)/29</t>
  </si>
  <si>
    <t>Open 23-40 (08.03.1991)/25</t>
  </si>
  <si>
    <t>Open 23-40 (04.01.1979)/38</t>
  </si>
  <si>
    <t>Masters 45 - 50 (10.07.1971)/45</t>
  </si>
  <si>
    <t>Open 23-40 (06.02.1979)/38</t>
  </si>
  <si>
    <t>Open 23-40 (05.10.1984)/32</t>
  </si>
  <si>
    <t>Open 23-40 (09.05.1990)/26</t>
  </si>
  <si>
    <t>Open 23-40 (15.02.1984)/33</t>
  </si>
  <si>
    <t>Masters 40-45 (05.02.1975)/42</t>
  </si>
  <si>
    <t>Открытый лично – командный Мастерский турнир "Кубок Ярослава Мудрого"
ФЖД любители двоеборье
г. Ярославль, 25 - 26 февраля 2017 г.</t>
  </si>
  <si>
    <t>Open 23-39 (05.02.1985)/32</t>
  </si>
  <si>
    <t>Open 23-39 (30.01.1988)/29</t>
  </si>
  <si>
    <t>Open 23-39 (03.03.1985)/31</t>
  </si>
  <si>
    <t>Teen 13 - 19 (01.06.2000)/16</t>
  </si>
  <si>
    <t>Teen 15-19 (15.02.2002)/15</t>
  </si>
  <si>
    <t>Teen 15-19 (05.04.2003)/13</t>
  </si>
  <si>
    <t>Open 24-39 (12.12.1984)/32</t>
  </si>
  <si>
    <t>Open 24-39 (30.05.1989)/27</t>
  </si>
  <si>
    <t>Open 24-39 (18.12.1994)/22</t>
  </si>
  <si>
    <t>Open 24-39 (09.01.1983)/34</t>
  </si>
  <si>
    <t>Сборная Иваново</t>
  </si>
  <si>
    <t>Open 24-39 (19.01.1986)/31</t>
  </si>
  <si>
    <t>Open 24-39 (14.12.1977)/39</t>
  </si>
  <si>
    <t>Open 24-39 (13.07.1981)/35</t>
  </si>
  <si>
    <t>Teen 15-19 (07.09.2004)/12</t>
  </si>
  <si>
    <t>Воины света</t>
  </si>
  <si>
    <t>Подъем на бицепс</t>
  </si>
  <si>
    <t>305</t>
  </si>
  <si>
    <t>290</t>
  </si>
  <si>
    <t>320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</si>
</sst>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[$-FC19]d\ mmmm\ yyyy\ &quot;г.&quot;"/>
    <numFmt numFmtId="178" formatCode="#,##0.0&quot;р.&quot;"/>
    <numFmt numFmtId="179" formatCode="#,##0.00&quot;р.&quot;"/>
    <numFmt numFmtId="180" formatCode="#,##0.000&quot;р.&quot;"/>
    <numFmt numFmtId="181" formatCode="#,##0.0000&quot;р.&quot;"/>
    <numFmt numFmtId="182" formatCode="#,##0.00000&quot;р.&quot;"/>
    <numFmt numFmtId="183" formatCode="#,##0.000000&quot;р.&quot;"/>
    <numFmt numFmtId="184" formatCode="#,##0.0000000&quot;р.&quot;"/>
    <numFmt numFmtId="185" formatCode="#,##0.00000000&quot;р.&quot;"/>
    <numFmt numFmtId="186" formatCode="0.00000"/>
  </numFmts>
  <fonts count="9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sz val="10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trike/>
      <sz val="10"/>
      <name val="Arial"/>
      <family val="2"/>
    </font>
    <font>
      <b/>
      <strike/>
      <sz val="10"/>
      <name val="Arial Cyr"/>
      <family val="0"/>
    </font>
    <font>
      <strike/>
      <sz val="10"/>
      <name val="Arial Cyr"/>
      <family val="0"/>
    </font>
    <font>
      <b/>
      <sz val="18"/>
      <name val="Arial Cyr"/>
      <family val="0"/>
    </font>
    <font>
      <sz val="24"/>
      <name val="Arial Cyr"/>
      <family val="0"/>
    </font>
    <font>
      <sz val="11"/>
      <name val="Arial Cyr"/>
      <family val="0"/>
    </font>
    <font>
      <sz val="16"/>
      <name val="a_Assu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"/>
      <family val="2"/>
    </font>
    <font>
      <b/>
      <strike/>
      <sz val="10"/>
      <color indexed="60"/>
      <name val="Arial"/>
      <family val="2"/>
    </font>
    <font>
      <b/>
      <strike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trike/>
      <sz val="10"/>
      <color indexed="60"/>
      <name val="Arial Cyr"/>
      <family val="0"/>
    </font>
    <font>
      <b/>
      <sz val="10"/>
      <color indexed="8"/>
      <name val="Arial"/>
      <family val="2"/>
    </font>
    <font>
      <b/>
      <sz val="10"/>
      <color indexed="60"/>
      <name val="Arial Cyr"/>
      <family val="0"/>
    </font>
    <font>
      <b/>
      <sz val="10"/>
      <color indexed="10"/>
      <name val="Arial Cyr"/>
      <family val="0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"/>
      <family val="2"/>
    </font>
    <font>
      <b/>
      <strike/>
      <sz val="10"/>
      <color rgb="FFC00000"/>
      <name val="Arial"/>
      <family val="2"/>
    </font>
    <font>
      <b/>
      <strike/>
      <sz val="10"/>
      <color rgb="FFFF0000"/>
      <name val="Arial Cyr"/>
      <family val="0"/>
    </font>
    <font>
      <b/>
      <sz val="10"/>
      <color theme="1"/>
      <name val="Arial Cyr"/>
      <family val="0"/>
    </font>
    <font>
      <b/>
      <strike/>
      <sz val="10"/>
      <color rgb="FFC00000"/>
      <name val="Arial Cyr"/>
      <family val="0"/>
    </font>
    <font>
      <b/>
      <sz val="10"/>
      <color theme="1"/>
      <name val="Arial"/>
      <family val="2"/>
    </font>
    <font>
      <b/>
      <sz val="10"/>
      <color rgb="FFC00000"/>
      <name val="Arial Cyr"/>
      <family val="0"/>
    </font>
    <font>
      <b/>
      <sz val="10"/>
      <color rgb="FFFF0000"/>
      <name val="Arial Cyr"/>
      <family val="0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79" fillId="0" borderId="13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12" fillId="34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79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9" fillId="0" borderId="1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49" fontId="12" fillId="34" borderId="12" xfId="0" applyNumberFormat="1" applyFont="1" applyFill="1" applyBorder="1" applyAlignment="1">
      <alignment horizontal="center"/>
    </xf>
    <xf numFmtId="49" fontId="80" fillId="0" borderId="13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21" fillId="0" borderId="13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81" fillId="0" borderId="13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81" fillId="0" borderId="12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21" fillId="0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81" fillId="0" borderId="11" xfId="0" applyNumberFormat="1" applyFont="1" applyFill="1" applyBorder="1" applyAlignment="1">
      <alignment horizontal="center"/>
    </xf>
    <xf numFmtId="49" fontId="81" fillId="0" borderId="18" xfId="0" applyNumberFormat="1" applyFont="1" applyFill="1" applyBorder="1" applyAlignment="1">
      <alignment horizontal="center"/>
    </xf>
    <xf numFmtId="49" fontId="82" fillId="34" borderId="18" xfId="0" applyNumberFormat="1" applyFont="1" applyFill="1" applyBorder="1" applyAlignment="1">
      <alignment horizontal="center"/>
    </xf>
    <xf numFmtId="49" fontId="83" fillId="0" borderId="13" xfId="0" applyNumberFormat="1" applyFont="1" applyFill="1" applyBorder="1" applyAlignment="1">
      <alignment horizontal="center"/>
    </xf>
    <xf numFmtId="49" fontId="83" fillId="0" borderId="11" xfId="0" applyNumberFormat="1" applyFont="1" applyFill="1" applyBorder="1" applyAlignment="1">
      <alignment horizontal="center"/>
    </xf>
    <xf numFmtId="49" fontId="83" fillId="0" borderId="12" xfId="0" applyNumberFormat="1" applyFont="1" applyFill="1" applyBorder="1" applyAlignment="1">
      <alignment horizontal="center"/>
    </xf>
    <xf numFmtId="49" fontId="21" fillId="34" borderId="13" xfId="0" applyNumberFormat="1" applyFont="1" applyFill="1" applyBorder="1" applyAlignment="1">
      <alignment horizontal="center"/>
    </xf>
    <xf numFmtId="49" fontId="83" fillId="0" borderId="18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left"/>
    </xf>
    <xf numFmtId="49" fontId="0" fillId="35" borderId="0" xfId="0" applyNumberFormat="1" applyFont="1" applyFill="1" applyBorder="1" applyAlignment="1">
      <alignment horizontal="left"/>
    </xf>
    <xf numFmtId="49" fontId="5" fillId="35" borderId="0" xfId="0" applyNumberFormat="1" applyFont="1" applyFill="1" applyBorder="1" applyAlignment="1">
      <alignment horizontal="left"/>
    </xf>
    <xf numFmtId="49" fontId="6" fillId="35" borderId="0" xfId="0" applyNumberFormat="1" applyFont="1" applyFill="1" applyBorder="1" applyAlignment="1">
      <alignment horizontal="left" indent="1"/>
    </xf>
    <xf numFmtId="49" fontId="6" fillId="35" borderId="0" xfId="0" applyNumberFormat="1" applyFont="1" applyFill="1" applyBorder="1" applyAlignment="1">
      <alignment horizontal="left"/>
    </xf>
    <xf numFmtId="49" fontId="2" fillId="35" borderId="13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left" indent="1"/>
    </xf>
    <xf numFmtId="49" fontId="1" fillId="35" borderId="0" xfId="0" applyNumberFormat="1" applyFont="1" applyFill="1" applyBorder="1" applyAlignment="1">
      <alignment horizontal="left"/>
    </xf>
    <xf numFmtId="49" fontId="0" fillId="35" borderId="13" xfId="0" applyNumberFormat="1" applyFont="1" applyFill="1" applyBorder="1" applyAlignment="1">
      <alignment horizontal="left" inden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left"/>
    </xf>
    <xf numFmtId="49" fontId="1" fillId="35" borderId="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left"/>
    </xf>
    <xf numFmtId="49" fontId="12" fillId="35" borderId="13" xfId="0" applyNumberFormat="1" applyFont="1" applyFill="1" applyBorder="1" applyAlignment="1">
      <alignment horizontal="center"/>
    </xf>
    <xf numFmtId="49" fontId="80" fillId="35" borderId="13" xfId="0" applyNumberFormat="1" applyFont="1" applyFill="1" applyBorder="1" applyAlignment="1">
      <alignment horizontal="center"/>
    </xf>
    <xf numFmtId="49" fontId="13" fillId="35" borderId="13" xfId="0" applyNumberFormat="1" applyFont="1" applyFill="1" applyBorder="1" applyAlignment="1">
      <alignment horizontal="center"/>
    </xf>
    <xf numFmtId="49" fontId="79" fillId="35" borderId="13" xfId="0" applyNumberFormat="1" applyFont="1" applyFill="1" applyBorder="1" applyAlignment="1">
      <alignment horizontal="center"/>
    </xf>
    <xf numFmtId="49" fontId="12" fillId="35" borderId="0" xfId="0" applyNumberFormat="1" applyFont="1" applyFill="1" applyBorder="1" applyAlignment="1">
      <alignment horizontal="left"/>
    </xf>
    <xf numFmtId="49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left"/>
    </xf>
    <xf numFmtId="49" fontId="7" fillId="35" borderId="14" xfId="0" applyNumberFormat="1" applyFont="1" applyFill="1" applyBorder="1" applyAlignment="1">
      <alignment horizontal="left"/>
    </xf>
    <xf numFmtId="49" fontId="7" fillId="35" borderId="13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left"/>
    </xf>
    <xf numFmtId="49" fontId="16" fillId="35" borderId="0" xfId="0" applyNumberFormat="1" applyFont="1" applyFill="1" applyBorder="1" applyAlignment="1">
      <alignment horizontal="center"/>
    </xf>
    <xf numFmtId="49" fontId="17" fillId="35" borderId="0" xfId="0" applyNumberFormat="1" applyFont="1" applyFill="1" applyBorder="1" applyAlignment="1">
      <alignment horizontal="left"/>
    </xf>
    <xf numFmtId="49" fontId="11" fillId="35" borderId="0" xfId="0" applyNumberFormat="1" applyFont="1" applyFill="1" applyBorder="1" applyAlignment="1">
      <alignment horizontal="center"/>
    </xf>
    <xf numFmtId="49" fontId="18" fillId="35" borderId="0" xfId="0" applyNumberFormat="1" applyFont="1" applyFill="1" applyBorder="1" applyAlignment="1">
      <alignment horizontal="left" indent="1"/>
    </xf>
    <xf numFmtId="49" fontId="19" fillId="35" borderId="0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0" xfId="0" applyNumberFormat="1" applyFont="1" applyFill="1" applyBorder="1" applyAlignment="1">
      <alignment horizontal="center" vertical="center"/>
    </xf>
    <xf numFmtId="49" fontId="12" fillId="35" borderId="0" xfId="0" applyNumberFormat="1" applyFont="1" applyFill="1" applyBorder="1" applyAlignment="1">
      <alignment horizontal="left" indent="1"/>
    </xf>
    <xf numFmtId="49" fontId="16" fillId="35" borderId="0" xfId="0" applyNumberFormat="1" applyFont="1" applyFill="1" applyBorder="1" applyAlignment="1">
      <alignment horizontal="left"/>
    </xf>
    <xf numFmtId="49" fontId="11" fillId="35" borderId="0" xfId="0" applyNumberFormat="1" applyFont="1" applyFill="1" applyBorder="1" applyAlignment="1">
      <alignment horizontal="left"/>
    </xf>
    <xf numFmtId="49" fontId="19" fillId="35" borderId="0" xfId="0" applyNumberFormat="1" applyFont="1" applyFill="1" applyBorder="1" applyAlignment="1">
      <alignment horizontal="left" indent="1"/>
    </xf>
    <xf numFmtId="49" fontId="19" fillId="35" borderId="0" xfId="0" applyNumberFormat="1" applyFont="1" applyFill="1" applyBorder="1" applyAlignment="1">
      <alignment horizontal="left"/>
    </xf>
    <xf numFmtId="49" fontId="7" fillId="35" borderId="13" xfId="0" applyNumberFormat="1" applyFont="1" applyFill="1" applyBorder="1" applyAlignment="1">
      <alignment horizontal="left" indent="1"/>
    </xf>
    <xf numFmtId="49" fontId="7" fillId="35" borderId="0" xfId="0" applyNumberFormat="1" applyFont="1" applyFill="1" applyBorder="1" applyAlignment="1">
      <alignment horizontal="left" indent="1"/>
    </xf>
    <xf numFmtId="49" fontId="7" fillId="0" borderId="12" xfId="0" applyNumberFormat="1" applyFont="1" applyFill="1" applyBorder="1" applyAlignment="1">
      <alignment horizontal="center"/>
    </xf>
    <xf numFmtId="1" fontId="12" fillId="35" borderId="13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35" borderId="0" xfId="0" applyNumberFormat="1" applyFont="1" applyFill="1" applyBorder="1" applyAlignment="1">
      <alignment horizontal="left"/>
    </xf>
    <xf numFmtId="172" fontId="9" fillId="35" borderId="0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left"/>
    </xf>
    <xf numFmtId="172" fontId="0" fillId="0" borderId="11" xfId="0" applyNumberFormat="1" applyFont="1" applyFill="1" applyBorder="1" applyAlignment="1">
      <alignment horizontal="left"/>
    </xf>
    <xf numFmtId="172" fontId="0" fillId="0" borderId="12" xfId="0" applyNumberFormat="1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172" fontId="0" fillId="35" borderId="0" xfId="0" applyNumberFormat="1" applyFont="1" applyFill="1" applyBorder="1" applyAlignment="1">
      <alignment horizontal="left"/>
    </xf>
    <xf numFmtId="172" fontId="2" fillId="35" borderId="13" xfId="0" applyNumberFormat="1" applyFont="1" applyFill="1" applyBorder="1" applyAlignment="1">
      <alignment horizontal="center" vertical="center"/>
    </xf>
    <xf numFmtId="49" fontId="23" fillId="35" borderId="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172" fontId="1" fillId="35" borderId="13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84" fillId="35" borderId="0" xfId="0" applyNumberFormat="1" applyFont="1" applyFill="1" applyBorder="1" applyAlignment="1">
      <alignment horizontal="center"/>
    </xf>
    <xf numFmtId="172" fontId="80" fillId="35" borderId="13" xfId="0" applyNumberFormat="1" applyFont="1" applyFill="1" applyBorder="1" applyAlignment="1">
      <alignment horizontal="center"/>
    </xf>
    <xf numFmtId="172" fontId="12" fillId="34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6" fontId="1" fillId="0" borderId="21" xfId="0" applyNumberFormat="1" applyFont="1" applyFill="1" applyBorder="1" applyAlignment="1">
      <alignment horizontal="center"/>
    </xf>
    <xf numFmtId="176" fontId="1" fillId="0" borderId="22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86" fontId="1" fillId="0" borderId="13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2" fillId="35" borderId="13" xfId="0" applyNumberFormat="1" applyFont="1" applyFill="1" applyBorder="1" applyAlignment="1">
      <alignment horizontal="center"/>
    </xf>
    <xf numFmtId="176" fontId="12" fillId="35" borderId="13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176" fontId="12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36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2" fontId="1" fillId="35" borderId="13" xfId="0" applyNumberFormat="1" applyFont="1" applyFill="1" applyBorder="1" applyAlignment="1">
      <alignment horizontal="center"/>
    </xf>
    <xf numFmtId="2" fontId="85" fillId="35" borderId="13" xfId="0" applyNumberFormat="1" applyFont="1" applyFill="1" applyBorder="1" applyAlignment="1">
      <alignment horizontal="center"/>
    </xf>
    <xf numFmtId="49" fontId="86" fillId="35" borderId="13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1" fillId="35" borderId="0" xfId="0" applyNumberFormat="1" applyFont="1" applyFill="1" applyBorder="1" applyAlignment="1">
      <alignment vertical="center"/>
    </xf>
    <xf numFmtId="49" fontId="19" fillId="35" borderId="0" xfId="0" applyNumberFormat="1" applyFont="1" applyFill="1" applyBorder="1" applyAlignment="1">
      <alignment vertical="center"/>
    </xf>
    <xf numFmtId="49" fontId="7" fillId="35" borderId="13" xfId="0" applyNumberFormat="1" applyFont="1" applyFill="1" applyBorder="1" applyAlignment="1">
      <alignment vertical="center"/>
    </xf>
    <xf numFmtId="49" fontId="7" fillId="35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35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87" fillId="35" borderId="0" xfId="0" applyNumberFormat="1" applyFont="1" applyFill="1" applyBorder="1" applyAlignment="1">
      <alignment horizontal="left" vertical="center"/>
    </xf>
    <xf numFmtId="49" fontId="88" fillId="35" borderId="0" xfId="0" applyNumberFormat="1" applyFont="1" applyFill="1" applyBorder="1" applyAlignment="1">
      <alignment horizontal="left" vertical="center"/>
    </xf>
    <xf numFmtId="49" fontId="89" fillId="35" borderId="0" xfId="0" applyNumberFormat="1" applyFont="1" applyFill="1" applyBorder="1" applyAlignment="1">
      <alignment horizontal="left" vertical="center"/>
    </xf>
    <xf numFmtId="49" fontId="90" fillId="35" borderId="0" xfId="0" applyNumberFormat="1" applyFont="1" applyFill="1" applyBorder="1" applyAlignment="1">
      <alignment horizontal="left" vertical="center"/>
    </xf>
    <xf numFmtId="49" fontId="91" fillId="35" borderId="0" xfId="0" applyNumberFormat="1" applyFont="1" applyFill="1" applyBorder="1" applyAlignment="1">
      <alignment horizontal="left" vertical="center"/>
    </xf>
    <xf numFmtId="49" fontId="7" fillId="35" borderId="14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92" fillId="35" borderId="0" xfId="0" applyNumberFormat="1" applyFont="1" applyFill="1" applyBorder="1" applyAlignment="1">
      <alignment horizontal="left" vertical="center"/>
    </xf>
    <xf numFmtId="49" fontId="93" fillId="35" borderId="0" xfId="0" applyNumberFormat="1" applyFont="1" applyFill="1" applyBorder="1" applyAlignment="1">
      <alignment horizontal="left" vertical="center"/>
    </xf>
    <xf numFmtId="49" fontId="94" fillId="35" borderId="0" xfId="0" applyNumberFormat="1" applyFont="1" applyFill="1" applyBorder="1" applyAlignment="1">
      <alignment horizontal="left" vertical="center"/>
    </xf>
    <xf numFmtId="49" fontId="84" fillId="35" borderId="0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181" fontId="2" fillId="0" borderId="27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49" fontId="24" fillId="0" borderId="33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49" fontId="24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 wrapText="1"/>
    </xf>
    <xf numFmtId="172" fontId="24" fillId="0" borderId="28" xfId="0" applyNumberFormat="1" applyFont="1" applyFill="1" applyBorder="1" applyAlignment="1">
      <alignment horizontal="center" vertical="center" wrapText="1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horizontal="center" vertical="center" wrapText="1"/>
    </xf>
    <xf numFmtId="186" fontId="2" fillId="0" borderId="27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/>
    </xf>
    <xf numFmtId="49" fontId="11" fillId="35" borderId="0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49" fontId="19" fillId="35" borderId="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9.125" style="3" customWidth="1"/>
    <col min="2" max="2" width="20.875" style="5" customWidth="1"/>
    <col min="3" max="3" width="27.75390625" style="5" customWidth="1"/>
    <col min="4" max="4" width="10.625" style="5" bestFit="1" customWidth="1"/>
    <col min="5" max="5" width="8.375" style="5" bestFit="1" customWidth="1"/>
    <col min="6" max="6" width="14.375" style="5" customWidth="1"/>
    <col min="7" max="7" width="38.875" style="5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4" bestFit="1" customWidth="1"/>
    <col min="21" max="21" width="9.75390625" style="171" customWidth="1"/>
    <col min="22" max="22" width="17.75390625" style="5" customWidth="1"/>
    <col min="23" max="16384" width="9.125" style="4" customWidth="1"/>
  </cols>
  <sheetData>
    <row r="1" spans="1:22" s="3" customFormat="1" ht="28.5" customHeight="1">
      <c r="A1" s="240" t="s">
        <v>532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1"/>
    </row>
    <row r="2" spans="1:22" s="3" customFormat="1" ht="61.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1"/>
    </row>
    <row r="3" spans="1:22" s="1" customFormat="1" ht="12.75" customHeight="1">
      <c r="A3" s="245" t="s">
        <v>127</v>
      </c>
      <c r="B3" s="247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200</v>
      </c>
      <c r="I3" s="239"/>
      <c r="J3" s="239"/>
      <c r="K3" s="239"/>
      <c r="L3" s="239" t="s">
        <v>1</v>
      </c>
      <c r="M3" s="239"/>
      <c r="N3" s="239"/>
      <c r="O3" s="239"/>
      <c r="P3" s="239" t="s">
        <v>207</v>
      </c>
      <c r="Q3" s="239"/>
      <c r="R3" s="239"/>
      <c r="S3" s="239"/>
      <c r="T3" s="239" t="s">
        <v>2</v>
      </c>
      <c r="U3" s="243" t="s">
        <v>4</v>
      </c>
      <c r="V3" s="235" t="s">
        <v>3</v>
      </c>
    </row>
    <row r="4" spans="1:22" s="1" customFormat="1" ht="21" customHeight="1" thickBot="1">
      <c r="A4" s="246"/>
      <c r="B4" s="248"/>
      <c r="C4" s="242"/>
      <c r="D4" s="242"/>
      <c r="E4" s="242"/>
      <c r="F4" s="242"/>
      <c r="G4" s="242"/>
      <c r="H4" s="151">
        <v>1</v>
      </c>
      <c r="I4" s="151">
        <v>2</v>
      </c>
      <c r="J4" s="151">
        <v>3</v>
      </c>
      <c r="K4" s="151" t="s">
        <v>6</v>
      </c>
      <c r="L4" s="151">
        <v>1</v>
      </c>
      <c r="M4" s="151">
        <v>2</v>
      </c>
      <c r="N4" s="151">
        <v>3</v>
      </c>
      <c r="O4" s="151" t="s">
        <v>6</v>
      </c>
      <c r="P4" s="151">
        <v>1</v>
      </c>
      <c r="Q4" s="151">
        <v>2</v>
      </c>
      <c r="R4" s="151">
        <v>3</v>
      </c>
      <c r="S4" s="151" t="s">
        <v>6</v>
      </c>
      <c r="T4" s="242"/>
      <c r="U4" s="244"/>
      <c r="V4" s="236"/>
    </row>
    <row r="5" spans="2:21" ht="15">
      <c r="B5" s="237" t="s">
        <v>65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</row>
    <row r="6" spans="1:22" ht="12.75">
      <c r="A6" s="18" t="s">
        <v>133</v>
      </c>
      <c r="B6" s="80" t="s">
        <v>238</v>
      </c>
      <c r="C6" s="8" t="s">
        <v>558</v>
      </c>
      <c r="D6" s="8" t="s">
        <v>425</v>
      </c>
      <c r="E6" s="8" t="str">
        <f>"1,1236"</f>
        <v>1,1236</v>
      </c>
      <c r="F6" s="8" t="s">
        <v>217</v>
      </c>
      <c r="G6" s="8" t="s">
        <v>32</v>
      </c>
      <c r="H6" s="79" t="s">
        <v>28</v>
      </c>
      <c r="I6" s="81" t="s">
        <v>75</v>
      </c>
      <c r="J6" s="79" t="s">
        <v>75</v>
      </c>
      <c r="K6" s="78"/>
      <c r="L6" s="79" t="s">
        <v>108</v>
      </c>
      <c r="M6" s="81" t="s">
        <v>67</v>
      </c>
      <c r="N6" s="78"/>
      <c r="O6" s="78"/>
      <c r="P6" s="79" t="s">
        <v>79</v>
      </c>
      <c r="Q6" s="79" t="s">
        <v>162</v>
      </c>
      <c r="R6" s="79" t="s">
        <v>44</v>
      </c>
      <c r="S6" s="78"/>
      <c r="T6" s="18" t="str">
        <f>"267,5"</f>
        <v>267,5</v>
      </c>
      <c r="U6" s="176">
        <v>300.563</v>
      </c>
      <c r="V6" s="8" t="s">
        <v>354</v>
      </c>
    </row>
    <row r="7" spans="1:22" ht="12.75">
      <c r="A7" s="19" t="s">
        <v>133</v>
      </c>
      <c r="B7" s="72" t="s">
        <v>237</v>
      </c>
      <c r="C7" s="9" t="s">
        <v>607</v>
      </c>
      <c r="D7" s="9" t="s">
        <v>372</v>
      </c>
      <c r="E7" s="9" t="str">
        <f>"1,1355"</f>
        <v>1,1355</v>
      </c>
      <c r="F7" s="9" t="s">
        <v>217</v>
      </c>
      <c r="G7" s="9" t="s">
        <v>32</v>
      </c>
      <c r="H7" s="70" t="s">
        <v>81</v>
      </c>
      <c r="I7" s="70" t="s">
        <v>64</v>
      </c>
      <c r="J7" s="70" t="s">
        <v>244</v>
      </c>
      <c r="K7" s="69"/>
      <c r="L7" s="70" t="s">
        <v>107</v>
      </c>
      <c r="M7" s="71" t="s">
        <v>108</v>
      </c>
      <c r="N7" s="70" t="s">
        <v>108</v>
      </c>
      <c r="O7" s="69"/>
      <c r="P7" s="70" t="s">
        <v>44</v>
      </c>
      <c r="Q7" s="71" t="s">
        <v>92</v>
      </c>
      <c r="R7" s="71" t="s">
        <v>243</v>
      </c>
      <c r="S7" s="69"/>
      <c r="T7" s="19" t="str">
        <f>"250,0"</f>
        <v>250,0</v>
      </c>
      <c r="U7" s="177">
        <v>283.875</v>
      </c>
      <c r="V7" s="9" t="s">
        <v>354</v>
      </c>
    </row>
    <row r="9" spans="2:21" ht="15">
      <c r="B9" s="238" t="s">
        <v>584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</row>
    <row r="10" spans="1:22" ht="12.75">
      <c r="A10" s="20" t="s">
        <v>133</v>
      </c>
      <c r="B10" s="66" t="s">
        <v>236</v>
      </c>
      <c r="C10" s="10" t="s">
        <v>608</v>
      </c>
      <c r="D10" s="10" t="s">
        <v>381</v>
      </c>
      <c r="E10" s="10" t="str">
        <f>"1,0283"</f>
        <v>1,0283</v>
      </c>
      <c r="F10" s="10" t="s">
        <v>581</v>
      </c>
      <c r="G10" s="10" t="s">
        <v>63</v>
      </c>
      <c r="H10" s="67" t="s">
        <v>64</v>
      </c>
      <c r="I10" s="65" t="s">
        <v>20</v>
      </c>
      <c r="J10" s="67" t="s">
        <v>28</v>
      </c>
      <c r="K10" s="64"/>
      <c r="L10" s="65" t="s">
        <v>149</v>
      </c>
      <c r="M10" s="65" t="s">
        <v>140</v>
      </c>
      <c r="N10" s="67" t="s">
        <v>139</v>
      </c>
      <c r="O10" s="64"/>
      <c r="P10" s="65" t="s">
        <v>20</v>
      </c>
      <c r="Q10" s="65" t="s">
        <v>28</v>
      </c>
      <c r="R10" s="65" t="s">
        <v>75</v>
      </c>
      <c r="S10" s="64"/>
      <c r="T10" s="20" t="str">
        <f>"250,0"</f>
        <v>250,0</v>
      </c>
      <c r="U10" s="168">
        <v>257.075</v>
      </c>
      <c r="V10" s="10" t="s">
        <v>344</v>
      </c>
    </row>
    <row r="12" spans="2:21" ht="15">
      <c r="B12" s="238" t="s">
        <v>170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</row>
    <row r="13" spans="1:22" ht="12.75">
      <c r="A13" s="20" t="s">
        <v>133</v>
      </c>
      <c r="B13" s="66" t="s">
        <v>235</v>
      </c>
      <c r="C13" s="10" t="s">
        <v>557</v>
      </c>
      <c r="D13" s="10" t="s">
        <v>426</v>
      </c>
      <c r="E13" s="10" t="str">
        <f>"0,7445"</f>
        <v>0,7445</v>
      </c>
      <c r="F13" s="10" t="s">
        <v>341</v>
      </c>
      <c r="G13" s="10" t="s">
        <v>598</v>
      </c>
      <c r="H13" s="65" t="s">
        <v>19</v>
      </c>
      <c r="I13" s="67" t="s">
        <v>90</v>
      </c>
      <c r="J13" s="67" t="s">
        <v>90</v>
      </c>
      <c r="K13" s="64"/>
      <c r="L13" s="65" t="s">
        <v>20</v>
      </c>
      <c r="M13" s="65" t="s">
        <v>73</v>
      </c>
      <c r="N13" s="65" t="s">
        <v>28</v>
      </c>
      <c r="O13" s="64"/>
      <c r="P13" s="65" t="s">
        <v>91</v>
      </c>
      <c r="Q13" s="67" t="s">
        <v>242</v>
      </c>
      <c r="R13" s="67" t="s">
        <v>242</v>
      </c>
      <c r="S13" s="64"/>
      <c r="T13" s="20" t="str">
        <f>"465,0"</f>
        <v>465,0</v>
      </c>
      <c r="U13" s="168">
        <v>346.192</v>
      </c>
      <c r="V13" s="10" t="s">
        <v>344</v>
      </c>
    </row>
    <row r="15" spans="2:21" ht="15">
      <c r="B15" s="238" t="s">
        <v>14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</row>
    <row r="16" spans="1:22" ht="12.75">
      <c r="A16" s="20" t="s">
        <v>133</v>
      </c>
      <c r="B16" s="66" t="s">
        <v>232</v>
      </c>
      <c r="C16" s="10" t="s">
        <v>609</v>
      </c>
      <c r="D16" s="10" t="s">
        <v>361</v>
      </c>
      <c r="E16" s="10" t="str">
        <f>"0,6395"</f>
        <v>0,6395</v>
      </c>
      <c r="F16" s="10" t="s">
        <v>341</v>
      </c>
      <c r="G16" s="10" t="s">
        <v>337</v>
      </c>
      <c r="H16" s="65" t="s">
        <v>24</v>
      </c>
      <c r="I16" s="65" t="s">
        <v>18</v>
      </c>
      <c r="J16" s="65" t="s">
        <v>33</v>
      </c>
      <c r="K16" s="64"/>
      <c r="L16" s="67" t="s">
        <v>162</v>
      </c>
      <c r="M16" s="65" t="s">
        <v>44</v>
      </c>
      <c r="N16" s="67" t="s">
        <v>92</v>
      </c>
      <c r="O16" s="64"/>
      <c r="P16" s="65" t="s">
        <v>23</v>
      </c>
      <c r="Q16" s="65" t="s">
        <v>24</v>
      </c>
      <c r="R16" s="65" t="s">
        <v>18</v>
      </c>
      <c r="S16" s="64"/>
      <c r="T16" s="20" t="str">
        <f>"470,0"</f>
        <v>470,0</v>
      </c>
      <c r="U16" s="168">
        <v>300.565</v>
      </c>
      <c r="V16" s="10" t="s">
        <v>344</v>
      </c>
    </row>
    <row r="18" spans="2:21" ht="15">
      <c r="B18" s="238" t="s">
        <v>25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</row>
    <row r="19" spans="1:22" ht="12.75">
      <c r="A19" s="20" t="s">
        <v>133</v>
      </c>
      <c r="B19" s="66" t="s">
        <v>233</v>
      </c>
      <c r="C19" s="10" t="s">
        <v>610</v>
      </c>
      <c r="D19" s="10" t="s">
        <v>427</v>
      </c>
      <c r="E19" s="10" t="str">
        <f>"0,6129"</f>
        <v>0,6129</v>
      </c>
      <c r="F19" s="10" t="s">
        <v>341</v>
      </c>
      <c r="G19" s="152" t="s">
        <v>453</v>
      </c>
      <c r="H19" s="65" t="s">
        <v>37</v>
      </c>
      <c r="I19" s="65" t="s">
        <v>91</v>
      </c>
      <c r="J19" s="65" t="s">
        <v>242</v>
      </c>
      <c r="K19" s="64"/>
      <c r="L19" s="65" t="s">
        <v>79</v>
      </c>
      <c r="M19" s="65" t="s">
        <v>92</v>
      </c>
      <c r="N19" s="67" t="s">
        <v>22</v>
      </c>
      <c r="O19" s="64"/>
      <c r="P19" s="65" t="s">
        <v>242</v>
      </c>
      <c r="Q19" s="65" t="s">
        <v>220</v>
      </c>
      <c r="R19" s="67" t="s">
        <v>43</v>
      </c>
      <c r="S19" s="64"/>
      <c r="T19" s="20" t="str">
        <f>"560,0"</f>
        <v>560,0</v>
      </c>
      <c r="U19" s="168">
        <v>343.224</v>
      </c>
      <c r="V19" s="10" t="s">
        <v>346</v>
      </c>
    </row>
    <row r="21" spans="2:21" ht="15">
      <c r="B21" s="238" t="s">
        <v>164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</row>
    <row r="22" spans="1:22" ht="12.75">
      <c r="A22" s="20" t="s">
        <v>133</v>
      </c>
      <c r="B22" s="66" t="s">
        <v>234</v>
      </c>
      <c r="C22" s="10" t="s">
        <v>611</v>
      </c>
      <c r="D22" s="10" t="s">
        <v>428</v>
      </c>
      <c r="E22" s="10" t="str">
        <f>"0,5740"</f>
        <v>0,5740</v>
      </c>
      <c r="F22" s="10" t="s">
        <v>166</v>
      </c>
      <c r="G22" s="10" t="s">
        <v>32</v>
      </c>
      <c r="H22" s="65" t="s">
        <v>42</v>
      </c>
      <c r="I22" s="65" t="s">
        <v>241</v>
      </c>
      <c r="J22" s="67" t="s">
        <v>240</v>
      </c>
      <c r="K22" s="64"/>
      <c r="L22" s="65" t="s">
        <v>37</v>
      </c>
      <c r="M22" s="65" t="s">
        <v>38</v>
      </c>
      <c r="N22" s="65" t="s">
        <v>239</v>
      </c>
      <c r="O22" s="64"/>
      <c r="P22" s="65" t="s">
        <v>225</v>
      </c>
      <c r="Q22" s="65" t="s">
        <v>146</v>
      </c>
      <c r="R22" s="65" t="s">
        <v>99</v>
      </c>
      <c r="S22" s="64"/>
      <c r="T22" s="20" t="str">
        <f>"705,0"</f>
        <v>705,0</v>
      </c>
      <c r="U22" s="168">
        <v>404.67</v>
      </c>
      <c r="V22" s="10" t="s">
        <v>344</v>
      </c>
    </row>
    <row r="24" ht="15">
      <c r="F24" s="6"/>
    </row>
    <row r="25" ht="15">
      <c r="F25" s="6"/>
    </row>
    <row r="26" ht="15">
      <c r="F26" s="6"/>
    </row>
  </sheetData>
  <sheetProtection/>
  <mergeCells count="20">
    <mergeCell ref="B18:U18"/>
    <mergeCell ref="B21:U21"/>
    <mergeCell ref="T3:T4"/>
    <mergeCell ref="U3:U4"/>
    <mergeCell ref="A3:A4"/>
    <mergeCell ref="B3:B4"/>
    <mergeCell ref="C3:C4"/>
    <mergeCell ref="D3:D4"/>
    <mergeCell ref="B15:U15"/>
    <mergeCell ref="E3:E4"/>
    <mergeCell ref="V3:V4"/>
    <mergeCell ref="B5:U5"/>
    <mergeCell ref="B9:U9"/>
    <mergeCell ref="B12:U12"/>
    <mergeCell ref="P3:S3"/>
    <mergeCell ref="A1:V2"/>
    <mergeCell ref="F3:F4"/>
    <mergeCell ref="G3:G4"/>
    <mergeCell ref="H3:K3"/>
    <mergeCell ref="L3:O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zoomScalePageLayoutView="0" workbookViewId="0" topLeftCell="A1">
      <selection activeCell="C6" sqref="C6"/>
    </sheetView>
  </sheetViews>
  <sheetFormatPr defaultColWidth="9.00390625" defaultRowHeight="12.75"/>
  <cols>
    <col min="1" max="1" width="9.125" style="4" customWidth="1"/>
    <col min="2" max="2" width="26.00390625" style="5" bestFit="1" customWidth="1"/>
    <col min="3" max="3" width="31.125" style="5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9.75390625" style="5" customWidth="1"/>
    <col min="8" max="10" width="4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6" width="7.875" style="5" bestFit="1" customWidth="1"/>
    <col min="17" max="17" width="8.625" style="4" bestFit="1" customWidth="1"/>
    <col min="18" max="18" width="16.375" style="5" customWidth="1"/>
    <col min="19" max="16384" width="9.125" style="4" customWidth="1"/>
  </cols>
  <sheetData>
    <row r="1" spans="1:18" s="3" customFormat="1" ht="28.5" customHeight="1">
      <c r="A1" s="240" t="s">
        <v>538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s="3" customFormat="1" ht="61.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</row>
    <row r="3" spans="1:18" s="1" customFormat="1" ht="12.75" customHeight="1">
      <c r="A3" s="260" t="s">
        <v>127</v>
      </c>
      <c r="B3" s="258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1</v>
      </c>
      <c r="I3" s="239"/>
      <c r="J3" s="239"/>
      <c r="K3" s="239"/>
      <c r="L3" s="239" t="s">
        <v>207</v>
      </c>
      <c r="M3" s="239"/>
      <c r="N3" s="239"/>
      <c r="O3" s="239"/>
      <c r="P3" s="239" t="s">
        <v>2</v>
      </c>
      <c r="Q3" s="239" t="s">
        <v>4</v>
      </c>
      <c r="R3" s="235" t="s">
        <v>3</v>
      </c>
    </row>
    <row r="4" spans="1:18" s="1" customFormat="1" ht="21" customHeight="1" thickBot="1">
      <c r="A4" s="261"/>
      <c r="B4" s="259"/>
      <c r="C4" s="242"/>
      <c r="D4" s="242"/>
      <c r="E4" s="242"/>
      <c r="F4" s="242"/>
      <c r="G4" s="242"/>
      <c r="H4" s="2">
        <v>1</v>
      </c>
      <c r="I4" s="2">
        <v>2</v>
      </c>
      <c r="J4" s="2">
        <v>3</v>
      </c>
      <c r="K4" s="2" t="s">
        <v>6</v>
      </c>
      <c r="L4" s="2">
        <v>1</v>
      </c>
      <c r="M4" s="2">
        <v>2</v>
      </c>
      <c r="N4" s="2">
        <v>3</v>
      </c>
      <c r="O4" s="2" t="s">
        <v>6</v>
      </c>
      <c r="P4" s="242"/>
      <c r="Q4" s="242"/>
      <c r="R4" s="236"/>
    </row>
    <row r="5" spans="2:17" ht="15">
      <c r="B5" s="237" t="s">
        <v>585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8" ht="12.75">
      <c r="A6" s="11" t="s">
        <v>133</v>
      </c>
      <c r="B6" s="10" t="s">
        <v>208</v>
      </c>
      <c r="C6" s="10" t="s">
        <v>661</v>
      </c>
      <c r="D6" s="10" t="s">
        <v>373</v>
      </c>
      <c r="E6" s="10" t="str">
        <f>"0,7023"</f>
        <v>0,7023</v>
      </c>
      <c r="F6" s="10" t="s">
        <v>581</v>
      </c>
      <c r="G6" s="10" t="s">
        <v>63</v>
      </c>
      <c r="H6" s="65" t="s">
        <v>70</v>
      </c>
      <c r="I6" s="65" t="s">
        <v>155</v>
      </c>
      <c r="J6" s="84" t="s">
        <v>64</v>
      </c>
      <c r="K6" s="68"/>
      <c r="L6" s="65" t="s">
        <v>23</v>
      </c>
      <c r="M6" s="65" t="s">
        <v>84</v>
      </c>
      <c r="N6" s="65" t="s">
        <v>47</v>
      </c>
      <c r="O6" s="68"/>
      <c r="P6" s="20" t="str">
        <f>"255,0"</f>
        <v>255,0</v>
      </c>
      <c r="Q6" s="174">
        <v>179.0865</v>
      </c>
      <c r="R6" s="10" t="s">
        <v>344</v>
      </c>
    </row>
    <row r="8" ht="15">
      <c r="F8" s="6"/>
    </row>
    <row r="9" ht="15">
      <c r="F9" s="6"/>
    </row>
    <row r="10" ht="15">
      <c r="F10" s="6"/>
    </row>
    <row r="11" ht="15">
      <c r="F11" s="6"/>
    </row>
    <row r="12" ht="15">
      <c r="F12" s="6"/>
    </row>
    <row r="13" ht="15">
      <c r="F13" s="6"/>
    </row>
    <row r="14" ht="15">
      <c r="F14" s="6"/>
    </row>
    <row r="16" spans="2:3" ht="18">
      <c r="B16" s="7"/>
      <c r="C16" s="7"/>
    </row>
    <row r="17" spans="2:3" ht="15">
      <c r="B17" s="12"/>
      <c r="C17" s="12"/>
    </row>
    <row r="18" spans="2:3" ht="14.25">
      <c r="B18" s="13"/>
      <c r="C18" s="14"/>
    </row>
    <row r="19" spans="2:6" ht="15">
      <c r="B19" s="1"/>
      <c r="C19" s="1"/>
      <c r="D19" s="1"/>
      <c r="E19" s="1"/>
      <c r="F19" s="1"/>
    </row>
    <row r="20" spans="2:6" ht="12.75">
      <c r="B20" s="63"/>
      <c r="F20" s="62"/>
    </row>
  </sheetData>
  <sheetProtection/>
  <mergeCells count="14">
    <mergeCell ref="H3:K3"/>
    <mergeCell ref="L3:O3"/>
    <mergeCell ref="P3:P4"/>
    <mergeCell ref="Q3:Q4"/>
    <mergeCell ref="R3:R4"/>
    <mergeCell ref="A3:A4"/>
    <mergeCell ref="A1:R2"/>
    <mergeCell ref="B5:Q5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1" max="1" width="9.125" style="3" customWidth="1"/>
    <col min="2" max="2" width="20.00390625" style="5" customWidth="1"/>
    <col min="3" max="3" width="28.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9.625" style="5" customWidth="1"/>
    <col min="8" max="10" width="5.625" style="4" bestFit="1" customWidth="1"/>
    <col min="11" max="11" width="4.875" style="4" bestFit="1" customWidth="1"/>
    <col min="12" max="12" width="11.25390625" style="4" bestFit="1" customWidth="1"/>
    <col min="13" max="13" width="8.625" style="4" bestFit="1" customWidth="1"/>
    <col min="14" max="14" width="16.625" style="5" bestFit="1" customWidth="1"/>
    <col min="15" max="16384" width="9.125" style="4" customWidth="1"/>
  </cols>
  <sheetData>
    <row r="1" spans="1:14" s="3" customFormat="1" ht="28.5" customHeight="1">
      <c r="A1" s="240" t="s">
        <v>531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3" customFormat="1" ht="61.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</row>
    <row r="3" spans="1:14" s="1" customFormat="1" ht="12.75" customHeight="1">
      <c r="A3" s="245" t="s">
        <v>127</v>
      </c>
      <c r="B3" s="247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207</v>
      </c>
      <c r="I3" s="239"/>
      <c r="J3" s="239"/>
      <c r="K3" s="239"/>
      <c r="L3" s="239" t="s">
        <v>96</v>
      </c>
      <c r="M3" s="239" t="s">
        <v>4</v>
      </c>
      <c r="N3" s="235" t="s">
        <v>3</v>
      </c>
    </row>
    <row r="4" spans="1:14" s="1" customFormat="1" ht="21" customHeight="1" thickBot="1">
      <c r="A4" s="246"/>
      <c r="B4" s="248"/>
      <c r="C4" s="242"/>
      <c r="D4" s="242"/>
      <c r="E4" s="242"/>
      <c r="F4" s="242"/>
      <c r="G4" s="242"/>
      <c r="H4" s="2">
        <v>1</v>
      </c>
      <c r="I4" s="2">
        <v>2</v>
      </c>
      <c r="J4" s="2">
        <v>3</v>
      </c>
      <c r="K4" s="2" t="s">
        <v>6</v>
      </c>
      <c r="L4" s="242"/>
      <c r="M4" s="242"/>
      <c r="N4" s="236"/>
    </row>
    <row r="5" spans="2:13" ht="15">
      <c r="B5" s="237" t="s">
        <v>65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4" ht="12.75">
      <c r="A6" s="20" t="s">
        <v>133</v>
      </c>
      <c r="B6" s="66" t="s">
        <v>215</v>
      </c>
      <c r="C6" s="10" t="s">
        <v>662</v>
      </c>
      <c r="D6" s="10" t="s">
        <v>372</v>
      </c>
      <c r="E6" s="10" t="str">
        <f>"1,1355"</f>
        <v>1,1355</v>
      </c>
      <c r="F6" s="10" t="s">
        <v>217</v>
      </c>
      <c r="G6" s="10" t="s">
        <v>32</v>
      </c>
      <c r="H6" s="65" t="s">
        <v>75</v>
      </c>
      <c r="I6" s="65" t="s">
        <v>34</v>
      </c>
      <c r="J6" s="65" t="s">
        <v>79</v>
      </c>
      <c r="K6" s="64"/>
      <c r="L6" s="20" t="str">
        <f>"115,0"</f>
        <v>115,0</v>
      </c>
      <c r="M6" s="174">
        <v>130.5825</v>
      </c>
      <c r="N6" s="10" t="s">
        <v>328</v>
      </c>
    </row>
    <row r="8" spans="2:13" ht="15">
      <c r="B8" s="238" t="s">
        <v>585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4" ht="12.75">
      <c r="A9" s="20" t="s">
        <v>133</v>
      </c>
      <c r="B9" s="66" t="s">
        <v>214</v>
      </c>
      <c r="C9" s="10" t="s">
        <v>616</v>
      </c>
      <c r="D9" s="10" t="s">
        <v>371</v>
      </c>
      <c r="E9" s="10" t="str">
        <f>"0,9347"</f>
        <v>0,9347</v>
      </c>
      <c r="F9" s="10" t="s">
        <v>217</v>
      </c>
      <c r="G9" s="10" t="s">
        <v>32</v>
      </c>
      <c r="H9" s="65" t="s">
        <v>80</v>
      </c>
      <c r="I9" s="67" t="s">
        <v>270</v>
      </c>
      <c r="J9" s="64"/>
      <c r="K9" s="64"/>
      <c r="L9" s="20" t="str">
        <f>"122,5"</f>
        <v>122,5</v>
      </c>
      <c r="M9" s="174">
        <v>114.5008</v>
      </c>
      <c r="N9" s="10" t="s">
        <v>328</v>
      </c>
    </row>
    <row r="11" spans="2:13" ht="15">
      <c r="B11" s="238" t="s">
        <v>584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</row>
    <row r="12" spans="1:14" ht="12.75">
      <c r="A12" s="20" t="s">
        <v>133</v>
      </c>
      <c r="B12" s="66" t="s">
        <v>212</v>
      </c>
      <c r="C12" s="10" t="s">
        <v>663</v>
      </c>
      <c r="D12" s="10" t="s">
        <v>370</v>
      </c>
      <c r="E12" s="10" t="str">
        <f>"0,7785"</f>
        <v>0,7785</v>
      </c>
      <c r="F12" s="10" t="s">
        <v>581</v>
      </c>
      <c r="G12" s="10" t="s">
        <v>63</v>
      </c>
      <c r="H12" s="65" t="s">
        <v>23</v>
      </c>
      <c r="I12" s="65" t="s">
        <v>18</v>
      </c>
      <c r="J12" s="65" t="s">
        <v>33</v>
      </c>
      <c r="K12" s="64"/>
      <c r="L12" s="20" t="str">
        <f>"180,0"</f>
        <v>180,0</v>
      </c>
      <c r="M12" s="168">
        <v>140.13</v>
      </c>
      <c r="N12" s="10" t="s">
        <v>344</v>
      </c>
    </row>
    <row r="14" spans="2:13" ht="15">
      <c r="B14" s="238" t="s">
        <v>170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</row>
    <row r="15" spans="1:14" ht="12.75">
      <c r="A15" s="20" t="s">
        <v>133</v>
      </c>
      <c r="B15" s="66" t="s">
        <v>211</v>
      </c>
      <c r="C15" s="10" t="s">
        <v>619</v>
      </c>
      <c r="D15" s="10" t="s">
        <v>359</v>
      </c>
      <c r="E15" s="10" t="str">
        <f>"0,7207"</f>
        <v>0,7207</v>
      </c>
      <c r="F15" s="10" t="s">
        <v>167</v>
      </c>
      <c r="G15" s="10" t="s">
        <v>27</v>
      </c>
      <c r="H15" s="65" t="s">
        <v>18</v>
      </c>
      <c r="I15" s="65" t="s">
        <v>239</v>
      </c>
      <c r="J15" s="65" t="s">
        <v>91</v>
      </c>
      <c r="K15" s="64"/>
      <c r="L15" s="20" t="str">
        <f>"190,0"</f>
        <v>190,0</v>
      </c>
      <c r="M15" s="174">
        <v>136.933</v>
      </c>
      <c r="N15" s="10" t="s">
        <v>344</v>
      </c>
    </row>
    <row r="17" spans="2:13" ht="15">
      <c r="B17" s="238" t="s">
        <v>585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4" ht="12.75">
      <c r="A18" s="18" t="s">
        <v>133</v>
      </c>
      <c r="B18" s="80" t="s">
        <v>206</v>
      </c>
      <c r="C18" s="8" t="s">
        <v>659</v>
      </c>
      <c r="D18" s="8" t="s">
        <v>369</v>
      </c>
      <c r="E18" s="8" t="str">
        <f>"0,6816"</f>
        <v>0,6816</v>
      </c>
      <c r="F18" s="8" t="s">
        <v>166</v>
      </c>
      <c r="G18" s="8" t="s">
        <v>63</v>
      </c>
      <c r="H18" s="79" t="s">
        <v>43</v>
      </c>
      <c r="I18" s="78"/>
      <c r="J18" s="78"/>
      <c r="K18" s="78"/>
      <c r="L18" s="18" t="str">
        <f>"235,0"</f>
        <v>235,0</v>
      </c>
      <c r="M18" s="183">
        <v>160.176</v>
      </c>
      <c r="N18" s="8" t="s">
        <v>344</v>
      </c>
    </row>
    <row r="19" spans="1:14" ht="12.75">
      <c r="A19" s="19" t="s">
        <v>133</v>
      </c>
      <c r="B19" s="72" t="s">
        <v>209</v>
      </c>
      <c r="C19" s="9" t="s">
        <v>576</v>
      </c>
      <c r="D19" s="9" t="s">
        <v>368</v>
      </c>
      <c r="E19" s="9" t="str">
        <f>"0,6779"</f>
        <v>0,6779</v>
      </c>
      <c r="F19" s="9" t="s">
        <v>341</v>
      </c>
      <c r="G19" s="9" t="s">
        <v>216</v>
      </c>
      <c r="H19" s="70" t="s">
        <v>59</v>
      </c>
      <c r="I19" s="70" t="s">
        <v>41</v>
      </c>
      <c r="J19" s="71" t="s">
        <v>42</v>
      </c>
      <c r="K19" s="69"/>
      <c r="L19" s="19" t="str">
        <f>"220,0"</f>
        <v>220,0</v>
      </c>
      <c r="M19" s="184">
        <v>158.0863</v>
      </c>
      <c r="N19" s="10" t="s">
        <v>344</v>
      </c>
    </row>
    <row r="21" spans="2:13" ht="15">
      <c r="B21" s="238" t="s">
        <v>25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</row>
    <row r="22" spans="1:14" ht="12.75">
      <c r="A22" s="160" t="s">
        <v>133</v>
      </c>
      <c r="B22" s="80" t="s">
        <v>213</v>
      </c>
      <c r="C22" s="8" t="s">
        <v>664</v>
      </c>
      <c r="D22" s="8" t="s">
        <v>367</v>
      </c>
      <c r="E22" s="8" t="str">
        <f>"0,6260"</f>
        <v>0,6260</v>
      </c>
      <c r="F22" s="8" t="s">
        <v>581</v>
      </c>
      <c r="G22" s="8" t="s">
        <v>63</v>
      </c>
      <c r="H22" s="79" t="s">
        <v>95</v>
      </c>
      <c r="I22" s="79" t="s">
        <v>59</v>
      </c>
      <c r="J22" s="79" t="s">
        <v>41</v>
      </c>
      <c r="K22" s="78"/>
      <c r="L22" s="18" t="str">
        <f>"220,0"</f>
        <v>220,0</v>
      </c>
      <c r="M22" s="169">
        <v>137.72</v>
      </c>
      <c r="N22" s="8" t="s">
        <v>344</v>
      </c>
    </row>
    <row r="23" spans="1:14" ht="12.75">
      <c r="A23" s="161" t="s">
        <v>133</v>
      </c>
      <c r="B23" s="77" t="s">
        <v>204</v>
      </c>
      <c r="C23" s="73" t="s">
        <v>623</v>
      </c>
      <c r="D23" s="73" t="s">
        <v>366</v>
      </c>
      <c r="E23" s="73" t="str">
        <f>"0,6269"</f>
        <v>0,6269</v>
      </c>
      <c r="F23" s="73" t="s">
        <v>89</v>
      </c>
      <c r="G23" s="73" t="s">
        <v>405</v>
      </c>
      <c r="H23" s="163" t="s">
        <v>33</v>
      </c>
      <c r="I23" s="76" t="s">
        <v>95</v>
      </c>
      <c r="J23" s="76" t="s">
        <v>41</v>
      </c>
      <c r="K23" s="75"/>
      <c r="L23" s="74" t="str">
        <f>"220,0"</f>
        <v>220,0</v>
      </c>
      <c r="M23" s="182">
        <v>137.918</v>
      </c>
      <c r="N23" s="73" t="s">
        <v>336</v>
      </c>
    </row>
    <row r="24" spans="1:14" ht="12.75">
      <c r="A24" s="162" t="s">
        <v>134</v>
      </c>
      <c r="B24" s="72" t="s">
        <v>210</v>
      </c>
      <c r="C24" s="9" t="s">
        <v>665</v>
      </c>
      <c r="D24" s="9" t="s">
        <v>365</v>
      </c>
      <c r="E24" s="9" t="str">
        <f>"0,6318"</f>
        <v>0,6318</v>
      </c>
      <c r="F24" s="9" t="s">
        <v>341</v>
      </c>
      <c r="G24" s="9" t="s">
        <v>32</v>
      </c>
      <c r="H24" s="71" t="s">
        <v>22</v>
      </c>
      <c r="I24" s="70" t="s">
        <v>86</v>
      </c>
      <c r="J24" s="70" t="s">
        <v>83</v>
      </c>
      <c r="K24" s="69"/>
      <c r="L24" s="19" t="str">
        <f>"155,0"</f>
        <v>155,0</v>
      </c>
      <c r="M24" s="170">
        <v>97.929</v>
      </c>
      <c r="N24" s="9" t="s">
        <v>328</v>
      </c>
    </row>
    <row r="26" spans="2:13" ht="15">
      <c r="B26" s="238" t="s">
        <v>29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</row>
    <row r="27" spans="1:14" ht="12.75">
      <c r="A27" s="20" t="s">
        <v>133</v>
      </c>
      <c r="B27" s="66" t="s">
        <v>203</v>
      </c>
      <c r="C27" s="10" t="s">
        <v>660</v>
      </c>
      <c r="D27" s="10" t="s">
        <v>364</v>
      </c>
      <c r="E27" s="10" t="str">
        <f>"0,5893"</f>
        <v>0,5893</v>
      </c>
      <c r="F27" s="10" t="s">
        <v>341</v>
      </c>
      <c r="G27" s="10" t="s">
        <v>168</v>
      </c>
      <c r="H27" s="65" t="s">
        <v>725</v>
      </c>
      <c r="I27" s="65" t="s">
        <v>724</v>
      </c>
      <c r="J27" s="67" t="s">
        <v>726</v>
      </c>
      <c r="K27" s="64"/>
      <c r="L27" s="20" t="str">
        <f>"305,0"</f>
        <v>305,0</v>
      </c>
      <c r="M27" s="174">
        <v>179.7365</v>
      </c>
      <c r="N27" s="10" t="s">
        <v>353</v>
      </c>
    </row>
    <row r="29" ht="15">
      <c r="F29" s="6"/>
    </row>
    <row r="30" ht="15">
      <c r="F30" s="6"/>
    </row>
    <row r="31" ht="15">
      <c r="F31" s="6"/>
    </row>
    <row r="32" ht="15">
      <c r="F32" s="6"/>
    </row>
    <row r="33" ht="15">
      <c r="F33" s="6"/>
    </row>
    <row r="34" ht="15">
      <c r="F34" s="6"/>
    </row>
    <row r="35" ht="15">
      <c r="F35" s="6"/>
    </row>
    <row r="37" spans="1:6" ht="18">
      <c r="A37" s="105"/>
      <c r="B37" s="90"/>
      <c r="C37" s="90"/>
      <c r="D37" s="91"/>
      <c r="E37" s="91"/>
      <c r="F37" s="91"/>
    </row>
    <row r="38" spans="1:6" ht="15">
      <c r="A38" s="105"/>
      <c r="B38" s="92"/>
      <c r="C38" s="92"/>
      <c r="D38" s="91"/>
      <c r="E38" s="91"/>
      <c r="F38" s="91"/>
    </row>
    <row r="39" spans="1:6" ht="14.25">
      <c r="A39" s="105"/>
      <c r="B39" s="93"/>
      <c r="C39" s="94"/>
      <c r="D39" s="91"/>
      <c r="E39" s="91"/>
      <c r="F39" s="91"/>
    </row>
    <row r="40" spans="1:6" ht="15">
      <c r="A40" s="105"/>
      <c r="B40" s="96"/>
      <c r="C40" s="96"/>
      <c r="D40" s="96"/>
      <c r="E40" s="96"/>
      <c r="F40" s="96"/>
    </row>
    <row r="41" spans="1:6" ht="12.75">
      <c r="A41" s="105"/>
      <c r="B41" s="97"/>
      <c r="C41" s="91"/>
      <c r="D41" s="91"/>
      <c r="E41" s="91"/>
      <c r="F41" s="98"/>
    </row>
    <row r="42" spans="1:6" ht="12.75">
      <c r="A42" s="105"/>
      <c r="B42" s="97"/>
      <c r="C42" s="91"/>
      <c r="D42" s="91"/>
      <c r="E42" s="91"/>
      <c r="F42" s="98"/>
    </row>
    <row r="43" spans="1:6" ht="12.75">
      <c r="A43" s="105"/>
      <c r="B43" s="91"/>
      <c r="C43" s="91"/>
      <c r="D43" s="91"/>
      <c r="E43" s="91"/>
      <c r="F43" s="91"/>
    </row>
    <row r="44" spans="1:6" ht="12.75">
      <c r="A44" s="105"/>
      <c r="B44" s="91"/>
      <c r="C44" s="91"/>
      <c r="D44" s="91"/>
      <c r="E44" s="91"/>
      <c r="F44" s="91"/>
    </row>
    <row r="45" spans="1:6" ht="15">
      <c r="A45" s="105"/>
      <c r="B45" s="92"/>
      <c r="C45" s="92"/>
      <c r="D45" s="91"/>
      <c r="E45" s="91"/>
      <c r="F45" s="91"/>
    </row>
    <row r="46" spans="1:6" ht="14.25">
      <c r="A46" s="105"/>
      <c r="B46" s="93"/>
      <c r="C46" s="94"/>
      <c r="D46" s="91"/>
      <c r="E46" s="91"/>
      <c r="F46" s="91"/>
    </row>
    <row r="47" spans="1:6" ht="15">
      <c r="A47" s="105"/>
      <c r="B47" s="96"/>
      <c r="C47" s="96"/>
      <c r="D47" s="96"/>
      <c r="E47" s="96"/>
      <c r="F47" s="96"/>
    </row>
    <row r="48" spans="1:6" ht="12.75">
      <c r="A48" s="105"/>
      <c r="B48" s="97"/>
      <c r="C48" s="91"/>
      <c r="D48" s="91"/>
      <c r="E48" s="91"/>
      <c r="F48" s="98"/>
    </row>
    <row r="49" spans="1:6" ht="12.75">
      <c r="A49" s="105"/>
      <c r="B49" s="91"/>
      <c r="C49" s="91"/>
      <c r="D49" s="91"/>
      <c r="E49" s="91"/>
      <c r="F49" s="91"/>
    </row>
    <row r="50" spans="1:6" ht="14.25">
      <c r="A50" s="105"/>
      <c r="B50" s="93"/>
      <c r="C50" s="94"/>
      <c r="D50" s="91"/>
      <c r="E50" s="91"/>
      <c r="F50" s="91"/>
    </row>
    <row r="51" spans="1:6" ht="15">
      <c r="A51" s="105"/>
      <c r="B51" s="96"/>
      <c r="C51" s="96"/>
      <c r="D51" s="96"/>
      <c r="E51" s="96"/>
      <c r="F51" s="96"/>
    </row>
    <row r="52" spans="1:6" ht="12.75">
      <c r="A52" s="105"/>
      <c r="B52" s="97"/>
      <c r="C52" s="91"/>
      <c r="D52" s="91"/>
      <c r="E52" s="91"/>
      <c r="F52" s="98"/>
    </row>
    <row r="53" spans="1:6" ht="12.75">
      <c r="A53" s="105"/>
      <c r="B53" s="97"/>
      <c r="C53" s="91"/>
      <c r="D53" s="91"/>
      <c r="E53" s="91"/>
      <c r="F53" s="98"/>
    </row>
    <row r="54" spans="1:6" ht="12.75">
      <c r="A54" s="105"/>
      <c r="B54" s="97"/>
      <c r="C54" s="91"/>
      <c r="D54" s="91"/>
      <c r="E54" s="91"/>
      <c r="F54" s="98"/>
    </row>
    <row r="55" spans="1:6" ht="12.75">
      <c r="A55" s="105"/>
      <c r="B55" s="97"/>
      <c r="C55" s="91"/>
      <c r="D55" s="91"/>
      <c r="E55" s="91"/>
      <c r="F55" s="98"/>
    </row>
    <row r="56" spans="1:6" ht="12.75">
      <c r="A56" s="105"/>
      <c r="B56" s="97"/>
      <c r="C56" s="91"/>
      <c r="D56" s="91"/>
      <c r="E56" s="91"/>
      <c r="F56" s="98"/>
    </row>
    <row r="57" spans="1:6" ht="12.75">
      <c r="A57" s="105"/>
      <c r="B57" s="97"/>
      <c r="C57" s="91"/>
      <c r="D57" s="91"/>
      <c r="E57" s="91"/>
      <c r="F57" s="98"/>
    </row>
    <row r="58" spans="1:6" ht="12.75">
      <c r="A58" s="105"/>
      <c r="B58" s="91"/>
      <c r="C58" s="91"/>
      <c r="D58" s="91"/>
      <c r="E58" s="91"/>
      <c r="F58" s="91"/>
    </row>
    <row r="59" spans="1:6" ht="14.25">
      <c r="A59" s="105"/>
      <c r="B59" s="93"/>
      <c r="C59" s="94"/>
      <c r="D59" s="91"/>
      <c r="E59" s="91"/>
      <c r="F59" s="91"/>
    </row>
    <row r="60" spans="1:6" ht="15">
      <c r="A60" s="105"/>
      <c r="B60" s="96"/>
      <c r="C60" s="96"/>
      <c r="D60" s="96"/>
      <c r="E60" s="96"/>
      <c r="F60" s="96"/>
    </row>
    <row r="61" spans="1:6" ht="12.75">
      <c r="A61" s="105"/>
      <c r="B61" s="97"/>
      <c r="C61" s="91"/>
      <c r="D61" s="91"/>
      <c r="E61" s="91"/>
      <c r="F61" s="98"/>
    </row>
    <row r="62" spans="1:6" ht="12.75">
      <c r="A62" s="105"/>
      <c r="B62" s="91"/>
      <c r="C62" s="91"/>
      <c r="D62" s="91"/>
      <c r="E62" s="91"/>
      <c r="F62" s="91"/>
    </row>
    <row r="63" spans="1:6" ht="12.75">
      <c r="A63" s="105"/>
      <c r="B63" s="91"/>
      <c r="C63" s="91"/>
      <c r="D63" s="91"/>
      <c r="E63" s="91"/>
      <c r="F63" s="91"/>
    </row>
  </sheetData>
  <sheetProtection/>
  <mergeCells count="19">
    <mergeCell ref="A1:N2"/>
    <mergeCell ref="A3:A4"/>
    <mergeCell ref="N3:N4"/>
    <mergeCell ref="B5:M5"/>
    <mergeCell ref="B8:M8"/>
    <mergeCell ref="B11:M11"/>
    <mergeCell ref="B3:B4"/>
    <mergeCell ref="C3:C4"/>
    <mergeCell ref="D3:D4"/>
    <mergeCell ref="E3:E4"/>
    <mergeCell ref="F3:F4"/>
    <mergeCell ref="B14:M14"/>
    <mergeCell ref="B17:M17"/>
    <mergeCell ref="B21:M21"/>
    <mergeCell ref="B26:M26"/>
    <mergeCell ref="L3:L4"/>
    <mergeCell ref="M3:M4"/>
    <mergeCell ref="G3:G4"/>
    <mergeCell ref="H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="90" zoomScaleNormal="90" zoomScalePageLayoutView="0" workbookViewId="0" topLeftCell="A1">
      <selection activeCell="C13" sqref="C13"/>
    </sheetView>
  </sheetViews>
  <sheetFormatPr defaultColWidth="9.00390625" defaultRowHeight="12.75"/>
  <cols>
    <col min="1" max="1" width="9.125" style="3" customWidth="1"/>
    <col min="2" max="2" width="22.25390625" style="5" customWidth="1"/>
    <col min="3" max="3" width="28.3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4.00390625" style="5" customWidth="1"/>
    <col min="8" max="10" width="5.625" style="4" bestFit="1" customWidth="1"/>
    <col min="11" max="11" width="4.875" style="4" bestFit="1" customWidth="1"/>
    <col min="12" max="12" width="11.25390625" style="4" bestFit="1" customWidth="1"/>
    <col min="13" max="13" width="9.125" style="4" customWidth="1"/>
    <col min="14" max="14" width="16.875" style="5" bestFit="1" customWidth="1"/>
    <col min="15" max="16384" width="9.125" style="4" customWidth="1"/>
  </cols>
  <sheetData>
    <row r="1" spans="1:14" s="3" customFormat="1" ht="28.5" customHeight="1">
      <c r="A1" s="240" t="s">
        <v>539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3" customFormat="1" ht="61.5" customHeight="1" thickBo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7"/>
    </row>
    <row r="3" spans="1:14" s="1" customFormat="1" ht="12.75" customHeight="1">
      <c r="A3" s="245" t="s">
        <v>127</v>
      </c>
      <c r="B3" s="247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207</v>
      </c>
      <c r="I3" s="239"/>
      <c r="J3" s="239"/>
      <c r="K3" s="239"/>
      <c r="L3" s="239" t="s">
        <v>96</v>
      </c>
      <c r="M3" s="239" t="s">
        <v>4</v>
      </c>
      <c r="N3" s="235" t="s">
        <v>3</v>
      </c>
    </row>
    <row r="4" spans="1:14" s="1" customFormat="1" ht="21" customHeight="1" thickBot="1">
      <c r="A4" s="246"/>
      <c r="B4" s="248"/>
      <c r="C4" s="242"/>
      <c r="D4" s="242"/>
      <c r="E4" s="242"/>
      <c r="F4" s="242"/>
      <c r="G4" s="242"/>
      <c r="H4" s="2">
        <v>1</v>
      </c>
      <c r="I4" s="2">
        <v>2</v>
      </c>
      <c r="J4" s="2">
        <v>3</v>
      </c>
      <c r="K4" s="2" t="s">
        <v>6</v>
      </c>
      <c r="L4" s="242"/>
      <c r="M4" s="242"/>
      <c r="N4" s="236"/>
    </row>
    <row r="5" spans="2:13" ht="15">
      <c r="B5" s="237" t="s">
        <v>170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4" ht="12.75">
      <c r="A6" s="20" t="s">
        <v>133</v>
      </c>
      <c r="B6" s="66" t="s">
        <v>221</v>
      </c>
      <c r="C6" s="10" t="s">
        <v>666</v>
      </c>
      <c r="D6" s="10" t="s">
        <v>359</v>
      </c>
      <c r="E6" s="10" t="str">
        <f>"0,7207"</f>
        <v>0,7207</v>
      </c>
      <c r="F6" s="10" t="s">
        <v>179</v>
      </c>
      <c r="G6" s="10" t="s">
        <v>27</v>
      </c>
      <c r="H6" s="65" t="s">
        <v>231</v>
      </c>
      <c r="I6" s="65" t="s">
        <v>41</v>
      </c>
      <c r="J6" s="65" t="s">
        <v>220</v>
      </c>
      <c r="K6" s="64"/>
      <c r="L6" s="20" t="str">
        <f>"225,0"</f>
        <v>225,0</v>
      </c>
      <c r="M6" s="174">
        <v>162.1575</v>
      </c>
      <c r="N6" s="10" t="s">
        <v>344</v>
      </c>
    </row>
    <row r="8" spans="2:13" ht="15">
      <c r="B8" s="238" t="s">
        <v>14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4" ht="12.75">
      <c r="A9" s="18" t="s">
        <v>133</v>
      </c>
      <c r="B9" s="80" t="s">
        <v>224</v>
      </c>
      <c r="C9" s="8" t="s">
        <v>667</v>
      </c>
      <c r="D9" s="8" t="s">
        <v>360</v>
      </c>
      <c r="E9" s="8" t="str">
        <f>"0,6428"</f>
        <v>0,6428</v>
      </c>
      <c r="F9" s="8" t="s">
        <v>16</v>
      </c>
      <c r="G9" s="8" t="s">
        <v>17</v>
      </c>
      <c r="H9" s="79" t="s">
        <v>227</v>
      </c>
      <c r="I9" s="79" t="s">
        <v>225</v>
      </c>
      <c r="J9" s="79" t="s">
        <v>146</v>
      </c>
      <c r="K9" s="78"/>
      <c r="L9" s="18" t="str">
        <f>"270,0"</f>
        <v>270,0</v>
      </c>
      <c r="M9" s="188">
        <v>173.556</v>
      </c>
      <c r="N9" s="8" t="s">
        <v>344</v>
      </c>
    </row>
    <row r="10" spans="1:14" ht="12.75">
      <c r="A10" s="19" t="s">
        <v>134</v>
      </c>
      <c r="B10" s="72" t="s">
        <v>219</v>
      </c>
      <c r="C10" s="9" t="s">
        <v>612</v>
      </c>
      <c r="D10" s="9" t="s">
        <v>361</v>
      </c>
      <c r="E10" s="9" t="str">
        <f>"0,6395"</f>
        <v>0,6395</v>
      </c>
      <c r="F10" s="9" t="s">
        <v>62</v>
      </c>
      <c r="G10" s="9" t="s">
        <v>230</v>
      </c>
      <c r="H10" s="70" t="s">
        <v>227</v>
      </c>
      <c r="I10" s="201" t="s">
        <v>218</v>
      </c>
      <c r="J10" s="86" t="s">
        <v>143</v>
      </c>
      <c r="K10" s="69"/>
      <c r="L10" s="19" t="str">
        <f>"245,0"</f>
        <v>245,0</v>
      </c>
      <c r="M10" s="186">
        <v>156.6775</v>
      </c>
      <c r="N10" s="9" t="s">
        <v>128</v>
      </c>
    </row>
    <row r="12" spans="2:13" ht="15">
      <c r="B12" s="238" t="s">
        <v>25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</row>
    <row r="13" spans="1:14" ht="12.75">
      <c r="A13" s="20" t="s">
        <v>133</v>
      </c>
      <c r="B13" s="66" t="s">
        <v>223</v>
      </c>
      <c r="C13" s="10" t="s">
        <v>668</v>
      </c>
      <c r="D13" s="10" t="s">
        <v>362</v>
      </c>
      <c r="E13" s="10" t="str">
        <f>"0,6101"</f>
        <v>0,6101</v>
      </c>
      <c r="F13" s="10" t="s">
        <v>217</v>
      </c>
      <c r="G13" s="10" t="s">
        <v>32</v>
      </c>
      <c r="H13" s="65" t="s">
        <v>229</v>
      </c>
      <c r="I13" s="65" t="s">
        <v>228</v>
      </c>
      <c r="J13" s="65" t="s">
        <v>222</v>
      </c>
      <c r="K13" s="64"/>
      <c r="L13" s="20" t="str">
        <f>"282,5"</f>
        <v>282,5</v>
      </c>
      <c r="M13" s="174">
        <v>172.3532</v>
      </c>
      <c r="N13" s="10" t="s">
        <v>344</v>
      </c>
    </row>
    <row r="15" spans="2:13" ht="15">
      <c r="B15" s="238" t="s">
        <v>29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4" ht="12.75">
      <c r="A16" s="20" t="s">
        <v>133</v>
      </c>
      <c r="B16" s="66" t="s">
        <v>226</v>
      </c>
      <c r="C16" s="10" t="s">
        <v>577</v>
      </c>
      <c r="D16" s="10" t="s">
        <v>363</v>
      </c>
      <c r="E16" s="10" t="str">
        <f>"0,6081"</f>
        <v>0,6081</v>
      </c>
      <c r="F16" s="10" t="s">
        <v>217</v>
      </c>
      <c r="G16" s="10" t="s">
        <v>335</v>
      </c>
      <c r="H16" s="65" t="s">
        <v>95</v>
      </c>
      <c r="I16" s="65" t="s">
        <v>227</v>
      </c>
      <c r="J16" s="65" t="s">
        <v>225</v>
      </c>
      <c r="K16" s="64"/>
      <c r="L16" s="20" t="str">
        <f>"260,0"</f>
        <v>260,0</v>
      </c>
      <c r="M16" s="174">
        <v>158.106</v>
      </c>
      <c r="N16" s="10" t="s">
        <v>344</v>
      </c>
    </row>
    <row r="18" spans="1:7" ht="15">
      <c r="A18" s="105"/>
      <c r="B18" s="91"/>
      <c r="C18" s="91"/>
      <c r="D18" s="91"/>
      <c r="E18" s="91"/>
      <c r="F18" s="104"/>
      <c r="G18" s="91"/>
    </row>
    <row r="19" spans="1:7" ht="12.75">
      <c r="A19" s="105"/>
      <c r="B19" s="91"/>
      <c r="C19" s="91"/>
      <c r="D19" s="91"/>
      <c r="E19" s="91"/>
      <c r="F19" s="91"/>
      <c r="G19" s="91"/>
    </row>
    <row r="20" spans="1:7" ht="12.75">
      <c r="A20" s="105"/>
      <c r="B20" s="91"/>
      <c r="C20" s="91"/>
      <c r="D20" s="91"/>
      <c r="E20" s="91"/>
      <c r="F20" s="91"/>
      <c r="G20" s="91"/>
    </row>
    <row r="21" spans="1:7" ht="12.75">
      <c r="A21" s="105"/>
      <c r="B21" s="91"/>
      <c r="C21" s="91"/>
      <c r="D21" s="91"/>
      <c r="E21" s="91"/>
      <c r="F21" s="91"/>
      <c r="G21" s="91"/>
    </row>
    <row r="22" spans="1:7" ht="12.75">
      <c r="A22" s="105"/>
      <c r="B22" s="91"/>
      <c r="C22" s="91"/>
      <c r="D22" s="91"/>
      <c r="E22" s="91"/>
      <c r="F22" s="91"/>
      <c r="G22" s="91"/>
    </row>
    <row r="23" spans="1:7" ht="12.75">
      <c r="A23" s="105"/>
      <c r="B23" s="91"/>
      <c r="C23" s="91"/>
      <c r="D23" s="91"/>
      <c r="E23" s="91"/>
      <c r="F23" s="91"/>
      <c r="G23" s="91"/>
    </row>
    <row r="24" spans="1:7" ht="12.75">
      <c r="A24" s="105"/>
      <c r="B24" s="91"/>
      <c r="C24" s="91"/>
      <c r="D24" s="91"/>
      <c r="E24" s="91"/>
      <c r="F24" s="91"/>
      <c r="G24" s="91"/>
    </row>
    <row r="25" spans="1:7" ht="12.75">
      <c r="A25" s="105"/>
      <c r="B25" s="91"/>
      <c r="C25" s="91"/>
      <c r="D25" s="91"/>
      <c r="E25" s="91"/>
      <c r="F25" s="91"/>
      <c r="G25" s="91"/>
    </row>
  </sheetData>
  <sheetProtection/>
  <mergeCells count="16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B15:M15"/>
    <mergeCell ref="L3:L4"/>
    <mergeCell ref="M3:M4"/>
    <mergeCell ref="N3:N4"/>
    <mergeCell ref="B5:M5"/>
    <mergeCell ref="B8:M8"/>
    <mergeCell ref="B12:M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G18" sqref="G18"/>
    </sheetView>
  </sheetViews>
  <sheetFormatPr defaultColWidth="9.00390625" defaultRowHeight="12.75"/>
  <cols>
    <col min="1" max="1" width="9.125" style="34" customWidth="1"/>
    <col min="2" max="2" width="28.25390625" style="229" bestFit="1" customWidth="1"/>
    <col min="3" max="3" width="28.375" style="221" bestFit="1" customWidth="1"/>
    <col min="4" max="4" width="9.25390625" style="221" customWidth="1"/>
    <col min="5" max="5" width="8.375" style="221" bestFit="1" customWidth="1"/>
    <col min="6" max="6" width="15.75390625" style="221" customWidth="1"/>
    <col min="7" max="7" width="38.625" style="221" customWidth="1"/>
    <col min="8" max="12" width="4.625" style="25" bestFit="1" customWidth="1"/>
    <col min="13" max="13" width="6.125" style="25" customWidth="1"/>
    <col min="14" max="14" width="5.00390625" style="25" customWidth="1"/>
    <col min="15" max="15" width="6.625" style="25" customWidth="1"/>
    <col min="16" max="16" width="7.875" style="34" bestFit="1" customWidth="1"/>
    <col min="17" max="17" width="7.625" style="25" bestFit="1" customWidth="1"/>
    <col min="18" max="18" width="13.625" style="29" bestFit="1" customWidth="1"/>
    <col min="19" max="16384" width="9.125" style="25" customWidth="1"/>
  </cols>
  <sheetData>
    <row r="1" spans="2:18" ht="28.5" customHeight="1">
      <c r="B1" s="282" t="s">
        <v>669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4"/>
    </row>
    <row r="2" spans="2:18" ht="61.5" customHeight="1" thickBot="1"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1:18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141</v>
      </c>
      <c r="F3" s="274" t="s">
        <v>5</v>
      </c>
      <c r="G3" s="274" t="s">
        <v>7</v>
      </c>
      <c r="H3" s="274" t="s">
        <v>189</v>
      </c>
      <c r="I3" s="274"/>
      <c r="J3" s="274"/>
      <c r="K3" s="274"/>
      <c r="L3" s="274" t="s">
        <v>723</v>
      </c>
      <c r="M3" s="274"/>
      <c r="N3" s="274"/>
      <c r="O3" s="274"/>
      <c r="P3" s="274" t="s">
        <v>2</v>
      </c>
      <c r="Q3" s="274" t="s">
        <v>4</v>
      </c>
      <c r="R3" s="278" t="s">
        <v>3</v>
      </c>
    </row>
    <row r="4" spans="1:18" s="26" customFormat="1" ht="21" customHeight="1" thickBot="1">
      <c r="A4" s="277"/>
      <c r="B4" s="288"/>
      <c r="C4" s="242"/>
      <c r="D4" s="242"/>
      <c r="E4" s="275"/>
      <c r="F4" s="275"/>
      <c r="G4" s="275"/>
      <c r="H4" s="28">
        <v>1</v>
      </c>
      <c r="I4" s="28">
        <v>2</v>
      </c>
      <c r="J4" s="28">
        <v>3</v>
      </c>
      <c r="K4" s="28" t="s">
        <v>6</v>
      </c>
      <c r="L4" s="28">
        <v>1</v>
      </c>
      <c r="M4" s="28">
        <v>2</v>
      </c>
      <c r="N4" s="28">
        <v>3</v>
      </c>
      <c r="O4" s="28" t="s">
        <v>6</v>
      </c>
      <c r="P4" s="275"/>
      <c r="Q4" s="275"/>
      <c r="R4" s="279"/>
    </row>
    <row r="5" spans="2:17" ht="15">
      <c r="B5" s="280" t="s">
        <v>182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</row>
    <row r="6" spans="1:18" ht="12.75">
      <c r="A6" s="37" t="s">
        <v>133</v>
      </c>
      <c r="B6" s="227" t="s">
        <v>186</v>
      </c>
      <c r="C6" s="117" t="s">
        <v>631</v>
      </c>
      <c r="D6" s="117" t="s">
        <v>357</v>
      </c>
      <c r="E6" s="117" t="str">
        <f>"1,1282"</f>
        <v>1,1282</v>
      </c>
      <c r="F6" s="117" t="s">
        <v>341</v>
      </c>
      <c r="G6" s="117" t="s">
        <v>195</v>
      </c>
      <c r="H6" s="44" t="s">
        <v>125</v>
      </c>
      <c r="I6" s="110" t="s">
        <v>188</v>
      </c>
      <c r="J6" s="110" t="s">
        <v>188</v>
      </c>
      <c r="K6" s="111"/>
      <c r="L6" s="44" t="s">
        <v>125</v>
      </c>
      <c r="M6" s="112" t="s">
        <v>188</v>
      </c>
      <c r="N6" s="112" t="s">
        <v>188</v>
      </c>
      <c r="O6" s="111"/>
      <c r="P6" s="109" t="str">
        <f>"50,0"</f>
        <v>50,0</v>
      </c>
      <c r="Q6" s="190">
        <v>56.41</v>
      </c>
      <c r="R6" s="108" t="s">
        <v>332</v>
      </c>
    </row>
    <row r="7" spans="2:18" ht="12.75">
      <c r="B7" s="228"/>
      <c r="C7" s="220"/>
      <c r="D7" s="220"/>
      <c r="E7" s="220"/>
      <c r="F7" s="220"/>
      <c r="G7" s="220"/>
      <c r="H7" s="114"/>
      <c r="I7" s="114"/>
      <c r="J7" s="114"/>
      <c r="K7" s="114"/>
      <c r="L7" s="114"/>
      <c r="M7" s="114"/>
      <c r="N7" s="114"/>
      <c r="O7" s="114"/>
      <c r="P7" s="118"/>
      <c r="Q7" s="114"/>
      <c r="R7" s="115"/>
    </row>
    <row r="8" spans="2:18" ht="15">
      <c r="B8" s="281" t="s">
        <v>170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115"/>
    </row>
    <row r="9" spans="1:18" ht="12.75">
      <c r="A9" s="37" t="s">
        <v>133</v>
      </c>
      <c r="B9" s="227" t="s">
        <v>185</v>
      </c>
      <c r="C9" s="117" t="s">
        <v>572</v>
      </c>
      <c r="D9" s="117" t="s">
        <v>358</v>
      </c>
      <c r="E9" s="117" t="str">
        <f>"0,6962"</f>
        <v>0,6962</v>
      </c>
      <c r="F9" s="117" t="s">
        <v>341</v>
      </c>
      <c r="G9" s="117" t="s">
        <v>195</v>
      </c>
      <c r="H9" s="44" t="s">
        <v>187</v>
      </c>
      <c r="I9" s="44" t="s">
        <v>149</v>
      </c>
      <c r="J9" s="110" t="s">
        <v>68</v>
      </c>
      <c r="K9" s="111"/>
      <c r="L9" s="44" t="s">
        <v>149</v>
      </c>
      <c r="M9" s="111"/>
      <c r="N9" s="111"/>
      <c r="O9" s="111"/>
      <c r="P9" s="109" t="str">
        <f>"100,0"</f>
        <v>100,0</v>
      </c>
      <c r="Q9" s="189">
        <v>69.615</v>
      </c>
      <c r="R9" s="108" t="s">
        <v>355</v>
      </c>
    </row>
    <row r="11" ht="15">
      <c r="F11" s="230"/>
    </row>
    <row r="12" ht="15">
      <c r="F12" s="230"/>
    </row>
    <row r="13" ht="15">
      <c r="F13" s="230"/>
    </row>
    <row r="14" ht="15">
      <c r="F14" s="230"/>
    </row>
    <row r="15" ht="15">
      <c r="F15" s="230"/>
    </row>
    <row r="16" ht="15">
      <c r="F16" s="230"/>
    </row>
    <row r="17" ht="15">
      <c r="F17" s="230"/>
    </row>
    <row r="19" spans="1:6" ht="18">
      <c r="A19" s="164"/>
      <c r="B19" s="231"/>
      <c r="C19" s="222"/>
      <c r="D19" s="226"/>
      <c r="E19" s="226"/>
      <c r="F19" s="226"/>
    </row>
    <row r="20" spans="1:6" ht="15">
      <c r="A20" s="164"/>
      <c r="B20" s="232"/>
      <c r="C20" s="223"/>
      <c r="D20" s="226"/>
      <c r="E20" s="226"/>
      <c r="F20" s="226"/>
    </row>
    <row r="21" spans="1:6" ht="14.25">
      <c r="A21" s="164"/>
      <c r="B21" s="233"/>
      <c r="C21" s="224"/>
      <c r="D21" s="226"/>
      <c r="E21" s="226"/>
      <c r="F21" s="226"/>
    </row>
    <row r="22" spans="1:6" ht="15">
      <c r="A22" s="164"/>
      <c r="B22" s="225"/>
      <c r="C22" s="225"/>
      <c r="D22" s="225"/>
      <c r="E22" s="225"/>
      <c r="F22" s="225"/>
    </row>
    <row r="23" spans="1:6" ht="12.75">
      <c r="A23" s="164"/>
      <c r="B23" s="234"/>
      <c r="C23" s="226"/>
      <c r="D23" s="226"/>
      <c r="E23" s="226"/>
      <c r="F23" s="234"/>
    </row>
    <row r="24" spans="1:6" ht="12.75">
      <c r="A24" s="164"/>
      <c r="B24" s="234"/>
      <c r="C24" s="226"/>
      <c r="D24" s="226"/>
      <c r="E24" s="226"/>
      <c r="F24" s="226"/>
    </row>
    <row r="25" spans="1:6" ht="12.75">
      <c r="A25" s="164"/>
      <c r="B25" s="234"/>
      <c r="C25" s="226"/>
      <c r="D25" s="226"/>
      <c r="E25" s="226"/>
      <c r="F25" s="226"/>
    </row>
    <row r="26" spans="1:6" ht="15">
      <c r="A26" s="164"/>
      <c r="B26" s="232"/>
      <c r="C26" s="223"/>
      <c r="D26" s="226"/>
      <c r="E26" s="226"/>
      <c r="F26" s="226"/>
    </row>
    <row r="27" spans="1:6" ht="14.25">
      <c r="A27" s="164"/>
      <c r="B27" s="233"/>
      <c r="C27" s="224"/>
      <c r="D27" s="226"/>
      <c r="E27" s="226"/>
      <c r="F27" s="226"/>
    </row>
    <row r="28" spans="1:6" ht="15">
      <c r="A28" s="164"/>
      <c r="B28" s="225"/>
      <c r="C28" s="225"/>
      <c r="D28" s="225"/>
      <c r="E28" s="225"/>
      <c r="F28" s="225"/>
    </row>
    <row r="29" spans="1:6" ht="12.75">
      <c r="A29" s="164"/>
      <c r="B29" s="234"/>
      <c r="C29" s="226"/>
      <c r="D29" s="226"/>
      <c r="E29" s="226"/>
      <c r="F29" s="234"/>
    </row>
  </sheetData>
  <sheetProtection/>
  <mergeCells count="15">
    <mergeCell ref="F3:F4"/>
    <mergeCell ref="G3:G4"/>
    <mergeCell ref="H3:K3"/>
    <mergeCell ref="L3:O3"/>
    <mergeCell ref="P3:P4"/>
    <mergeCell ref="Q3:Q4"/>
    <mergeCell ref="A3:A4"/>
    <mergeCell ref="R3:R4"/>
    <mergeCell ref="B5:Q5"/>
    <mergeCell ref="B8:Q8"/>
    <mergeCell ref="B1:R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="80" zoomScaleNormal="80" zoomScalePageLayoutView="0" workbookViewId="0" topLeftCell="A1">
      <selection activeCell="D11" sqref="D11"/>
    </sheetView>
  </sheetViews>
  <sheetFormatPr defaultColWidth="9.00390625" defaultRowHeight="12.75"/>
  <cols>
    <col min="1" max="1" width="9.125" style="25" customWidth="1"/>
    <col min="2" max="2" width="28.25390625" style="32" bestFit="1" customWidth="1"/>
    <col min="3" max="3" width="29.875" style="25" customWidth="1"/>
    <col min="4" max="4" width="10.625" style="25" bestFit="1" customWidth="1"/>
    <col min="5" max="5" width="8.375" style="25" bestFit="1" customWidth="1"/>
    <col min="6" max="6" width="16.00390625" style="29" customWidth="1"/>
    <col min="7" max="7" width="37.00390625" style="29" bestFit="1" customWidth="1"/>
    <col min="8" max="11" width="4.625" style="25" bestFit="1" customWidth="1"/>
    <col min="12" max="12" width="5.25390625" style="25" customWidth="1"/>
    <col min="13" max="13" width="5.00390625" style="25" customWidth="1"/>
    <col min="14" max="14" width="5.125" style="25" customWidth="1"/>
    <col min="15" max="15" width="8.125" style="25" customWidth="1"/>
    <col min="16" max="16" width="7.875" style="32" bestFit="1" customWidth="1"/>
    <col min="17" max="17" width="8.625" style="25" bestFit="1" customWidth="1"/>
    <col min="18" max="18" width="16.75390625" style="29" customWidth="1"/>
    <col min="19" max="16384" width="9.125" style="25" customWidth="1"/>
  </cols>
  <sheetData>
    <row r="1" spans="2:18" ht="28.5" customHeight="1">
      <c r="B1" s="282" t="s">
        <v>540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4"/>
    </row>
    <row r="2" spans="2:18" ht="61.5" customHeight="1" thickBot="1"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1:18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141</v>
      </c>
      <c r="F3" s="274" t="s">
        <v>5</v>
      </c>
      <c r="G3" s="274" t="s">
        <v>7</v>
      </c>
      <c r="H3" s="274" t="s">
        <v>189</v>
      </c>
      <c r="I3" s="274"/>
      <c r="J3" s="274"/>
      <c r="K3" s="274"/>
      <c r="L3" s="274" t="s">
        <v>723</v>
      </c>
      <c r="M3" s="274"/>
      <c r="N3" s="274"/>
      <c r="O3" s="274"/>
      <c r="P3" s="274" t="s">
        <v>2</v>
      </c>
      <c r="Q3" s="274" t="s">
        <v>4</v>
      </c>
      <c r="R3" s="278" t="s">
        <v>3</v>
      </c>
    </row>
    <row r="4" spans="1:18" s="26" customFormat="1" ht="21" customHeight="1" thickBot="1">
      <c r="A4" s="277"/>
      <c r="B4" s="288"/>
      <c r="C4" s="242"/>
      <c r="D4" s="242"/>
      <c r="E4" s="275"/>
      <c r="F4" s="275"/>
      <c r="G4" s="275"/>
      <c r="H4" s="28">
        <v>1</v>
      </c>
      <c r="I4" s="28">
        <v>2</v>
      </c>
      <c r="J4" s="28">
        <v>3</v>
      </c>
      <c r="K4" s="28" t="s">
        <v>6</v>
      </c>
      <c r="L4" s="28">
        <v>1</v>
      </c>
      <c r="M4" s="28">
        <v>2</v>
      </c>
      <c r="N4" s="28">
        <v>3</v>
      </c>
      <c r="O4" s="28" t="s">
        <v>6</v>
      </c>
      <c r="P4" s="275"/>
      <c r="Q4" s="275"/>
      <c r="R4" s="279"/>
    </row>
    <row r="5" spans="2:17" ht="15">
      <c r="B5" s="280" t="s">
        <v>585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</row>
    <row r="6" spans="1:40" s="31" customFormat="1" ht="12.75">
      <c r="A6" s="109" t="s">
        <v>133</v>
      </c>
      <c r="B6" s="227" t="s">
        <v>190</v>
      </c>
      <c r="C6" s="117" t="s">
        <v>670</v>
      </c>
      <c r="D6" s="117" t="s">
        <v>356</v>
      </c>
      <c r="E6" s="117" t="str">
        <f>"0,6709"</f>
        <v>0,6709</v>
      </c>
      <c r="F6" s="117" t="s">
        <v>341</v>
      </c>
      <c r="G6" s="117" t="s">
        <v>194</v>
      </c>
      <c r="H6" s="165">
        <v>90</v>
      </c>
      <c r="I6" s="165">
        <v>90</v>
      </c>
      <c r="J6" s="166">
        <v>90</v>
      </c>
      <c r="K6" s="109"/>
      <c r="L6" s="44" t="s">
        <v>81</v>
      </c>
      <c r="M6" s="44" t="s">
        <v>155</v>
      </c>
      <c r="N6" s="110" t="s">
        <v>64</v>
      </c>
      <c r="O6" s="111"/>
      <c r="P6" s="109" t="str">
        <f>"165,0"</f>
        <v>165,0</v>
      </c>
      <c r="Q6" s="189">
        <v>110.6985</v>
      </c>
      <c r="R6" s="108" t="s">
        <v>344</v>
      </c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8" ht="15">
      <c r="F8" s="33"/>
    </row>
    <row r="9" ht="15">
      <c r="F9" s="33"/>
    </row>
    <row r="10" ht="15">
      <c r="F10" s="33"/>
    </row>
    <row r="11" ht="15">
      <c r="F11" s="33"/>
    </row>
    <row r="12" ht="15">
      <c r="F12" s="33"/>
    </row>
    <row r="13" ht="15">
      <c r="F13" s="33"/>
    </row>
    <row r="14" ht="15">
      <c r="F14" s="33"/>
    </row>
    <row r="16" spans="1:6" ht="18">
      <c r="A16" s="114"/>
      <c r="B16" s="119"/>
      <c r="C16" s="120"/>
      <c r="D16" s="114"/>
      <c r="E16" s="114"/>
      <c r="F16" s="115"/>
    </row>
    <row r="17" spans="1:6" ht="15">
      <c r="A17" s="114"/>
      <c r="B17" s="121"/>
      <c r="C17" s="122"/>
      <c r="D17" s="114"/>
      <c r="E17" s="114"/>
      <c r="F17" s="115"/>
    </row>
    <row r="18" spans="1:6" ht="14.25">
      <c r="A18" s="114"/>
      <c r="B18" s="123"/>
      <c r="C18" s="124"/>
      <c r="D18" s="114"/>
      <c r="E18" s="114"/>
      <c r="F18" s="115"/>
    </row>
    <row r="19" spans="1:6" ht="15">
      <c r="A19" s="114"/>
      <c r="B19" s="126"/>
      <c r="C19" s="126"/>
      <c r="D19" s="126"/>
      <c r="E19" s="126"/>
      <c r="F19" s="126"/>
    </row>
    <row r="20" spans="1:6" ht="12.75">
      <c r="A20" s="114"/>
      <c r="B20" s="127"/>
      <c r="C20" s="114"/>
      <c r="D20" s="114"/>
      <c r="E20" s="114"/>
      <c r="F20" s="113"/>
    </row>
    <row r="21" spans="1:6" ht="12.75">
      <c r="A21" s="114"/>
      <c r="B21" s="113"/>
      <c r="C21" s="114"/>
      <c r="D21" s="114"/>
      <c r="E21" s="114"/>
      <c r="F21" s="115"/>
    </row>
    <row r="22" spans="1:6" ht="12.75">
      <c r="A22" s="114"/>
      <c r="B22" s="113"/>
      <c r="C22" s="114"/>
      <c r="D22" s="114"/>
      <c r="E22" s="114"/>
      <c r="F22" s="115"/>
    </row>
  </sheetData>
  <sheetProtection/>
  <mergeCells count="14">
    <mergeCell ref="A3:A4"/>
    <mergeCell ref="B5:Q5"/>
    <mergeCell ref="B1:R2"/>
    <mergeCell ref="H3:K3"/>
    <mergeCell ref="L3:O3"/>
    <mergeCell ref="B3:B4"/>
    <mergeCell ref="C3:C4"/>
    <mergeCell ref="D3:D4"/>
    <mergeCell ref="R3:R4"/>
    <mergeCell ref="G3:G4"/>
    <mergeCell ref="F3:F4"/>
    <mergeCell ref="E3:E4"/>
    <mergeCell ref="P3:P4"/>
    <mergeCell ref="Q3:Q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zoomScalePageLayoutView="0" workbookViewId="0" topLeftCell="A1">
      <selection activeCell="C6" sqref="C6"/>
    </sheetView>
  </sheetViews>
  <sheetFormatPr defaultColWidth="9.00390625" defaultRowHeight="12.75"/>
  <cols>
    <col min="1" max="1" width="9.125" style="25" customWidth="1"/>
    <col min="2" max="2" width="21.25390625" style="29" customWidth="1"/>
    <col min="3" max="3" width="28.625" style="29" bestFit="1" customWidth="1"/>
    <col min="4" max="4" width="10.625" style="137" bestFit="1" customWidth="1"/>
    <col min="5" max="5" width="8.375" style="29" bestFit="1" customWidth="1"/>
    <col min="6" max="6" width="22.75390625" style="29" bestFit="1" customWidth="1"/>
    <col min="7" max="7" width="31.125" style="29" bestFit="1" customWidth="1"/>
    <col min="8" max="8" width="8.125" style="25" customWidth="1"/>
    <col min="9" max="9" width="11.00390625" style="39" customWidth="1"/>
    <col min="10" max="10" width="9.875" style="29" customWidth="1"/>
    <col min="11" max="11" width="8.625" style="25" bestFit="1" customWidth="1"/>
    <col min="12" max="12" width="17.00390625" style="29" customWidth="1"/>
    <col min="13" max="16384" width="9.125" style="25" customWidth="1"/>
  </cols>
  <sheetData>
    <row r="1" spans="1:12" s="34" customFormat="1" ht="28.5" customHeight="1">
      <c r="A1" s="289" t="s">
        <v>541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34" customFormat="1" ht="61.5" customHeight="1" thickBo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13</v>
      </c>
      <c r="F3" s="274" t="s">
        <v>5</v>
      </c>
      <c r="G3" s="274" t="s">
        <v>7</v>
      </c>
      <c r="H3" s="274" t="s">
        <v>10</v>
      </c>
      <c r="I3" s="274"/>
      <c r="J3" s="274" t="s">
        <v>105</v>
      </c>
      <c r="K3" s="274" t="s">
        <v>4</v>
      </c>
      <c r="L3" s="278" t="s">
        <v>3</v>
      </c>
    </row>
    <row r="4" spans="1:12" s="26" customFormat="1" ht="21" customHeight="1" thickBot="1">
      <c r="A4" s="277"/>
      <c r="B4" s="288"/>
      <c r="C4" s="242"/>
      <c r="D4" s="242"/>
      <c r="E4" s="275"/>
      <c r="F4" s="275"/>
      <c r="G4" s="275"/>
      <c r="H4" s="27" t="s">
        <v>11</v>
      </c>
      <c r="I4" s="35" t="s">
        <v>12</v>
      </c>
      <c r="J4" s="275"/>
      <c r="K4" s="275"/>
      <c r="L4" s="279"/>
    </row>
    <row r="5" spans="2:11" ht="15">
      <c r="B5" s="293" t="s">
        <v>29</v>
      </c>
      <c r="C5" s="293"/>
      <c r="D5" s="293"/>
      <c r="E5" s="293"/>
      <c r="F5" s="293"/>
      <c r="G5" s="293"/>
      <c r="H5" s="293"/>
      <c r="I5" s="293"/>
      <c r="J5" s="293"/>
      <c r="K5" s="293"/>
    </row>
    <row r="6" spans="1:12" ht="12.75">
      <c r="A6" s="37" t="s">
        <v>133</v>
      </c>
      <c r="B6" s="36" t="s">
        <v>123</v>
      </c>
      <c r="C6" s="36" t="s">
        <v>680</v>
      </c>
      <c r="D6" s="136">
        <v>109</v>
      </c>
      <c r="E6" s="36" t="str">
        <f>"0,5902"</f>
        <v>0,5902</v>
      </c>
      <c r="F6" s="36" t="s">
        <v>103</v>
      </c>
      <c r="G6" s="36" t="s">
        <v>121</v>
      </c>
      <c r="H6" s="37" t="s">
        <v>34</v>
      </c>
      <c r="I6" s="38">
        <v>15</v>
      </c>
      <c r="J6" s="37" t="str">
        <f>"1650,0"</f>
        <v>1650,0</v>
      </c>
      <c r="K6" s="192">
        <v>973.83</v>
      </c>
      <c r="L6" s="36" t="s">
        <v>344</v>
      </c>
    </row>
    <row r="8" ht="15">
      <c r="F8" s="33"/>
    </row>
    <row r="9" ht="15">
      <c r="F9" s="33"/>
    </row>
    <row r="10" ht="15">
      <c r="F10" s="33"/>
    </row>
    <row r="11" ht="15">
      <c r="F11" s="33"/>
    </row>
    <row r="12" ht="15">
      <c r="F12" s="33"/>
    </row>
    <row r="13" ht="15">
      <c r="F13" s="33"/>
    </row>
    <row r="14" ht="15">
      <c r="F14" s="33"/>
    </row>
    <row r="16" spans="1:6" ht="18">
      <c r="A16" s="114"/>
      <c r="B16" s="128"/>
      <c r="C16" s="128"/>
      <c r="D16" s="138"/>
      <c r="E16" s="115"/>
      <c r="F16" s="115"/>
    </row>
    <row r="17" spans="1:6" ht="15">
      <c r="A17" s="114"/>
      <c r="B17" s="129"/>
      <c r="C17" s="129"/>
      <c r="D17" s="138"/>
      <c r="E17" s="115"/>
      <c r="F17" s="115"/>
    </row>
    <row r="18" spans="1:6" ht="14.25">
      <c r="A18" s="114"/>
      <c r="B18" s="130"/>
      <c r="C18" s="131"/>
      <c r="D18" s="138"/>
      <c r="E18" s="115"/>
      <c r="F18" s="115"/>
    </row>
    <row r="19" spans="1:6" ht="15">
      <c r="A19" s="114"/>
      <c r="B19" s="126"/>
      <c r="C19" s="126"/>
      <c r="D19" s="139"/>
      <c r="E19" s="126"/>
      <c r="F19" s="126"/>
    </row>
    <row r="20" spans="1:6" ht="12.75">
      <c r="A20" s="114"/>
      <c r="B20" s="133"/>
      <c r="C20" s="115"/>
      <c r="D20" s="138"/>
      <c r="E20" s="115"/>
      <c r="F20" s="113"/>
    </row>
    <row r="21" spans="1:6" ht="12.75">
      <c r="A21" s="114"/>
      <c r="B21" s="115"/>
      <c r="C21" s="115"/>
      <c r="D21" s="138"/>
      <c r="E21" s="115"/>
      <c r="F21" s="115"/>
    </row>
    <row r="22" spans="1:6" ht="12.75">
      <c r="A22" s="114"/>
      <c r="B22" s="115"/>
      <c r="C22" s="115"/>
      <c r="D22" s="138"/>
      <c r="E22" s="115"/>
      <c r="F22" s="115"/>
    </row>
    <row r="23" spans="1:6" ht="15">
      <c r="A23" s="114"/>
      <c r="B23" s="129"/>
      <c r="C23" s="129"/>
      <c r="D23" s="138"/>
      <c r="E23" s="115"/>
      <c r="F23" s="115"/>
    </row>
    <row r="24" spans="1:6" ht="14.25">
      <c r="A24" s="114"/>
      <c r="B24" s="130"/>
      <c r="C24" s="131"/>
      <c r="D24" s="138"/>
      <c r="E24" s="115"/>
      <c r="F24" s="115"/>
    </row>
    <row r="25" spans="1:6" ht="15">
      <c r="A25" s="114"/>
      <c r="B25" s="126"/>
      <c r="C25" s="126"/>
      <c r="D25" s="139"/>
      <c r="E25" s="126"/>
      <c r="F25" s="126"/>
    </row>
    <row r="26" spans="1:6" ht="12.75">
      <c r="A26" s="114"/>
      <c r="B26" s="133"/>
      <c r="C26" s="115"/>
      <c r="D26" s="138"/>
      <c r="E26" s="115"/>
      <c r="F26" s="113"/>
    </row>
  </sheetData>
  <sheetProtection/>
  <mergeCells count="13">
    <mergeCell ref="A1:L2"/>
    <mergeCell ref="L3:L4"/>
    <mergeCell ref="B5:K5"/>
    <mergeCell ref="B3:B4"/>
    <mergeCell ref="C3:C4"/>
    <mergeCell ref="D3:D4"/>
    <mergeCell ref="E3:E4"/>
    <mergeCell ref="F3:F4"/>
    <mergeCell ref="G3:G4"/>
    <mergeCell ref="H3:I3"/>
    <mergeCell ref="A3:A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9.125" style="34" customWidth="1"/>
    <col min="2" max="2" width="26.00390625" style="29" bestFit="1" customWidth="1"/>
    <col min="3" max="3" width="28.625" style="29" bestFit="1" customWidth="1"/>
    <col min="4" max="4" width="10.625" style="29" bestFit="1" customWidth="1"/>
    <col min="5" max="5" width="8.375" style="29" bestFit="1" customWidth="1"/>
    <col min="6" max="6" width="17.375" style="29" customWidth="1"/>
    <col min="7" max="7" width="31.125" style="29" bestFit="1" customWidth="1"/>
    <col min="8" max="8" width="11.375" style="25" customWidth="1"/>
    <col min="9" max="9" width="11.00390625" style="39" customWidth="1"/>
    <col min="10" max="10" width="11.625" style="25" customWidth="1"/>
    <col min="11" max="11" width="9.625" style="25" bestFit="1" customWidth="1"/>
    <col min="12" max="12" width="15.375" style="29" bestFit="1" customWidth="1"/>
    <col min="13" max="16384" width="9.125" style="25" customWidth="1"/>
  </cols>
  <sheetData>
    <row r="1" spans="1:12" s="34" customFormat="1" ht="28.5" customHeight="1">
      <c r="A1" s="289" t="s">
        <v>542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s="26" customFormat="1" ht="12.75" customHeight="1">
      <c r="A3" s="295" t="s">
        <v>127</v>
      </c>
      <c r="B3" s="287" t="s">
        <v>0</v>
      </c>
      <c r="C3" s="249" t="s">
        <v>450</v>
      </c>
      <c r="D3" s="249" t="s">
        <v>451</v>
      </c>
      <c r="E3" s="274" t="s">
        <v>13</v>
      </c>
      <c r="F3" s="274" t="s">
        <v>5</v>
      </c>
      <c r="G3" s="274" t="s">
        <v>7</v>
      </c>
      <c r="H3" s="274" t="s">
        <v>10</v>
      </c>
      <c r="I3" s="274"/>
      <c r="J3" s="274" t="s">
        <v>105</v>
      </c>
      <c r="K3" s="274" t="s">
        <v>4</v>
      </c>
      <c r="L3" s="278" t="s">
        <v>3</v>
      </c>
    </row>
    <row r="4" spans="1:12" s="26" customFormat="1" ht="21" customHeight="1" thickBot="1">
      <c r="A4" s="295"/>
      <c r="B4" s="288"/>
      <c r="C4" s="242"/>
      <c r="D4" s="242"/>
      <c r="E4" s="275"/>
      <c r="F4" s="275"/>
      <c r="G4" s="275"/>
      <c r="H4" s="27" t="s">
        <v>11</v>
      </c>
      <c r="I4" s="35" t="s">
        <v>12</v>
      </c>
      <c r="J4" s="275"/>
      <c r="K4" s="275"/>
      <c r="L4" s="279"/>
    </row>
    <row r="5" spans="2:11" ht="15">
      <c r="B5" s="280" t="s">
        <v>65</v>
      </c>
      <c r="C5" s="280"/>
      <c r="D5" s="280"/>
      <c r="E5" s="280"/>
      <c r="F5" s="280"/>
      <c r="G5" s="280"/>
      <c r="H5" s="280"/>
      <c r="I5" s="280"/>
      <c r="J5" s="280"/>
      <c r="K5" s="280"/>
    </row>
    <row r="6" spans="1:12" s="114" customFormat="1" ht="12.75">
      <c r="A6" s="109" t="s">
        <v>133</v>
      </c>
      <c r="B6" s="108" t="s">
        <v>120</v>
      </c>
      <c r="C6" s="108" t="s">
        <v>671</v>
      </c>
      <c r="D6" s="108" t="s">
        <v>383</v>
      </c>
      <c r="E6" s="108" t="str">
        <f>"1,1401"</f>
        <v>1,1401</v>
      </c>
      <c r="F6" s="108" t="s">
        <v>103</v>
      </c>
      <c r="G6" s="108" t="s">
        <v>121</v>
      </c>
      <c r="H6" s="109" t="s">
        <v>35</v>
      </c>
      <c r="I6" s="135">
        <v>85</v>
      </c>
      <c r="J6" s="109" t="str">
        <f>"2550,0"</f>
        <v>2550,0</v>
      </c>
      <c r="K6" s="190">
        <v>2907.255</v>
      </c>
      <c r="L6" s="108" t="s">
        <v>136</v>
      </c>
    </row>
    <row r="7" spans="1:12" ht="12.75">
      <c r="A7" s="37" t="s">
        <v>133</v>
      </c>
      <c r="B7" s="36" t="s">
        <v>122</v>
      </c>
      <c r="C7" s="36" t="s">
        <v>681</v>
      </c>
      <c r="D7" s="36" t="s">
        <v>384</v>
      </c>
      <c r="E7" s="36" t="str">
        <f>"1,2106"</f>
        <v>1,2106</v>
      </c>
      <c r="F7" s="36" t="s">
        <v>62</v>
      </c>
      <c r="G7" s="36" t="s">
        <v>63</v>
      </c>
      <c r="H7" s="37" t="s">
        <v>76</v>
      </c>
      <c r="I7" s="38">
        <v>15</v>
      </c>
      <c r="J7" s="37" t="str">
        <f>"900,0"</f>
        <v>900,0</v>
      </c>
      <c r="K7" s="192">
        <v>1089.54</v>
      </c>
      <c r="L7" s="36" t="s">
        <v>131</v>
      </c>
    </row>
    <row r="9" spans="2:11" ht="15">
      <c r="B9" s="293" t="s">
        <v>69</v>
      </c>
      <c r="C9" s="293"/>
      <c r="D9" s="293"/>
      <c r="E9" s="293"/>
      <c r="F9" s="293"/>
      <c r="G9" s="293"/>
      <c r="H9" s="293"/>
      <c r="I9" s="293"/>
      <c r="J9" s="293"/>
      <c r="K9" s="293"/>
    </row>
    <row r="10" spans="1:12" ht="12.75">
      <c r="A10" s="37" t="s">
        <v>133</v>
      </c>
      <c r="B10" s="36" t="s">
        <v>102</v>
      </c>
      <c r="C10" s="36" t="s">
        <v>682</v>
      </c>
      <c r="D10" s="36" t="s">
        <v>385</v>
      </c>
      <c r="E10" s="36" t="str">
        <f>"0,7578"</f>
        <v>0,7578</v>
      </c>
      <c r="F10" s="36" t="s">
        <v>103</v>
      </c>
      <c r="G10" s="36" t="s">
        <v>27</v>
      </c>
      <c r="H10" s="37" t="s">
        <v>104</v>
      </c>
      <c r="I10" s="38">
        <v>35</v>
      </c>
      <c r="J10" s="37" t="str">
        <f>"2450,0"</f>
        <v>2450,0</v>
      </c>
      <c r="K10" s="192">
        <v>1856.61</v>
      </c>
      <c r="L10" s="36" t="s">
        <v>344</v>
      </c>
    </row>
    <row r="12" spans="2:11" ht="15">
      <c r="B12" s="293" t="s">
        <v>29</v>
      </c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2" s="114" customFormat="1" ht="12.75">
      <c r="A13" s="109" t="s">
        <v>133</v>
      </c>
      <c r="B13" s="108" t="s">
        <v>30</v>
      </c>
      <c r="C13" s="108" t="s">
        <v>683</v>
      </c>
      <c r="D13" s="108" t="s">
        <v>386</v>
      </c>
      <c r="E13" s="108" t="str">
        <f>"0,5978"</f>
        <v>0,5978</v>
      </c>
      <c r="F13" s="108" t="s">
        <v>31</v>
      </c>
      <c r="G13" s="108" t="s">
        <v>32</v>
      </c>
      <c r="H13" s="109" t="s">
        <v>34</v>
      </c>
      <c r="I13" s="135">
        <v>30</v>
      </c>
      <c r="J13" s="109" t="str">
        <f>"3300,0"</f>
        <v>3300,0</v>
      </c>
      <c r="K13" s="190">
        <v>1972.7401</v>
      </c>
      <c r="L13" s="108" t="s">
        <v>344</v>
      </c>
    </row>
    <row r="14" spans="1:12" ht="12.75">
      <c r="A14" s="37" t="s">
        <v>133</v>
      </c>
      <c r="B14" s="36" t="s">
        <v>123</v>
      </c>
      <c r="C14" s="36" t="s">
        <v>684</v>
      </c>
      <c r="D14" s="36" t="s">
        <v>387</v>
      </c>
      <c r="E14" s="36" t="str">
        <f>"0,5902"</f>
        <v>0,5902</v>
      </c>
      <c r="F14" s="36" t="s">
        <v>103</v>
      </c>
      <c r="G14" s="36" t="s">
        <v>121</v>
      </c>
      <c r="H14" s="37" t="s">
        <v>34</v>
      </c>
      <c r="I14" s="38">
        <v>15</v>
      </c>
      <c r="J14" s="37" t="str">
        <f>"1650,0"</f>
        <v>1650,0</v>
      </c>
      <c r="K14" s="192">
        <v>973.83</v>
      </c>
      <c r="L14" s="36" t="s">
        <v>344</v>
      </c>
    </row>
    <row r="16" ht="15">
      <c r="F16" s="33"/>
    </row>
    <row r="17" ht="15">
      <c r="F17" s="33"/>
    </row>
    <row r="18" ht="15">
      <c r="F18" s="33"/>
    </row>
    <row r="19" ht="15">
      <c r="F19" s="33"/>
    </row>
    <row r="20" ht="15">
      <c r="F20" s="33"/>
    </row>
    <row r="21" ht="15">
      <c r="F21" s="33"/>
    </row>
    <row r="22" ht="15">
      <c r="F22" s="33"/>
    </row>
    <row r="24" spans="1:6" ht="18">
      <c r="A24" s="118"/>
      <c r="B24" s="128"/>
      <c r="C24" s="128"/>
      <c r="D24" s="115"/>
      <c r="E24" s="115"/>
      <c r="F24" s="115"/>
    </row>
    <row r="25" spans="1:6" ht="15">
      <c r="A25" s="118"/>
      <c r="B25" s="129"/>
      <c r="C25" s="129"/>
      <c r="D25" s="115"/>
      <c r="E25" s="115"/>
      <c r="F25" s="115"/>
    </row>
    <row r="26" spans="1:6" ht="12.75" customHeight="1">
      <c r="A26" s="118"/>
      <c r="B26" s="294"/>
      <c r="C26" s="294"/>
      <c r="D26" s="294"/>
      <c r="E26" s="294"/>
      <c r="F26" s="294"/>
    </row>
    <row r="27" spans="1:6" ht="15">
      <c r="A27" s="118"/>
      <c r="B27" s="126"/>
      <c r="C27" s="126"/>
      <c r="D27" s="126"/>
      <c r="E27" s="126"/>
      <c r="F27" s="126"/>
    </row>
    <row r="28" spans="1:6" ht="12.75">
      <c r="A28" s="118"/>
      <c r="B28" s="133"/>
      <c r="C28" s="115"/>
      <c r="D28" s="113"/>
      <c r="E28" s="113"/>
      <c r="F28" s="113"/>
    </row>
    <row r="29" spans="1:6" ht="12.75">
      <c r="A29" s="118"/>
      <c r="B29" s="115"/>
      <c r="C29" s="115"/>
      <c r="D29" s="115"/>
      <c r="E29" s="115"/>
      <c r="F29" s="115"/>
    </row>
    <row r="30" spans="1:6" ht="12.75" customHeight="1">
      <c r="A30" s="118"/>
      <c r="B30" s="294"/>
      <c r="C30" s="294"/>
      <c r="D30" s="294"/>
      <c r="E30" s="294"/>
      <c r="F30" s="294"/>
    </row>
    <row r="31" spans="1:6" ht="15">
      <c r="A31" s="118"/>
      <c r="B31" s="126"/>
      <c r="C31" s="126"/>
      <c r="D31" s="126"/>
      <c r="E31" s="126"/>
      <c r="F31" s="126"/>
    </row>
    <row r="32" spans="1:6" ht="12.75">
      <c r="A32" s="118"/>
      <c r="B32" s="133"/>
      <c r="C32" s="115"/>
      <c r="D32" s="115"/>
      <c r="E32" s="115"/>
      <c r="F32" s="113"/>
    </row>
    <row r="33" spans="1:6" ht="12.75">
      <c r="A33" s="118"/>
      <c r="B33" s="115"/>
      <c r="C33" s="115"/>
      <c r="D33" s="115"/>
      <c r="E33" s="115"/>
      <c r="F33" s="115"/>
    </row>
    <row r="34" spans="1:6" ht="12.75">
      <c r="A34" s="118"/>
      <c r="B34" s="115"/>
      <c r="C34" s="115"/>
      <c r="D34" s="115"/>
      <c r="E34" s="115"/>
      <c r="F34" s="115"/>
    </row>
    <row r="35" spans="1:6" ht="15">
      <c r="A35" s="118"/>
      <c r="B35" s="129"/>
      <c r="C35" s="129"/>
      <c r="D35" s="115"/>
      <c r="E35" s="115"/>
      <c r="F35" s="115"/>
    </row>
    <row r="36" spans="1:6" ht="12.75" customHeight="1">
      <c r="A36" s="118"/>
      <c r="B36" s="294"/>
      <c r="C36" s="294"/>
      <c r="D36" s="294"/>
      <c r="E36" s="294"/>
      <c r="F36" s="294"/>
    </row>
    <row r="37" spans="1:6" ht="15">
      <c r="A37" s="118"/>
      <c r="B37" s="126"/>
      <c r="C37" s="126"/>
      <c r="D37" s="126"/>
      <c r="E37" s="126"/>
      <c r="F37" s="126"/>
    </row>
    <row r="38" spans="1:6" ht="12.75">
      <c r="A38" s="118"/>
      <c r="B38" s="133"/>
      <c r="C38" s="115"/>
      <c r="D38" s="115"/>
      <c r="E38" s="115"/>
      <c r="F38" s="113"/>
    </row>
    <row r="39" spans="1:6" ht="12.75">
      <c r="A39" s="118"/>
      <c r="B39" s="133"/>
      <c r="C39" s="115"/>
      <c r="D39" s="115"/>
      <c r="E39" s="115"/>
      <c r="F39" s="113"/>
    </row>
    <row r="40" spans="1:6" ht="12.75">
      <c r="A40" s="118"/>
      <c r="B40" s="115"/>
      <c r="C40" s="115"/>
      <c r="D40" s="115"/>
      <c r="E40" s="115"/>
      <c r="F40" s="115"/>
    </row>
    <row r="41" spans="1:6" ht="12.75" customHeight="1">
      <c r="A41" s="118"/>
      <c r="B41" s="294"/>
      <c r="C41" s="294"/>
      <c r="D41" s="294"/>
      <c r="E41" s="294"/>
      <c r="F41" s="294"/>
    </row>
    <row r="42" spans="1:6" ht="15">
      <c r="A42" s="118"/>
      <c r="B42" s="126"/>
      <c r="C42" s="126"/>
      <c r="D42" s="126"/>
      <c r="E42" s="126"/>
      <c r="F42" s="126"/>
    </row>
    <row r="43" spans="1:6" ht="12.75">
      <c r="A43" s="118"/>
      <c r="B43" s="133"/>
      <c r="C43" s="115"/>
      <c r="D43" s="115"/>
      <c r="E43" s="115"/>
      <c r="F43" s="113"/>
    </row>
    <row r="44" spans="1:6" ht="12.75">
      <c r="A44" s="118"/>
      <c r="B44" s="115"/>
      <c r="C44" s="115"/>
      <c r="D44" s="115"/>
      <c r="E44" s="115"/>
      <c r="F44" s="115"/>
    </row>
  </sheetData>
  <sheetProtection/>
  <autoFilter ref="A13:L14"/>
  <mergeCells count="19">
    <mergeCell ref="B3:B4"/>
    <mergeCell ref="C3:C4"/>
    <mergeCell ref="D3:D4"/>
    <mergeCell ref="E3:E4"/>
    <mergeCell ref="A1:L2"/>
    <mergeCell ref="L3:L4"/>
    <mergeCell ref="H3:I3"/>
    <mergeCell ref="J3:J4"/>
    <mergeCell ref="K3:K4"/>
    <mergeCell ref="B36:F36"/>
    <mergeCell ref="B30:F30"/>
    <mergeCell ref="B26:F26"/>
    <mergeCell ref="B41:F41"/>
    <mergeCell ref="A3:A4"/>
    <mergeCell ref="B5:K5"/>
    <mergeCell ref="B9:K9"/>
    <mergeCell ref="B12:K12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C12" sqref="C12"/>
    </sheetView>
  </sheetViews>
  <sheetFormatPr defaultColWidth="9.00390625" defaultRowHeight="12.75"/>
  <cols>
    <col min="1" max="1" width="9.125" style="34" customWidth="1"/>
    <col min="2" max="2" width="17.625" style="29" customWidth="1"/>
    <col min="3" max="3" width="25.875" style="29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28.625" style="29" bestFit="1" customWidth="1"/>
    <col min="8" max="10" width="5.625" style="25" bestFit="1" customWidth="1"/>
    <col min="11" max="11" width="4.00390625" style="25" customWidth="1"/>
    <col min="12" max="12" width="12.25390625" style="25" customWidth="1"/>
    <col min="13" max="13" width="8.625" style="25" bestFit="1" customWidth="1"/>
    <col min="14" max="14" width="16.875" style="29" bestFit="1" customWidth="1"/>
    <col min="15" max="16384" width="9.125" style="25" customWidth="1"/>
  </cols>
  <sheetData>
    <row r="1" spans="1:14" s="34" customFormat="1" ht="28.5" customHeight="1">
      <c r="A1" s="289" t="s">
        <v>543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13</v>
      </c>
      <c r="F3" s="274" t="s">
        <v>5</v>
      </c>
      <c r="G3" s="274" t="s">
        <v>7</v>
      </c>
      <c r="H3" s="274" t="s">
        <v>1</v>
      </c>
      <c r="I3" s="274"/>
      <c r="J3" s="274"/>
      <c r="K3" s="274"/>
      <c r="L3" s="274" t="s">
        <v>96</v>
      </c>
      <c r="M3" s="274" t="s">
        <v>4</v>
      </c>
      <c r="N3" s="278" t="s">
        <v>3</v>
      </c>
    </row>
    <row r="4" spans="1:14" s="26" customFormat="1" ht="21" customHeight="1" thickBot="1">
      <c r="A4" s="277"/>
      <c r="B4" s="288"/>
      <c r="C4" s="242"/>
      <c r="D4" s="242"/>
      <c r="E4" s="275"/>
      <c r="F4" s="275"/>
      <c r="G4" s="275"/>
      <c r="H4" s="27">
        <v>1</v>
      </c>
      <c r="I4" s="27">
        <v>2</v>
      </c>
      <c r="J4" s="27">
        <v>3</v>
      </c>
      <c r="K4" s="27" t="s">
        <v>6</v>
      </c>
      <c r="L4" s="275"/>
      <c r="M4" s="275"/>
      <c r="N4" s="279"/>
    </row>
    <row r="5" spans="2:13" ht="15">
      <c r="B5" s="280" t="s">
        <v>77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4" ht="12.75">
      <c r="A6" s="37" t="s">
        <v>133</v>
      </c>
      <c r="B6" s="36" t="s">
        <v>116</v>
      </c>
      <c r="C6" s="36" t="s">
        <v>685</v>
      </c>
      <c r="D6" s="36" t="s">
        <v>389</v>
      </c>
      <c r="E6" s="36" t="str">
        <f>"0,7256"</f>
        <v>0,7256</v>
      </c>
      <c r="F6" s="36" t="s">
        <v>16</v>
      </c>
      <c r="G6" s="36" t="s">
        <v>17</v>
      </c>
      <c r="H6" s="44" t="s">
        <v>104</v>
      </c>
      <c r="I6" s="44" t="s">
        <v>117</v>
      </c>
      <c r="J6" s="45" t="s">
        <v>64</v>
      </c>
      <c r="K6" s="46"/>
      <c r="L6" s="37" t="str">
        <f>"77,5"</f>
        <v>77,5</v>
      </c>
      <c r="M6" s="191">
        <v>56.234</v>
      </c>
      <c r="N6" s="36" t="s">
        <v>344</v>
      </c>
    </row>
    <row r="8" spans="2:13" ht="15">
      <c r="B8" s="293" t="s">
        <v>14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</row>
    <row r="9" spans="1:14" ht="12.75">
      <c r="A9" s="37" t="s">
        <v>133</v>
      </c>
      <c r="B9" s="47" t="s">
        <v>118</v>
      </c>
      <c r="C9" s="36" t="s">
        <v>686</v>
      </c>
      <c r="D9" s="36" t="s">
        <v>390</v>
      </c>
      <c r="E9" s="36" t="str">
        <f>"0,6615"</f>
        <v>0,6615</v>
      </c>
      <c r="F9" s="36" t="s">
        <v>62</v>
      </c>
      <c r="G9" s="36" t="s">
        <v>63</v>
      </c>
      <c r="H9" s="44" t="s">
        <v>86</v>
      </c>
      <c r="I9" s="44" t="s">
        <v>83</v>
      </c>
      <c r="J9" s="45" t="s">
        <v>24</v>
      </c>
      <c r="K9" s="48"/>
      <c r="L9" s="37" t="str">
        <f>"155,0"</f>
        <v>155,0</v>
      </c>
      <c r="M9" s="191">
        <v>102.5325</v>
      </c>
      <c r="N9" s="36" t="s">
        <v>344</v>
      </c>
    </row>
    <row r="11" spans="2:13" ht="15">
      <c r="B11" s="293" t="s">
        <v>25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1:14" ht="12.75">
      <c r="A12" s="37" t="s">
        <v>133</v>
      </c>
      <c r="B12" s="47" t="s">
        <v>119</v>
      </c>
      <c r="C12" s="36" t="s">
        <v>687</v>
      </c>
      <c r="D12" s="36" t="s">
        <v>391</v>
      </c>
      <c r="E12" s="36" t="str">
        <f>"0,6177"</f>
        <v>0,6177</v>
      </c>
      <c r="F12" s="36" t="s">
        <v>62</v>
      </c>
      <c r="G12" s="36" t="s">
        <v>63</v>
      </c>
      <c r="H12" s="45" t="s">
        <v>83</v>
      </c>
      <c r="I12" s="44" t="s">
        <v>83</v>
      </c>
      <c r="J12" s="45" t="s">
        <v>24</v>
      </c>
      <c r="K12" s="48"/>
      <c r="L12" s="37" t="str">
        <f>"155,0"</f>
        <v>155,0</v>
      </c>
      <c r="M12" s="192">
        <v>95.7435</v>
      </c>
      <c r="N12" s="36" t="s">
        <v>388</v>
      </c>
    </row>
    <row r="15" spans="1:6" ht="18">
      <c r="A15" s="118"/>
      <c r="B15" s="128"/>
      <c r="C15" s="128"/>
      <c r="D15" s="115"/>
      <c r="E15" s="115"/>
      <c r="F15" s="115"/>
    </row>
    <row r="16" spans="1:6" ht="15">
      <c r="A16" s="118"/>
      <c r="B16" s="129"/>
      <c r="C16" s="129"/>
      <c r="D16" s="115"/>
      <c r="E16" s="115"/>
      <c r="F16" s="115"/>
    </row>
    <row r="17" spans="1:6" ht="14.25">
      <c r="A17" s="118"/>
      <c r="B17" s="130"/>
      <c r="C17" s="131"/>
      <c r="D17" s="115"/>
      <c r="E17" s="115"/>
      <c r="F17" s="115"/>
    </row>
    <row r="18" spans="1:6" ht="15">
      <c r="A18" s="118"/>
      <c r="B18" s="126"/>
      <c r="C18" s="126"/>
      <c r="D18" s="126"/>
      <c r="E18" s="126"/>
      <c r="F18" s="126"/>
    </row>
    <row r="19" spans="1:6" ht="12.75">
      <c r="A19" s="118"/>
      <c r="B19" s="133"/>
      <c r="C19" s="115"/>
      <c r="D19" s="115"/>
      <c r="E19" s="115"/>
      <c r="F19" s="113"/>
    </row>
    <row r="20" spans="1:6" ht="12.75">
      <c r="A20" s="118"/>
      <c r="B20" s="115"/>
      <c r="C20" s="115"/>
      <c r="D20" s="115"/>
      <c r="E20" s="115"/>
      <c r="F20" s="115"/>
    </row>
    <row r="21" spans="1:6" ht="14.25">
      <c r="A21" s="118"/>
      <c r="B21" s="130"/>
      <c r="C21" s="131"/>
      <c r="D21" s="115"/>
      <c r="E21" s="115"/>
      <c r="F21" s="115"/>
    </row>
    <row r="22" spans="1:6" ht="15">
      <c r="A22" s="118"/>
      <c r="B22" s="126"/>
      <c r="C22" s="126"/>
      <c r="D22" s="126"/>
      <c r="E22" s="126"/>
      <c r="F22" s="126"/>
    </row>
    <row r="23" spans="1:6" ht="12.75">
      <c r="A23" s="118"/>
      <c r="B23" s="133"/>
      <c r="C23" s="115"/>
      <c r="D23" s="115"/>
      <c r="E23" s="115"/>
      <c r="F23" s="113"/>
    </row>
    <row r="24" spans="1:6" ht="12.75">
      <c r="A24" s="118"/>
      <c r="B24" s="133"/>
      <c r="C24" s="115"/>
      <c r="D24" s="115"/>
      <c r="E24" s="115"/>
      <c r="F24" s="113"/>
    </row>
    <row r="25" spans="1:6" ht="12.75">
      <c r="A25" s="118"/>
      <c r="B25" s="115"/>
      <c r="C25" s="115"/>
      <c r="D25" s="115"/>
      <c r="E25" s="115"/>
      <c r="F25" s="115"/>
    </row>
  </sheetData>
  <sheetProtection/>
  <mergeCells count="15">
    <mergeCell ref="B8:M8"/>
    <mergeCell ref="B11:M11"/>
    <mergeCell ref="B5:M5"/>
    <mergeCell ref="A3:A4"/>
    <mergeCell ref="H3:K3"/>
    <mergeCell ref="L3:L4"/>
    <mergeCell ref="A1:N2"/>
    <mergeCell ref="M3:M4"/>
    <mergeCell ref="N3:N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3" sqref="B3:B4"/>
    </sheetView>
  </sheetViews>
  <sheetFormatPr defaultColWidth="9.00390625" defaultRowHeight="12.75"/>
  <cols>
    <col min="1" max="1" width="9.125" style="34" customWidth="1"/>
    <col min="2" max="2" width="26.00390625" style="219" bestFit="1" customWidth="1"/>
    <col min="3" max="3" width="26.625" style="29" bestFit="1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30.625" style="29" bestFit="1" customWidth="1"/>
    <col min="8" max="10" width="5.625" style="25" bestFit="1" customWidth="1"/>
    <col min="11" max="11" width="6.25390625" style="25" customWidth="1"/>
    <col min="12" max="12" width="11.25390625" style="25" bestFit="1" customWidth="1"/>
    <col min="13" max="13" width="8.625" style="25" bestFit="1" customWidth="1"/>
    <col min="14" max="14" width="16.125" style="29" customWidth="1"/>
    <col min="15" max="16384" width="9.125" style="25" customWidth="1"/>
  </cols>
  <sheetData>
    <row r="1" spans="1:14" s="34" customFormat="1" ht="28.5" customHeight="1">
      <c r="A1" s="289" t="s">
        <v>678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s="26" customFormat="1" ht="12.75" customHeight="1">
      <c r="A3" s="295" t="s">
        <v>127</v>
      </c>
      <c r="B3" s="287" t="s">
        <v>0</v>
      </c>
      <c r="C3" s="249" t="s">
        <v>450</v>
      </c>
      <c r="D3" s="249" t="s">
        <v>451</v>
      </c>
      <c r="E3" s="274" t="s">
        <v>13</v>
      </c>
      <c r="F3" s="274" t="s">
        <v>5</v>
      </c>
      <c r="G3" s="274" t="s">
        <v>7</v>
      </c>
      <c r="H3" s="274" t="s">
        <v>1</v>
      </c>
      <c r="I3" s="274"/>
      <c r="J3" s="274"/>
      <c r="K3" s="274"/>
      <c r="L3" s="274" t="s">
        <v>96</v>
      </c>
      <c r="M3" s="274" t="s">
        <v>4</v>
      </c>
      <c r="N3" s="278" t="s">
        <v>3</v>
      </c>
    </row>
    <row r="4" spans="1:14" s="26" customFormat="1" ht="21" customHeight="1" thickBot="1">
      <c r="A4" s="295"/>
      <c r="B4" s="288"/>
      <c r="C4" s="242"/>
      <c r="D4" s="242"/>
      <c r="E4" s="275"/>
      <c r="F4" s="275"/>
      <c r="G4" s="275"/>
      <c r="H4" s="27">
        <v>1</v>
      </c>
      <c r="I4" s="27">
        <v>2</v>
      </c>
      <c r="J4" s="27">
        <v>3</v>
      </c>
      <c r="K4" s="27" t="s">
        <v>6</v>
      </c>
      <c r="L4" s="275"/>
      <c r="M4" s="275"/>
      <c r="N4" s="279"/>
    </row>
    <row r="5" spans="2:13" ht="15">
      <c r="B5" s="280" t="s">
        <v>65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4" ht="12.75">
      <c r="A6" s="37" t="s">
        <v>133</v>
      </c>
      <c r="B6" s="211" t="s">
        <v>106</v>
      </c>
      <c r="C6" s="36" t="s">
        <v>673</v>
      </c>
      <c r="D6" s="36" t="s">
        <v>442</v>
      </c>
      <c r="E6" s="36" t="str">
        <f>"1,3354"</f>
        <v>1,3354</v>
      </c>
      <c r="F6" s="36" t="s">
        <v>62</v>
      </c>
      <c r="G6" s="36" t="s">
        <v>63</v>
      </c>
      <c r="H6" s="44" t="s">
        <v>107</v>
      </c>
      <c r="I6" s="44" t="s">
        <v>108</v>
      </c>
      <c r="J6" s="45" t="s">
        <v>67</v>
      </c>
      <c r="K6" s="48"/>
      <c r="L6" s="37" t="str">
        <f>"42,5"</f>
        <v>42,5</v>
      </c>
      <c r="M6" s="37" t="s">
        <v>488</v>
      </c>
      <c r="N6" s="36" t="s">
        <v>129</v>
      </c>
    </row>
    <row r="8" spans="2:13" ht="15">
      <c r="B8" s="293" t="s">
        <v>14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</row>
    <row r="9" spans="1:14" ht="12.75">
      <c r="A9" s="37" t="s">
        <v>133</v>
      </c>
      <c r="B9" s="211" t="s">
        <v>15</v>
      </c>
      <c r="C9" s="36" t="s">
        <v>674</v>
      </c>
      <c r="D9" s="36" t="s">
        <v>401</v>
      </c>
      <c r="E9" s="36" t="str">
        <f>"0,6491"</f>
        <v>0,6491</v>
      </c>
      <c r="F9" s="36" t="s">
        <v>16</v>
      </c>
      <c r="G9" s="36" t="s">
        <v>17</v>
      </c>
      <c r="H9" s="44" t="s">
        <v>20</v>
      </c>
      <c r="I9" s="44" t="s">
        <v>18</v>
      </c>
      <c r="J9" s="44" t="s">
        <v>19</v>
      </c>
      <c r="K9" s="48"/>
      <c r="L9" s="37" t="str">
        <f>"175,0"</f>
        <v>175,0</v>
      </c>
      <c r="M9" s="37" t="s">
        <v>489</v>
      </c>
      <c r="N9" s="36" t="s">
        <v>344</v>
      </c>
    </row>
    <row r="11" spans="2:13" ht="15">
      <c r="B11" s="293" t="s">
        <v>25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1:14" ht="12.75">
      <c r="A12" s="52" t="s">
        <v>133</v>
      </c>
      <c r="B12" s="212" t="s">
        <v>109</v>
      </c>
      <c r="C12" s="49" t="s">
        <v>655</v>
      </c>
      <c r="D12" s="49" t="s">
        <v>378</v>
      </c>
      <c r="E12" s="49" t="str">
        <f>"0,6266"</f>
        <v>0,6266</v>
      </c>
      <c r="F12" s="49" t="s">
        <v>16</v>
      </c>
      <c r="G12" s="49" t="s">
        <v>17</v>
      </c>
      <c r="H12" s="50" t="s">
        <v>90</v>
      </c>
      <c r="I12" s="50" t="s">
        <v>91</v>
      </c>
      <c r="J12" s="50" t="s">
        <v>110</v>
      </c>
      <c r="K12" s="51"/>
      <c r="L12" s="52" t="str">
        <f>"192,5"</f>
        <v>192,5</v>
      </c>
      <c r="M12" s="52" t="s">
        <v>490</v>
      </c>
      <c r="N12" s="49" t="s">
        <v>344</v>
      </c>
    </row>
    <row r="13" spans="1:14" ht="12.75">
      <c r="A13" s="42"/>
      <c r="B13" s="213" t="s">
        <v>192</v>
      </c>
      <c r="C13" s="41" t="s">
        <v>675</v>
      </c>
      <c r="D13" s="41" t="s">
        <v>441</v>
      </c>
      <c r="E13" s="41" t="str">
        <f>"0,6091"</f>
        <v>0,6091</v>
      </c>
      <c r="F13" s="41" t="s">
        <v>16</v>
      </c>
      <c r="G13" s="41" t="s">
        <v>27</v>
      </c>
      <c r="H13" s="53" t="s">
        <v>23</v>
      </c>
      <c r="I13" s="53" t="s">
        <v>23</v>
      </c>
      <c r="J13" s="53" t="s">
        <v>23</v>
      </c>
      <c r="K13" s="54"/>
      <c r="L13" s="42" t="s">
        <v>452</v>
      </c>
      <c r="M13" s="42" t="s">
        <v>452</v>
      </c>
      <c r="N13" s="41" t="s">
        <v>344</v>
      </c>
    </row>
    <row r="15" spans="2:13" ht="15">
      <c r="B15" s="293" t="s">
        <v>29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</row>
    <row r="16" spans="1:14" ht="12.75">
      <c r="A16" s="37" t="s">
        <v>133</v>
      </c>
      <c r="B16" s="211" t="s">
        <v>30</v>
      </c>
      <c r="C16" s="36" t="s">
        <v>672</v>
      </c>
      <c r="D16" s="36" t="s">
        <v>386</v>
      </c>
      <c r="E16" s="36" t="str">
        <f>"0,5978"</f>
        <v>0,5978</v>
      </c>
      <c r="F16" s="36" t="s">
        <v>31</v>
      </c>
      <c r="G16" s="36" t="s">
        <v>32</v>
      </c>
      <c r="H16" s="44" t="s">
        <v>24</v>
      </c>
      <c r="I16" s="44" t="s">
        <v>18</v>
      </c>
      <c r="J16" s="44" t="s">
        <v>33</v>
      </c>
      <c r="K16" s="48"/>
      <c r="L16" s="37" t="str">
        <f>"180,0"</f>
        <v>180,0</v>
      </c>
      <c r="M16" s="37" t="s">
        <v>491</v>
      </c>
      <c r="N16" s="36" t="s">
        <v>344</v>
      </c>
    </row>
    <row r="18" spans="2:13" ht="15">
      <c r="B18" s="293" t="s">
        <v>87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</row>
    <row r="19" spans="1:14" ht="12.75">
      <c r="A19" s="37" t="s">
        <v>133</v>
      </c>
      <c r="B19" s="211" t="s">
        <v>94</v>
      </c>
      <c r="C19" s="36" t="s">
        <v>676</v>
      </c>
      <c r="D19" s="36" t="s">
        <v>394</v>
      </c>
      <c r="E19" s="36" t="str">
        <f>"0,5595"</f>
        <v>0,5595</v>
      </c>
      <c r="F19" s="36" t="s">
        <v>31</v>
      </c>
      <c r="G19" s="36" t="s">
        <v>32</v>
      </c>
      <c r="H19" s="44" t="s">
        <v>41</v>
      </c>
      <c r="I19" s="44" t="s">
        <v>42</v>
      </c>
      <c r="J19" s="44" t="s">
        <v>43</v>
      </c>
      <c r="K19" s="48"/>
      <c r="L19" s="37" t="str">
        <f>"235,0"</f>
        <v>235,0</v>
      </c>
      <c r="M19" s="37" t="s">
        <v>492</v>
      </c>
      <c r="N19" s="36" t="s">
        <v>344</v>
      </c>
    </row>
    <row r="21" spans="2:3" ht="18">
      <c r="B21" s="214" t="s">
        <v>8</v>
      </c>
      <c r="C21" s="40"/>
    </row>
    <row r="22" spans="1:6" ht="15">
      <c r="A22" s="118"/>
      <c r="B22" s="215" t="s">
        <v>48</v>
      </c>
      <c r="C22" s="129"/>
      <c r="D22" s="115"/>
      <c r="E22" s="115"/>
      <c r="F22" s="115"/>
    </row>
    <row r="23" spans="1:6" ht="14.25">
      <c r="A23" s="118"/>
      <c r="B23" s="216"/>
      <c r="C23" s="131" t="s">
        <v>111</v>
      </c>
      <c r="D23" s="115"/>
      <c r="E23" s="115"/>
      <c r="F23" s="115"/>
    </row>
    <row r="24" spans="1:6" ht="15">
      <c r="A24" s="109"/>
      <c r="B24" s="210" t="s">
        <v>49</v>
      </c>
      <c r="C24" s="125" t="s">
        <v>50</v>
      </c>
      <c r="D24" s="125" t="s">
        <v>51</v>
      </c>
      <c r="E24" s="125" t="s">
        <v>52</v>
      </c>
      <c r="F24" s="125" t="s">
        <v>53</v>
      </c>
    </row>
    <row r="25" spans="1:6" ht="12.75">
      <c r="A25" s="109" t="s">
        <v>133</v>
      </c>
      <c r="B25" s="217" t="s">
        <v>106</v>
      </c>
      <c r="C25" s="107" t="s">
        <v>677</v>
      </c>
      <c r="D25" s="109" t="s">
        <v>76</v>
      </c>
      <c r="E25" s="109" t="s">
        <v>108</v>
      </c>
      <c r="F25" s="109" t="s">
        <v>112</v>
      </c>
    </row>
    <row r="26" spans="1:6" ht="12.75">
      <c r="A26" s="118"/>
      <c r="B26" s="218"/>
      <c r="C26" s="115"/>
      <c r="D26" s="115"/>
      <c r="E26" s="115"/>
      <c r="F26" s="115"/>
    </row>
    <row r="27" spans="1:6" ht="14.25">
      <c r="A27" s="118"/>
      <c r="B27" s="216"/>
      <c r="C27" s="131" t="s">
        <v>559</v>
      </c>
      <c r="D27" s="115"/>
      <c r="E27" s="115"/>
      <c r="F27" s="115"/>
    </row>
    <row r="28" spans="1:6" ht="15">
      <c r="A28" s="109"/>
      <c r="B28" s="210" t="s">
        <v>49</v>
      </c>
      <c r="C28" s="125" t="s">
        <v>50</v>
      </c>
      <c r="D28" s="125" t="s">
        <v>51</v>
      </c>
      <c r="E28" s="125" t="s">
        <v>52</v>
      </c>
      <c r="F28" s="125" t="s">
        <v>53</v>
      </c>
    </row>
    <row r="29" spans="1:6" ht="12.75">
      <c r="A29" s="109" t="s">
        <v>133</v>
      </c>
      <c r="B29" s="217" t="s">
        <v>94</v>
      </c>
      <c r="C29" s="107" t="s">
        <v>559</v>
      </c>
      <c r="D29" s="109" t="s">
        <v>193</v>
      </c>
      <c r="E29" s="109" t="s">
        <v>43</v>
      </c>
      <c r="F29" s="109" t="s">
        <v>113</v>
      </c>
    </row>
    <row r="30" spans="1:6" ht="12.75">
      <c r="A30" s="109" t="s">
        <v>134</v>
      </c>
      <c r="B30" s="217" t="s">
        <v>109</v>
      </c>
      <c r="C30" s="107" t="s">
        <v>559</v>
      </c>
      <c r="D30" s="109" t="s">
        <v>28</v>
      </c>
      <c r="E30" s="109" t="s">
        <v>110</v>
      </c>
      <c r="F30" s="109" t="s">
        <v>114</v>
      </c>
    </row>
    <row r="31" spans="1:6" ht="12.75">
      <c r="A31" s="109" t="s">
        <v>135</v>
      </c>
      <c r="B31" s="217" t="s">
        <v>15</v>
      </c>
      <c r="C31" s="107" t="s">
        <v>559</v>
      </c>
      <c r="D31" s="109" t="s">
        <v>20</v>
      </c>
      <c r="E31" s="109" t="s">
        <v>19</v>
      </c>
      <c r="F31" s="109" t="s">
        <v>115</v>
      </c>
    </row>
  </sheetData>
  <sheetProtection/>
  <mergeCells count="17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B15:M15"/>
    <mergeCell ref="B18:M18"/>
    <mergeCell ref="L3:L4"/>
    <mergeCell ref="M3:M4"/>
    <mergeCell ref="N3:N4"/>
    <mergeCell ref="B5:M5"/>
    <mergeCell ref="B8:M8"/>
    <mergeCell ref="B11:M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9.125" style="25" customWidth="1"/>
    <col min="2" max="2" width="26.00390625" style="29" bestFit="1" customWidth="1"/>
    <col min="3" max="3" width="26.75390625" style="29" customWidth="1"/>
    <col min="4" max="4" width="10.625" style="29" bestFit="1" customWidth="1"/>
    <col min="5" max="5" width="8.375" style="29" bestFit="1" customWidth="1"/>
    <col min="6" max="6" width="15.75390625" style="29" customWidth="1"/>
    <col min="7" max="7" width="30.625" style="29" bestFit="1" customWidth="1"/>
    <col min="8" max="8" width="6.25390625" style="25" customWidth="1"/>
    <col min="9" max="9" width="10.375" style="39" bestFit="1" customWidth="1"/>
    <col min="10" max="10" width="8.875" style="29" bestFit="1" customWidth="1"/>
    <col min="11" max="11" width="9.625" style="25" bestFit="1" customWidth="1"/>
    <col min="12" max="12" width="15.375" style="29" bestFit="1" customWidth="1"/>
    <col min="13" max="16384" width="9.125" style="25" customWidth="1"/>
  </cols>
  <sheetData>
    <row r="1" spans="1:12" s="34" customFormat="1" ht="28.5" customHeight="1">
      <c r="A1" s="289" t="s">
        <v>544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13</v>
      </c>
      <c r="F3" s="274" t="s">
        <v>5</v>
      </c>
      <c r="G3" s="274" t="s">
        <v>7</v>
      </c>
      <c r="H3" s="274" t="s">
        <v>10</v>
      </c>
      <c r="I3" s="274"/>
      <c r="J3" s="274" t="s">
        <v>105</v>
      </c>
      <c r="K3" s="274" t="s">
        <v>4</v>
      </c>
      <c r="L3" s="278" t="s">
        <v>3</v>
      </c>
    </row>
    <row r="4" spans="1:12" s="26" customFormat="1" ht="21" customHeight="1" thickBot="1">
      <c r="A4" s="277"/>
      <c r="B4" s="288"/>
      <c r="C4" s="242"/>
      <c r="D4" s="242"/>
      <c r="E4" s="275"/>
      <c r="F4" s="275"/>
      <c r="G4" s="275"/>
      <c r="H4" s="27" t="s">
        <v>11</v>
      </c>
      <c r="I4" s="35" t="s">
        <v>12</v>
      </c>
      <c r="J4" s="275"/>
      <c r="K4" s="275"/>
      <c r="L4" s="279"/>
    </row>
    <row r="5" spans="2:11" ht="15">
      <c r="B5" s="280" t="s">
        <v>69</v>
      </c>
      <c r="C5" s="280"/>
      <c r="D5" s="280"/>
      <c r="E5" s="280"/>
      <c r="F5" s="280"/>
      <c r="G5" s="280"/>
      <c r="H5" s="280"/>
      <c r="I5" s="280"/>
      <c r="J5" s="280"/>
      <c r="K5" s="280"/>
    </row>
    <row r="6" spans="1:12" ht="12.75">
      <c r="A6" s="37" t="s">
        <v>133</v>
      </c>
      <c r="B6" s="47" t="s">
        <v>102</v>
      </c>
      <c r="C6" s="36" t="s">
        <v>682</v>
      </c>
      <c r="D6" s="36" t="s">
        <v>385</v>
      </c>
      <c r="E6" s="36" t="str">
        <f>"0,7578"</f>
        <v>0,7578</v>
      </c>
      <c r="F6" s="36" t="s">
        <v>103</v>
      </c>
      <c r="G6" s="36" t="s">
        <v>27</v>
      </c>
      <c r="H6" s="37" t="s">
        <v>71</v>
      </c>
      <c r="I6" s="38">
        <v>73</v>
      </c>
      <c r="J6" s="37" t="str">
        <f>"2555,0"</f>
        <v>2555,0</v>
      </c>
      <c r="K6" s="37" t="s">
        <v>493</v>
      </c>
      <c r="L6" s="36" t="s">
        <v>344</v>
      </c>
    </row>
    <row r="8" ht="15">
      <c r="F8" s="33"/>
    </row>
    <row r="9" ht="15">
      <c r="F9" s="33"/>
    </row>
    <row r="10" ht="15">
      <c r="F10" s="33"/>
    </row>
    <row r="11" ht="15">
      <c r="F11" s="33"/>
    </row>
    <row r="12" ht="15">
      <c r="F12" s="33"/>
    </row>
    <row r="13" ht="15">
      <c r="F13" s="33"/>
    </row>
    <row r="14" ht="15">
      <c r="F14" s="33"/>
    </row>
    <row r="16" spans="1:6" ht="18">
      <c r="A16" s="114"/>
      <c r="B16" s="128"/>
      <c r="C16" s="128"/>
      <c r="D16" s="115"/>
      <c r="E16" s="115"/>
      <c r="F16" s="115"/>
    </row>
    <row r="17" spans="1:6" ht="15">
      <c r="A17" s="114"/>
      <c r="B17" s="129"/>
      <c r="C17" s="129"/>
      <c r="D17" s="115"/>
      <c r="E17" s="115"/>
      <c r="F17" s="115"/>
    </row>
    <row r="18" spans="1:6" ht="14.25">
      <c r="A18" s="114"/>
      <c r="B18" s="130"/>
      <c r="C18" s="131"/>
      <c r="D18" s="115"/>
      <c r="E18" s="115"/>
      <c r="F18" s="115"/>
    </row>
    <row r="19" spans="1:6" ht="15">
      <c r="A19" s="114"/>
      <c r="B19" s="126"/>
      <c r="C19" s="126"/>
      <c r="D19" s="126"/>
      <c r="E19" s="126"/>
      <c r="F19" s="126"/>
    </row>
    <row r="20" spans="1:6" ht="12.75">
      <c r="A20" s="114"/>
      <c r="B20" s="133"/>
      <c r="C20" s="115"/>
      <c r="D20" s="115"/>
      <c r="E20" s="115"/>
      <c r="F20" s="113"/>
    </row>
  </sheetData>
  <sheetProtection/>
  <mergeCells count="13">
    <mergeCell ref="L3:L4"/>
    <mergeCell ref="A1:L2"/>
    <mergeCell ref="B5:K5"/>
    <mergeCell ref="B3:B4"/>
    <mergeCell ref="C3:C4"/>
    <mergeCell ref="D3:D4"/>
    <mergeCell ref="E3:E4"/>
    <mergeCell ref="F3:F4"/>
    <mergeCell ref="G3:G4"/>
    <mergeCell ref="H3:I3"/>
    <mergeCell ref="A3:A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2.75"/>
  <cols>
    <col min="1" max="1" width="9.125" style="3" customWidth="1"/>
    <col min="2" max="2" width="26.00390625" style="5" bestFit="1" customWidth="1"/>
    <col min="3" max="3" width="25.00390625" style="5" customWidth="1"/>
    <col min="4" max="4" width="9.25390625" style="5" customWidth="1"/>
    <col min="5" max="5" width="8.375" style="5" bestFit="1" customWidth="1"/>
    <col min="6" max="6" width="16.75390625" style="5" customWidth="1"/>
    <col min="7" max="7" width="31.375" style="5" bestFit="1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103" bestFit="1" customWidth="1"/>
    <col min="21" max="21" width="18.875" style="173" customWidth="1"/>
    <col min="22" max="22" width="16.25390625" style="5" customWidth="1"/>
    <col min="23" max="16384" width="9.125" style="4" customWidth="1"/>
  </cols>
  <sheetData>
    <row r="1" spans="1:22" s="3" customFormat="1" ht="28.5" customHeight="1">
      <c r="A1" s="252" t="s">
        <v>599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4"/>
    </row>
    <row r="2" spans="1:22" s="3" customFormat="1" ht="61.5" customHeight="1" thickBot="1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</row>
    <row r="3" spans="1:22" s="1" customFormat="1" ht="12.75" customHeight="1">
      <c r="A3" s="245" t="s">
        <v>127</v>
      </c>
      <c r="B3" s="247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200</v>
      </c>
      <c r="I3" s="239"/>
      <c r="J3" s="239"/>
      <c r="K3" s="239"/>
      <c r="L3" s="239" t="s">
        <v>1</v>
      </c>
      <c r="M3" s="239"/>
      <c r="N3" s="239"/>
      <c r="O3" s="239"/>
      <c r="P3" s="239" t="s">
        <v>207</v>
      </c>
      <c r="Q3" s="239"/>
      <c r="R3" s="239"/>
      <c r="S3" s="239"/>
      <c r="T3" s="239" t="s">
        <v>2</v>
      </c>
      <c r="U3" s="250" t="s">
        <v>4</v>
      </c>
      <c r="V3" s="235" t="s">
        <v>3</v>
      </c>
    </row>
    <row r="4" spans="1:22" s="1" customFormat="1" ht="21" customHeight="1" thickBot="1">
      <c r="A4" s="246"/>
      <c r="B4" s="248"/>
      <c r="C4" s="242"/>
      <c r="D4" s="242"/>
      <c r="E4" s="242"/>
      <c r="F4" s="242"/>
      <c r="G4" s="242"/>
      <c r="H4" s="151">
        <v>1</v>
      </c>
      <c r="I4" s="151">
        <v>2</v>
      </c>
      <c r="J4" s="151">
        <v>3</v>
      </c>
      <c r="K4" s="151" t="s">
        <v>6</v>
      </c>
      <c r="L4" s="151">
        <v>1</v>
      </c>
      <c r="M4" s="151">
        <v>2</v>
      </c>
      <c r="N4" s="151">
        <v>3</v>
      </c>
      <c r="O4" s="151" t="s">
        <v>6</v>
      </c>
      <c r="P4" s="151">
        <v>1</v>
      </c>
      <c r="Q4" s="151">
        <v>2</v>
      </c>
      <c r="R4" s="151">
        <v>3</v>
      </c>
      <c r="S4" s="151" t="s">
        <v>6</v>
      </c>
      <c r="T4" s="242"/>
      <c r="U4" s="251"/>
      <c r="V4" s="236"/>
    </row>
    <row r="5" spans="2:21" ht="15">
      <c r="B5" s="237" t="s">
        <v>14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</row>
    <row r="6" spans="1:22" ht="12.75">
      <c r="A6" s="20"/>
      <c r="B6" s="66" t="s">
        <v>219</v>
      </c>
      <c r="C6" s="10" t="s">
        <v>612</v>
      </c>
      <c r="D6" s="10" t="s">
        <v>361</v>
      </c>
      <c r="E6" s="10" t="str">
        <f>"0,6395"</f>
        <v>0,6395</v>
      </c>
      <c r="F6" s="10" t="s">
        <v>62</v>
      </c>
      <c r="G6" s="10" t="s">
        <v>230</v>
      </c>
      <c r="H6" s="65" t="s">
        <v>41</v>
      </c>
      <c r="I6" s="84" t="s">
        <v>42</v>
      </c>
      <c r="J6" s="84" t="s">
        <v>42</v>
      </c>
      <c r="K6" s="64"/>
      <c r="L6" s="84" t="s">
        <v>18</v>
      </c>
      <c r="M6" s="84" t="s">
        <v>18</v>
      </c>
      <c r="N6" s="84" t="s">
        <v>18</v>
      </c>
      <c r="O6" s="64"/>
      <c r="P6" s="207"/>
      <c r="Q6" s="207"/>
      <c r="R6" s="208"/>
      <c r="S6" s="64"/>
      <c r="T6" s="100" t="s">
        <v>452</v>
      </c>
      <c r="U6" s="172" t="s">
        <v>452</v>
      </c>
      <c r="V6" s="10" t="s">
        <v>128</v>
      </c>
    </row>
    <row r="8" spans="2:21" ht="15">
      <c r="B8" s="238" t="s">
        <v>25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</row>
    <row r="9" spans="1:22" ht="12.75">
      <c r="A9" s="20" t="s">
        <v>133</v>
      </c>
      <c r="B9" s="66" t="s">
        <v>245</v>
      </c>
      <c r="C9" s="10" t="s">
        <v>613</v>
      </c>
      <c r="D9" s="10" t="s">
        <v>429</v>
      </c>
      <c r="E9" s="10" t="str">
        <f>"0,6203"</f>
        <v>0,6203</v>
      </c>
      <c r="F9" s="10" t="s">
        <v>217</v>
      </c>
      <c r="G9" s="10" t="s">
        <v>32</v>
      </c>
      <c r="H9" s="65" t="s">
        <v>37</v>
      </c>
      <c r="I9" s="65" t="s">
        <v>19</v>
      </c>
      <c r="J9" s="84" t="s">
        <v>90</v>
      </c>
      <c r="K9" s="64"/>
      <c r="L9" s="65" t="s">
        <v>75</v>
      </c>
      <c r="M9" s="65" t="s">
        <v>34</v>
      </c>
      <c r="N9" s="65" t="s">
        <v>79</v>
      </c>
      <c r="O9" s="64"/>
      <c r="P9" s="65" t="s">
        <v>33</v>
      </c>
      <c r="Q9" s="84" t="s">
        <v>91</v>
      </c>
      <c r="R9" s="65" t="s">
        <v>91</v>
      </c>
      <c r="S9" s="64"/>
      <c r="T9" s="100" t="str">
        <f>"480,0"</f>
        <v>480,0</v>
      </c>
      <c r="U9" s="168">
        <v>297.744</v>
      </c>
      <c r="V9" s="10" t="s">
        <v>328</v>
      </c>
    </row>
    <row r="11" spans="2:21" ht="15">
      <c r="B11" s="238" t="s">
        <v>29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</row>
    <row r="12" spans="1:22" ht="12.75">
      <c r="A12" s="18" t="s">
        <v>133</v>
      </c>
      <c r="B12" s="80" t="s">
        <v>247</v>
      </c>
      <c r="C12" s="8" t="s">
        <v>614</v>
      </c>
      <c r="D12" s="8" t="s">
        <v>430</v>
      </c>
      <c r="E12" s="8" t="str">
        <f>"0,6048"</f>
        <v>0,6048</v>
      </c>
      <c r="F12" s="8" t="s">
        <v>341</v>
      </c>
      <c r="G12" s="8" t="s">
        <v>249</v>
      </c>
      <c r="H12" s="79" t="s">
        <v>146</v>
      </c>
      <c r="I12" s="79" t="s">
        <v>250</v>
      </c>
      <c r="J12" s="85" t="s">
        <v>101</v>
      </c>
      <c r="K12" s="78"/>
      <c r="L12" s="79" t="s">
        <v>24</v>
      </c>
      <c r="M12" s="79" t="s">
        <v>18</v>
      </c>
      <c r="N12" s="85" t="s">
        <v>19</v>
      </c>
      <c r="O12" s="78"/>
      <c r="P12" s="79" t="s">
        <v>42</v>
      </c>
      <c r="Q12" s="85" t="s">
        <v>143</v>
      </c>
      <c r="R12" s="79" t="s">
        <v>229</v>
      </c>
      <c r="S12" s="78"/>
      <c r="T12" s="101" t="str">
        <f>"720,0"</f>
        <v>720,0</v>
      </c>
      <c r="U12" s="169">
        <v>435.456</v>
      </c>
      <c r="V12" s="8" t="s">
        <v>340</v>
      </c>
    </row>
    <row r="13" spans="1:22" ht="12.75">
      <c r="A13" s="19" t="s">
        <v>134</v>
      </c>
      <c r="B13" s="72" t="s">
        <v>246</v>
      </c>
      <c r="C13" s="9" t="s">
        <v>615</v>
      </c>
      <c r="D13" s="9" t="s">
        <v>415</v>
      </c>
      <c r="E13" s="9" t="str">
        <f>"0,5966"</f>
        <v>0,5966</v>
      </c>
      <c r="F13" s="9" t="s">
        <v>341</v>
      </c>
      <c r="G13" s="9" t="s">
        <v>249</v>
      </c>
      <c r="H13" s="70" t="s">
        <v>59</v>
      </c>
      <c r="I13" s="86" t="s">
        <v>41</v>
      </c>
      <c r="J13" s="70" t="s">
        <v>220</v>
      </c>
      <c r="K13" s="69"/>
      <c r="L13" s="70" t="s">
        <v>205</v>
      </c>
      <c r="M13" s="70" t="s">
        <v>86</v>
      </c>
      <c r="N13" s="70" t="s">
        <v>83</v>
      </c>
      <c r="O13" s="69"/>
      <c r="P13" s="70" t="s">
        <v>143</v>
      </c>
      <c r="Q13" s="70" t="s">
        <v>248</v>
      </c>
      <c r="R13" s="70" t="s">
        <v>146</v>
      </c>
      <c r="S13" s="69"/>
      <c r="T13" s="102" t="str">
        <f>"650,0"</f>
        <v>650,0</v>
      </c>
      <c r="U13" s="170">
        <v>387.79</v>
      </c>
      <c r="V13" s="9" t="s">
        <v>340</v>
      </c>
    </row>
    <row r="15" ht="15">
      <c r="F15" s="6"/>
    </row>
    <row r="16" ht="15">
      <c r="F16" s="6"/>
    </row>
    <row r="17" ht="15">
      <c r="F17" s="6"/>
    </row>
    <row r="18" ht="15">
      <c r="F18" s="6"/>
    </row>
    <row r="19" ht="15">
      <c r="F19" s="6"/>
    </row>
    <row r="20" ht="15">
      <c r="F20" s="6"/>
    </row>
    <row r="21" ht="15">
      <c r="F21" s="6"/>
    </row>
    <row r="23" spans="1:6" ht="18">
      <c r="A23" s="105"/>
      <c r="B23" s="90"/>
      <c r="C23" s="90"/>
      <c r="D23" s="91"/>
      <c r="E23" s="91"/>
      <c r="F23" s="91"/>
    </row>
    <row r="24" spans="1:6" ht="15">
      <c r="A24" s="105"/>
      <c r="B24" s="92"/>
      <c r="C24" s="92"/>
      <c r="D24" s="91"/>
      <c r="E24" s="91"/>
      <c r="F24" s="91"/>
    </row>
    <row r="25" spans="1:6" ht="14.25">
      <c r="A25" s="105"/>
      <c r="B25" s="93"/>
      <c r="C25" s="94"/>
      <c r="D25" s="91"/>
      <c r="E25" s="91"/>
      <c r="F25" s="91"/>
    </row>
    <row r="26" spans="1:6" ht="15">
      <c r="A26" s="105"/>
      <c r="B26" s="96"/>
      <c r="C26" s="96"/>
      <c r="D26" s="96"/>
      <c r="E26" s="96"/>
      <c r="F26" s="96"/>
    </row>
    <row r="27" spans="1:6" ht="12.75">
      <c r="A27" s="105"/>
      <c r="B27" s="97"/>
      <c r="C27" s="91"/>
      <c r="D27" s="91"/>
      <c r="E27" s="91"/>
      <c r="F27" s="98"/>
    </row>
    <row r="28" spans="1:6" ht="12.75">
      <c r="A28" s="105"/>
      <c r="B28" s="97"/>
      <c r="C28" s="91"/>
      <c r="D28" s="91"/>
      <c r="E28" s="91"/>
      <c r="F28" s="98"/>
    </row>
    <row r="29" spans="1:6" ht="12.75">
      <c r="A29" s="105"/>
      <c r="B29" s="97"/>
      <c r="C29" s="91"/>
      <c r="D29" s="91"/>
      <c r="E29" s="91"/>
      <c r="F29" s="98"/>
    </row>
  </sheetData>
  <sheetProtection/>
  <mergeCells count="17">
    <mergeCell ref="A1:V2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B11:U11"/>
    <mergeCell ref="P3:S3"/>
    <mergeCell ref="T3:T4"/>
    <mergeCell ref="U3:U4"/>
    <mergeCell ref="V3:V4"/>
    <mergeCell ref="B5:U5"/>
    <mergeCell ref="B8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9.125" style="25" customWidth="1"/>
    <col min="2" max="2" width="20.75390625" style="29" customWidth="1"/>
    <col min="3" max="3" width="26.25390625" style="29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28.625" style="29" bestFit="1" customWidth="1"/>
    <col min="8" max="9" width="4.625" style="25" bestFit="1" customWidth="1"/>
    <col min="10" max="10" width="5.625" style="25" bestFit="1" customWidth="1"/>
    <col min="11" max="11" width="4.875" style="25" bestFit="1" customWidth="1"/>
    <col min="12" max="12" width="11.25390625" style="29" bestFit="1" customWidth="1"/>
    <col min="13" max="13" width="7.625" style="25" bestFit="1" customWidth="1"/>
    <col min="14" max="14" width="15.375" style="29" bestFit="1" customWidth="1"/>
    <col min="15" max="16384" width="9.125" style="25" customWidth="1"/>
  </cols>
  <sheetData>
    <row r="1" spans="1:14" s="34" customFormat="1" ht="28.5" customHeight="1">
      <c r="A1" s="289" t="s">
        <v>545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13</v>
      </c>
      <c r="F3" s="274" t="s">
        <v>5</v>
      </c>
      <c r="G3" s="274" t="s">
        <v>7</v>
      </c>
      <c r="H3" s="274" t="s">
        <v>1</v>
      </c>
      <c r="I3" s="274"/>
      <c r="J3" s="274"/>
      <c r="K3" s="274"/>
      <c r="L3" s="274" t="s">
        <v>96</v>
      </c>
      <c r="M3" s="274" t="s">
        <v>4</v>
      </c>
      <c r="N3" s="278" t="s">
        <v>3</v>
      </c>
    </row>
    <row r="4" spans="1:14" s="26" customFormat="1" ht="21" customHeight="1" thickBot="1">
      <c r="A4" s="277"/>
      <c r="B4" s="288"/>
      <c r="C4" s="242"/>
      <c r="D4" s="242"/>
      <c r="E4" s="275"/>
      <c r="F4" s="275"/>
      <c r="G4" s="275"/>
      <c r="H4" s="27">
        <v>1</v>
      </c>
      <c r="I4" s="27">
        <v>2</v>
      </c>
      <c r="J4" s="27">
        <v>3</v>
      </c>
      <c r="K4" s="27" t="s">
        <v>6</v>
      </c>
      <c r="L4" s="275"/>
      <c r="M4" s="275"/>
      <c r="N4" s="279"/>
    </row>
    <row r="5" spans="2:13" ht="15">
      <c r="B5" s="280" t="s">
        <v>14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4" ht="12.75">
      <c r="A6" s="37" t="s">
        <v>133</v>
      </c>
      <c r="B6" s="47" t="s">
        <v>15</v>
      </c>
      <c r="C6" s="36" t="s">
        <v>688</v>
      </c>
      <c r="D6" s="36" t="s">
        <v>401</v>
      </c>
      <c r="E6" s="36" t="str">
        <f>"0,6491"</f>
        <v>0,6491</v>
      </c>
      <c r="F6" s="36" t="s">
        <v>16</v>
      </c>
      <c r="G6" s="36" t="s">
        <v>17</v>
      </c>
      <c r="H6" s="44" t="s">
        <v>20</v>
      </c>
      <c r="I6" s="44" t="s">
        <v>73</v>
      </c>
      <c r="J6" s="44" t="s">
        <v>28</v>
      </c>
      <c r="K6" s="48"/>
      <c r="L6" s="37" t="str">
        <f>"100,0"</f>
        <v>100,0</v>
      </c>
      <c r="M6" s="37" t="s">
        <v>494</v>
      </c>
      <c r="N6" s="36" t="s">
        <v>344</v>
      </c>
    </row>
    <row r="8" ht="15">
      <c r="F8" s="33"/>
    </row>
    <row r="9" ht="15">
      <c r="F9" s="33"/>
    </row>
    <row r="10" ht="15">
      <c r="F10" s="33"/>
    </row>
    <row r="11" ht="15">
      <c r="F11" s="33"/>
    </row>
    <row r="12" ht="15">
      <c r="F12" s="33"/>
    </row>
    <row r="13" ht="15">
      <c r="F13" s="33"/>
    </row>
    <row r="14" ht="15">
      <c r="F14" s="33"/>
    </row>
    <row r="16" spans="1:6" ht="18">
      <c r="A16" s="114"/>
      <c r="B16" s="128"/>
      <c r="C16" s="128"/>
      <c r="D16" s="115"/>
      <c r="E16" s="115"/>
      <c r="F16" s="115"/>
    </row>
    <row r="17" spans="1:6" ht="15">
      <c r="A17" s="114"/>
      <c r="B17" s="129"/>
      <c r="C17" s="129"/>
      <c r="D17" s="115"/>
      <c r="E17" s="115"/>
      <c r="F17" s="115"/>
    </row>
    <row r="18" spans="1:6" ht="14.25">
      <c r="A18" s="114"/>
      <c r="B18" s="130"/>
      <c r="C18" s="131"/>
      <c r="D18" s="115"/>
      <c r="E18" s="115"/>
      <c r="F18" s="115"/>
    </row>
    <row r="19" spans="1:6" ht="15">
      <c r="A19" s="114"/>
      <c r="B19" s="126"/>
      <c r="C19" s="126"/>
      <c r="D19" s="126"/>
      <c r="E19" s="126"/>
      <c r="F19" s="126"/>
    </row>
    <row r="20" spans="1:6" ht="12.75">
      <c r="A20" s="114"/>
      <c r="B20" s="133"/>
      <c r="C20" s="115"/>
      <c r="D20" s="115"/>
      <c r="E20" s="115"/>
      <c r="F20" s="113"/>
    </row>
  </sheetData>
  <sheetProtection/>
  <mergeCells count="13">
    <mergeCell ref="N3:N4"/>
    <mergeCell ref="A1:N2"/>
    <mergeCell ref="B5:M5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9.125" style="25" customWidth="1"/>
    <col min="2" max="2" width="22.00390625" style="29" customWidth="1"/>
    <col min="3" max="3" width="27.25390625" style="29" customWidth="1"/>
    <col min="4" max="4" width="10.625" style="29" bestFit="1" customWidth="1"/>
    <col min="5" max="5" width="17.75390625" style="29" bestFit="1" customWidth="1"/>
    <col min="6" max="6" width="22.75390625" style="29" bestFit="1" customWidth="1"/>
    <col min="7" max="7" width="27.375" style="29" bestFit="1" customWidth="1"/>
    <col min="8" max="10" width="4.625" style="25" bestFit="1" customWidth="1"/>
    <col min="11" max="11" width="4.875" style="25" bestFit="1" customWidth="1"/>
    <col min="12" max="12" width="5.00390625" style="25" bestFit="1" customWidth="1"/>
    <col min="13" max="13" width="10.375" style="25" bestFit="1" customWidth="1"/>
    <col min="14" max="14" width="7.875" style="29" bestFit="1" customWidth="1"/>
    <col min="15" max="15" width="6.625" style="25" bestFit="1" customWidth="1"/>
    <col min="16" max="16" width="16.875" style="29" bestFit="1" customWidth="1"/>
    <col min="17" max="16384" width="9.125" style="25" customWidth="1"/>
  </cols>
  <sheetData>
    <row r="1" spans="1:16" s="34" customFormat="1" ht="28.5" customHeight="1">
      <c r="A1" s="289" t="s">
        <v>546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/>
    </row>
    <row r="2" spans="1:16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</row>
    <row r="3" spans="1:16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61</v>
      </c>
      <c r="F3" s="274" t="s">
        <v>5</v>
      </c>
      <c r="G3" s="274" t="s">
        <v>7</v>
      </c>
      <c r="H3" s="274" t="s">
        <v>9</v>
      </c>
      <c r="I3" s="274"/>
      <c r="J3" s="274"/>
      <c r="K3" s="274"/>
      <c r="L3" s="274" t="s">
        <v>10</v>
      </c>
      <c r="M3" s="274"/>
      <c r="N3" s="274" t="s">
        <v>2</v>
      </c>
      <c r="O3" s="274" t="s">
        <v>4</v>
      </c>
      <c r="P3" s="278" t="s">
        <v>3</v>
      </c>
    </row>
    <row r="4" spans="1:16" s="26" customFormat="1" ht="21" customHeight="1" thickBot="1">
      <c r="A4" s="277"/>
      <c r="B4" s="288"/>
      <c r="C4" s="242"/>
      <c r="D4" s="242"/>
      <c r="E4" s="275"/>
      <c r="F4" s="275"/>
      <c r="G4" s="275"/>
      <c r="H4" s="27">
        <v>1</v>
      </c>
      <c r="I4" s="27">
        <v>2</v>
      </c>
      <c r="J4" s="27">
        <v>3</v>
      </c>
      <c r="K4" s="27" t="s">
        <v>6</v>
      </c>
      <c r="L4" s="27" t="s">
        <v>11</v>
      </c>
      <c r="M4" s="27" t="s">
        <v>12</v>
      </c>
      <c r="N4" s="275"/>
      <c r="O4" s="275"/>
      <c r="P4" s="279"/>
    </row>
    <row r="5" spans="2:15" ht="15">
      <c r="B5" s="280" t="s">
        <v>14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6" ht="12.75">
      <c r="A6" s="30"/>
      <c r="B6" s="47" t="s">
        <v>191</v>
      </c>
      <c r="C6" s="36" t="s">
        <v>689</v>
      </c>
      <c r="D6" s="36" t="s">
        <v>406</v>
      </c>
      <c r="E6" s="36" t="str">
        <f>"0,6628"</f>
        <v>0,6628</v>
      </c>
      <c r="F6" s="36" t="s">
        <v>62</v>
      </c>
      <c r="G6" s="36" t="s">
        <v>63</v>
      </c>
      <c r="H6" s="45" t="s">
        <v>64</v>
      </c>
      <c r="I6" s="45" t="s">
        <v>64</v>
      </c>
      <c r="J6" s="45" t="s">
        <v>20</v>
      </c>
      <c r="K6" s="48"/>
      <c r="L6" s="48"/>
      <c r="M6" s="48"/>
      <c r="N6" s="37" t="s">
        <v>452</v>
      </c>
      <c r="O6" s="37" t="s">
        <v>452</v>
      </c>
      <c r="P6" s="36" t="s">
        <v>128</v>
      </c>
    </row>
    <row r="8" spans="7:16" ht="12.75">
      <c r="G8" s="25"/>
      <c r="M8" s="29"/>
      <c r="N8" s="25"/>
      <c r="O8" s="29"/>
      <c r="P8" s="25"/>
    </row>
    <row r="9" spans="7:16" ht="12.75">
      <c r="G9" s="25"/>
      <c r="M9" s="29"/>
      <c r="N9" s="25"/>
      <c r="O9" s="29"/>
      <c r="P9" s="25"/>
    </row>
    <row r="10" spans="7:16" ht="12.75">
      <c r="G10" s="25"/>
      <c r="M10" s="29"/>
      <c r="N10" s="25"/>
      <c r="O10" s="29"/>
      <c r="P10" s="25"/>
    </row>
    <row r="11" spans="7:16" ht="12.75">
      <c r="G11" s="25"/>
      <c r="M11" s="29"/>
      <c r="N11" s="25"/>
      <c r="O11" s="29"/>
      <c r="P11" s="25"/>
    </row>
    <row r="12" spans="7:16" ht="12.75">
      <c r="G12" s="25"/>
      <c r="M12" s="29"/>
      <c r="N12" s="25"/>
      <c r="O12" s="29"/>
      <c r="P12" s="25"/>
    </row>
    <row r="13" spans="7:16" ht="12.75">
      <c r="G13" s="25"/>
      <c r="M13" s="29"/>
      <c r="N13" s="25"/>
      <c r="O13" s="29"/>
      <c r="P13" s="25"/>
    </row>
    <row r="14" ht="15">
      <c r="F14" s="33"/>
    </row>
    <row r="15" spans="1:6" ht="12.75">
      <c r="A15" s="114"/>
      <c r="B15" s="115"/>
      <c r="C15" s="115"/>
      <c r="D15" s="115"/>
      <c r="E15" s="115"/>
      <c r="F15" s="115"/>
    </row>
    <row r="16" spans="1:6" ht="18">
      <c r="A16" s="114"/>
      <c r="B16" s="128"/>
      <c r="C16" s="128"/>
      <c r="D16" s="115"/>
      <c r="E16" s="115"/>
      <c r="F16" s="115"/>
    </row>
    <row r="17" spans="1:6" ht="12.75">
      <c r="A17" s="114"/>
      <c r="B17" s="115"/>
      <c r="C17" s="115"/>
      <c r="D17" s="115"/>
      <c r="E17" s="115"/>
      <c r="F17" s="115"/>
    </row>
    <row r="18" spans="1:6" ht="14.25">
      <c r="A18" s="294"/>
      <c r="B18" s="296"/>
      <c r="C18" s="296"/>
      <c r="D18" s="296"/>
      <c r="E18" s="296"/>
      <c r="F18" s="296"/>
    </row>
    <row r="19" spans="1:6" ht="15">
      <c r="A19" s="114"/>
      <c r="B19" s="126"/>
      <c r="C19" s="126"/>
      <c r="D19" s="126"/>
      <c r="E19" s="126"/>
      <c r="F19" s="126"/>
    </row>
  </sheetData>
  <sheetProtection/>
  <mergeCells count="15">
    <mergeCell ref="N3:N4"/>
    <mergeCell ref="A1:P2"/>
    <mergeCell ref="O3:O4"/>
    <mergeCell ref="P3:P4"/>
    <mergeCell ref="B5:O5"/>
    <mergeCell ref="B3:B4"/>
    <mergeCell ref="C3:C4"/>
    <mergeCell ref="D3:D4"/>
    <mergeCell ref="E3:E4"/>
    <mergeCell ref="F3:F4"/>
    <mergeCell ref="G3:G4"/>
    <mergeCell ref="H3:K3"/>
    <mergeCell ref="L3:M3"/>
    <mergeCell ref="A3:A4"/>
    <mergeCell ref="A18:F1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9.125" style="25" customWidth="1"/>
    <col min="2" max="2" width="20.625" style="29" customWidth="1"/>
    <col min="3" max="3" width="27.625" style="29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28.625" style="29" bestFit="1" customWidth="1"/>
    <col min="8" max="10" width="5.625" style="25" bestFit="1" customWidth="1"/>
    <col min="11" max="11" width="4.875" style="25" bestFit="1" customWidth="1"/>
    <col min="12" max="12" width="12.00390625" style="25" customWidth="1"/>
    <col min="13" max="13" width="8.625" style="25" bestFit="1" customWidth="1"/>
    <col min="14" max="14" width="15.375" style="29" bestFit="1" customWidth="1"/>
    <col min="15" max="16384" width="9.125" style="25" customWidth="1"/>
  </cols>
  <sheetData>
    <row r="1" spans="1:14" s="34" customFormat="1" ht="28.5" customHeight="1">
      <c r="A1" s="289" t="s">
        <v>547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s="26" customFormat="1" ht="12.75" customHeight="1">
      <c r="A3" s="297" t="s">
        <v>127</v>
      </c>
      <c r="B3" s="287" t="s">
        <v>0</v>
      </c>
      <c r="C3" s="249" t="s">
        <v>450</v>
      </c>
      <c r="D3" s="249" t="s">
        <v>451</v>
      </c>
      <c r="E3" s="274" t="s">
        <v>13</v>
      </c>
      <c r="F3" s="274" t="s">
        <v>5</v>
      </c>
      <c r="G3" s="274" t="s">
        <v>7</v>
      </c>
      <c r="H3" s="274" t="s">
        <v>1</v>
      </c>
      <c r="I3" s="274"/>
      <c r="J3" s="274"/>
      <c r="K3" s="274"/>
      <c r="L3" s="274" t="s">
        <v>96</v>
      </c>
      <c r="M3" s="274" t="s">
        <v>4</v>
      </c>
      <c r="N3" s="278" t="s">
        <v>3</v>
      </c>
    </row>
    <row r="4" spans="1:14" s="26" customFormat="1" ht="21" customHeight="1" thickBot="1">
      <c r="A4" s="298"/>
      <c r="B4" s="288"/>
      <c r="C4" s="242"/>
      <c r="D4" s="242"/>
      <c r="E4" s="275"/>
      <c r="F4" s="275"/>
      <c r="G4" s="275"/>
      <c r="H4" s="28">
        <v>1</v>
      </c>
      <c r="I4" s="28">
        <v>2</v>
      </c>
      <c r="J4" s="28">
        <v>3</v>
      </c>
      <c r="K4" s="28" t="s">
        <v>6</v>
      </c>
      <c r="L4" s="275"/>
      <c r="M4" s="275"/>
      <c r="N4" s="279"/>
    </row>
    <row r="5" spans="2:13" ht="15">
      <c r="B5" s="280" t="s">
        <v>39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4" ht="12.75">
      <c r="A6" s="37" t="s">
        <v>133</v>
      </c>
      <c r="B6" s="47" t="s">
        <v>97</v>
      </c>
      <c r="C6" s="36" t="s">
        <v>690</v>
      </c>
      <c r="D6" s="36" t="s">
        <v>392</v>
      </c>
      <c r="E6" s="36" t="str">
        <f>"0,5849"</f>
        <v>0,5849</v>
      </c>
      <c r="F6" s="36" t="s">
        <v>16</v>
      </c>
      <c r="G6" s="55" t="s">
        <v>17</v>
      </c>
      <c r="H6" s="44" t="s">
        <v>41</v>
      </c>
      <c r="I6" s="45" t="s">
        <v>42</v>
      </c>
      <c r="J6" s="44" t="s">
        <v>42</v>
      </c>
      <c r="K6" s="48"/>
      <c r="L6" s="37" t="str">
        <f>"230,0"</f>
        <v>230,0</v>
      </c>
      <c r="M6" s="37" t="s">
        <v>495</v>
      </c>
      <c r="N6" s="47" t="s">
        <v>344</v>
      </c>
    </row>
    <row r="7" ht="12.75">
      <c r="A7" s="34"/>
    </row>
    <row r="8" spans="1:13" ht="15">
      <c r="A8" s="34"/>
      <c r="B8" s="293" t="s">
        <v>87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</row>
    <row r="9" spans="1:14" ht="12.75">
      <c r="A9" s="37" t="s">
        <v>133</v>
      </c>
      <c r="B9" s="47" t="s">
        <v>98</v>
      </c>
      <c r="C9" s="36" t="s">
        <v>691</v>
      </c>
      <c r="D9" s="36" t="s">
        <v>393</v>
      </c>
      <c r="E9" s="36" t="str">
        <f>"0,5714"</f>
        <v>0,5714</v>
      </c>
      <c r="F9" s="36" t="s">
        <v>62</v>
      </c>
      <c r="G9" s="55" t="s">
        <v>63</v>
      </c>
      <c r="H9" s="44" t="s">
        <v>99</v>
      </c>
      <c r="I9" s="44" t="s">
        <v>100</v>
      </c>
      <c r="J9" s="45" t="s">
        <v>101</v>
      </c>
      <c r="K9" s="48"/>
      <c r="L9" s="37" t="str">
        <f>"290,0"</f>
        <v>290,0</v>
      </c>
      <c r="M9" s="37" t="s">
        <v>496</v>
      </c>
      <c r="N9" s="47" t="s">
        <v>344</v>
      </c>
    </row>
    <row r="12" spans="1:6" ht="18">
      <c r="A12" s="114"/>
      <c r="B12" s="128"/>
      <c r="C12" s="128"/>
      <c r="D12" s="115"/>
      <c r="E12" s="115"/>
      <c r="F12" s="115"/>
    </row>
    <row r="13" spans="1:6" ht="15">
      <c r="A13" s="114"/>
      <c r="B13" s="129"/>
      <c r="C13" s="129"/>
      <c r="D13" s="115"/>
      <c r="E13" s="115"/>
      <c r="F13" s="115"/>
    </row>
    <row r="14" spans="1:6" ht="14.25">
      <c r="A14" s="114"/>
      <c r="B14" s="130"/>
      <c r="C14" s="131"/>
      <c r="D14" s="115"/>
      <c r="E14" s="115"/>
      <c r="F14" s="115"/>
    </row>
    <row r="15" spans="1:6" ht="15">
      <c r="A15" s="114"/>
      <c r="B15" s="126"/>
      <c r="C15" s="126"/>
      <c r="D15" s="126"/>
      <c r="E15" s="126"/>
      <c r="F15" s="126"/>
    </row>
    <row r="16" spans="1:6" ht="12.75">
      <c r="A16" s="114"/>
      <c r="B16" s="133"/>
      <c r="C16" s="115"/>
      <c r="D16" s="115"/>
      <c r="E16" s="115"/>
      <c r="F16" s="113"/>
    </row>
    <row r="17" spans="1:6" ht="12.75">
      <c r="A17" s="114"/>
      <c r="B17" s="133"/>
      <c r="C17" s="115"/>
      <c r="D17" s="115"/>
      <c r="E17" s="115"/>
      <c r="F17" s="113"/>
    </row>
  </sheetData>
  <sheetProtection/>
  <mergeCells count="14">
    <mergeCell ref="A3:A4"/>
    <mergeCell ref="L3:L4"/>
    <mergeCell ref="M3:M4"/>
    <mergeCell ref="A1:N2"/>
    <mergeCell ref="N3:N4"/>
    <mergeCell ref="B5:M5"/>
    <mergeCell ref="B8:M8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9.125" style="25" customWidth="1"/>
    <col min="2" max="2" width="21.75390625" style="29" customWidth="1"/>
    <col min="3" max="3" width="30.875" style="29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29.125" style="29" bestFit="1" customWidth="1"/>
    <col min="8" max="10" width="5.625" style="25" bestFit="1" customWidth="1"/>
    <col min="11" max="11" width="5.00390625" style="25" customWidth="1"/>
    <col min="12" max="12" width="11.25390625" style="29" bestFit="1" customWidth="1"/>
    <col min="13" max="13" width="8.625" style="25" bestFit="1" customWidth="1"/>
    <col min="14" max="14" width="15.375" style="29" bestFit="1" customWidth="1"/>
    <col min="15" max="16384" width="9.125" style="25" customWidth="1"/>
  </cols>
  <sheetData>
    <row r="1" spans="1:14" s="34" customFormat="1" ht="28.5" customHeight="1">
      <c r="A1" s="289" t="s">
        <v>548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s="26" customFormat="1" ht="12.75" customHeight="1">
      <c r="A3" s="297" t="s">
        <v>127</v>
      </c>
      <c r="B3" s="287" t="s">
        <v>0</v>
      </c>
      <c r="C3" s="249" t="s">
        <v>450</v>
      </c>
      <c r="D3" s="249" t="s">
        <v>451</v>
      </c>
      <c r="E3" s="274" t="s">
        <v>13</v>
      </c>
      <c r="F3" s="274" t="s">
        <v>5</v>
      </c>
      <c r="G3" s="274" t="s">
        <v>7</v>
      </c>
      <c r="H3" s="274" t="s">
        <v>1</v>
      </c>
      <c r="I3" s="274"/>
      <c r="J3" s="274"/>
      <c r="K3" s="274"/>
      <c r="L3" s="274" t="s">
        <v>96</v>
      </c>
      <c r="M3" s="274" t="s">
        <v>4</v>
      </c>
      <c r="N3" s="278" t="s">
        <v>3</v>
      </c>
    </row>
    <row r="4" spans="1:14" s="26" customFormat="1" ht="21" customHeight="1" thickBot="1">
      <c r="A4" s="298"/>
      <c r="B4" s="288"/>
      <c r="C4" s="242"/>
      <c r="D4" s="242"/>
      <c r="E4" s="275"/>
      <c r="F4" s="275"/>
      <c r="G4" s="275"/>
      <c r="H4" s="28">
        <v>1</v>
      </c>
      <c r="I4" s="28">
        <v>2</v>
      </c>
      <c r="J4" s="28">
        <v>3</v>
      </c>
      <c r="K4" s="28" t="s">
        <v>6</v>
      </c>
      <c r="L4" s="275"/>
      <c r="M4" s="275"/>
      <c r="N4" s="279"/>
    </row>
    <row r="5" spans="2:13" ht="15">
      <c r="B5" s="280" t="s">
        <v>87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4" ht="12.75">
      <c r="A6" s="37" t="s">
        <v>133</v>
      </c>
      <c r="B6" s="47" t="s">
        <v>94</v>
      </c>
      <c r="C6" s="36" t="s">
        <v>692</v>
      </c>
      <c r="D6" s="36" t="s">
        <v>394</v>
      </c>
      <c r="E6" s="36" t="str">
        <f>"0,5595"</f>
        <v>0,5595</v>
      </c>
      <c r="F6" s="36" t="s">
        <v>341</v>
      </c>
      <c r="G6" s="36" t="s">
        <v>32</v>
      </c>
      <c r="H6" s="44" t="s">
        <v>95</v>
      </c>
      <c r="I6" s="44" t="s">
        <v>59</v>
      </c>
      <c r="J6" s="44" t="s">
        <v>41</v>
      </c>
      <c r="K6" s="48"/>
      <c r="L6" s="37" t="str">
        <f>"220,0"</f>
        <v>220,0</v>
      </c>
      <c r="M6" s="37" t="s">
        <v>497</v>
      </c>
      <c r="N6" s="36" t="s">
        <v>344</v>
      </c>
    </row>
    <row r="8" ht="15">
      <c r="F8" s="33"/>
    </row>
    <row r="10" spans="1:6" ht="18">
      <c r="A10" s="114"/>
      <c r="B10" s="128"/>
      <c r="C10" s="128"/>
      <c r="D10" s="115"/>
      <c r="E10" s="115"/>
      <c r="F10" s="115"/>
    </row>
    <row r="11" spans="1:6" ht="15">
      <c r="A11" s="114"/>
      <c r="B11" s="129"/>
      <c r="C11" s="129"/>
      <c r="D11" s="115"/>
      <c r="E11" s="115"/>
      <c r="F11" s="115"/>
    </row>
    <row r="12" spans="1:6" ht="14.25">
      <c r="A12" s="114"/>
      <c r="B12" s="130"/>
      <c r="C12" s="131"/>
      <c r="D12" s="115"/>
      <c r="E12" s="115"/>
      <c r="F12" s="115"/>
    </row>
    <row r="13" spans="1:6" ht="15">
      <c r="A13" s="114"/>
      <c r="B13" s="126"/>
      <c r="C13" s="126"/>
      <c r="D13" s="126"/>
      <c r="E13" s="126"/>
      <c r="F13" s="126"/>
    </row>
    <row r="14" spans="1:6" ht="12.75">
      <c r="A14" s="114"/>
      <c r="B14" s="133"/>
      <c r="C14" s="115"/>
      <c r="D14" s="115"/>
      <c r="E14" s="115"/>
      <c r="F14" s="113"/>
    </row>
  </sheetData>
  <sheetProtection/>
  <mergeCells count="13">
    <mergeCell ref="N3:N4"/>
    <mergeCell ref="A1:N2"/>
    <mergeCell ref="B5:M5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9.125" style="34" customWidth="1"/>
    <col min="2" max="2" width="19.375" style="29" customWidth="1"/>
    <col min="3" max="3" width="26.375" style="29" customWidth="1"/>
    <col min="4" max="4" width="11.00390625" style="29" customWidth="1"/>
    <col min="5" max="5" width="16.875" style="29" customWidth="1"/>
    <col min="6" max="6" width="22.75390625" style="29" bestFit="1" customWidth="1"/>
    <col min="7" max="7" width="39.625" style="29" bestFit="1" customWidth="1"/>
    <col min="8" max="10" width="5.625" style="25" bestFit="1" customWidth="1"/>
    <col min="11" max="11" width="4.875" style="25" bestFit="1" customWidth="1"/>
    <col min="12" max="12" width="5.625" style="25" bestFit="1" customWidth="1"/>
    <col min="13" max="13" width="10.375" style="25" bestFit="1" customWidth="1"/>
    <col min="14" max="14" width="9.00390625" style="25" customWidth="1"/>
    <col min="15" max="15" width="9.625" style="25" bestFit="1" customWidth="1"/>
    <col min="16" max="16" width="15.125" style="29" customWidth="1"/>
    <col min="17" max="16384" width="9.125" style="25" customWidth="1"/>
  </cols>
  <sheetData>
    <row r="1" spans="1:16" s="34" customFormat="1" ht="28.5" customHeight="1">
      <c r="A1" s="289" t="s">
        <v>549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/>
    </row>
    <row r="2" spans="1:16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</row>
    <row r="3" spans="1:16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99" t="s">
        <v>61</v>
      </c>
      <c r="F3" s="274" t="s">
        <v>5</v>
      </c>
      <c r="G3" s="274" t="s">
        <v>7</v>
      </c>
      <c r="H3" s="274" t="s">
        <v>9</v>
      </c>
      <c r="I3" s="274"/>
      <c r="J3" s="274"/>
      <c r="K3" s="274"/>
      <c r="L3" s="274" t="s">
        <v>10</v>
      </c>
      <c r="M3" s="274"/>
      <c r="N3" s="274" t="s">
        <v>2</v>
      </c>
      <c r="O3" s="274" t="s">
        <v>4</v>
      </c>
      <c r="P3" s="278" t="s">
        <v>3</v>
      </c>
    </row>
    <row r="4" spans="1:16" s="26" customFormat="1" ht="21" customHeight="1" thickBot="1">
      <c r="A4" s="277"/>
      <c r="B4" s="288"/>
      <c r="C4" s="242"/>
      <c r="D4" s="242"/>
      <c r="E4" s="300"/>
      <c r="F4" s="275"/>
      <c r="G4" s="275"/>
      <c r="H4" s="27">
        <v>1</v>
      </c>
      <c r="I4" s="27">
        <v>2</v>
      </c>
      <c r="J4" s="27">
        <v>3</v>
      </c>
      <c r="K4" s="27" t="s">
        <v>6</v>
      </c>
      <c r="L4" s="27" t="s">
        <v>11</v>
      </c>
      <c r="M4" s="27" t="s">
        <v>12</v>
      </c>
      <c r="N4" s="275"/>
      <c r="O4" s="275"/>
      <c r="P4" s="279"/>
    </row>
    <row r="5" spans="2:15" ht="15">
      <c r="B5" s="280" t="s">
        <v>65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6" ht="12.75">
      <c r="A6" s="37" t="s">
        <v>133</v>
      </c>
      <c r="B6" s="47" t="s">
        <v>66</v>
      </c>
      <c r="C6" s="36" t="s">
        <v>693</v>
      </c>
      <c r="D6" s="36" t="s">
        <v>395</v>
      </c>
      <c r="E6" s="36" t="str">
        <f>"1,1478"</f>
        <v>1,1478</v>
      </c>
      <c r="F6" s="36" t="s">
        <v>62</v>
      </c>
      <c r="G6" s="36" t="s">
        <v>63</v>
      </c>
      <c r="H6" s="44" t="s">
        <v>67</v>
      </c>
      <c r="I6" s="45" t="s">
        <v>68</v>
      </c>
      <c r="J6" s="44" t="s">
        <v>68</v>
      </c>
      <c r="K6" s="48"/>
      <c r="L6" s="37" t="s">
        <v>35</v>
      </c>
      <c r="M6" s="37" t="s">
        <v>586</v>
      </c>
      <c r="N6" s="37" t="str">
        <f>"75,5"</f>
        <v>75,5</v>
      </c>
      <c r="O6" s="37" t="s">
        <v>498</v>
      </c>
      <c r="P6" s="36" t="s">
        <v>128</v>
      </c>
    </row>
    <row r="8" spans="2:15" ht="15">
      <c r="B8" s="293" t="s">
        <v>69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16" ht="12.75">
      <c r="A9" s="37"/>
      <c r="B9" s="47" t="s">
        <v>184</v>
      </c>
      <c r="C9" s="36" t="s">
        <v>694</v>
      </c>
      <c r="D9" s="36" t="s">
        <v>396</v>
      </c>
      <c r="E9" s="36" t="str">
        <f>"1,0174"</f>
        <v>1,0174</v>
      </c>
      <c r="F9" s="36" t="s">
        <v>341</v>
      </c>
      <c r="G9" s="36" t="s">
        <v>17</v>
      </c>
      <c r="H9" s="45" t="s">
        <v>70</v>
      </c>
      <c r="I9" s="45" t="s">
        <v>70</v>
      </c>
      <c r="J9" s="45" t="s">
        <v>70</v>
      </c>
      <c r="K9" s="48"/>
      <c r="L9" s="45"/>
      <c r="M9" s="48"/>
      <c r="N9" s="37" t="s">
        <v>452</v>
      </c>
      <c r="O9" s="37" t="s">
        <v>452</v>
      </c>
      <c r="P9" s="36" t="s">
        <v>132</v>
      </c>
    </row>
    <row r="11" spans="2:15" ht="15">
      <c r="B11" s="293" t="s">
        <v>65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</row>
    <row r="12" spans="1:16" ht="12.75">
      <c r="A12" s="37" t="s">
        <v>133</v>
      </c>
      <c r="B12" s="47" t="s">
        <v>72</v>
      </c>
      <c r="C12" s="36" t="s">
        <v>695</v>
      </c>
      <c r="D12" s="36" t="s">
        <v>397</v>
      </c>
      <c r="E12" s="36" t="str">
        <f>"0,8594"</f>
        <v>0,8594</v>
      </c>
      <c r="F12" s="36" t="s">
        <v>62</v>
      </c>
      <c r="G12" s="36" t="s">
        <v>63</v>
      </c>
      <c r="H12" s="44" t="s">
        <v>73</v>
      </c>
      <c r="I12" s="44" t="s">
        <v>74</v>
      </c>
      <c r="J12" s="45" t="s">
        <v>75</v>
      </c>
      <c r="K12" s="48"/>
      <c r="L12" s="37" t="s">
        <v>76</v>
      </c>
      <c r="M12" s="37" t="s">
        <v>587</v>
      </c>
      <c r="N12" s="37" t="str">
        <f>"130,5"</f>
        <v>130,5</v>
      </c>
      <c r="O12" s="37" t="s">
        <v>499</v>
      </c>
      <c r="P12" s="36" t="s">
        <v>129</v>
      </c>
    </row>
    <row r="14" spans="2:15" ht="15">
      <c r="B14" s="293" t="s">
        <v>77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</row>
    <row r="15" spans="1:16" s="114" customFormat="1" ht="12.75">
      <c r="A15" s="109" t="s">
        <v>133</v>
      </c>
      <c r="B15" s="116" t="s">
        <v>78</v>
      </c>
      <c r="C15" s="108" t="s">
        <v>696</v>
      </c>
      <c r="D15" s="108" t="s">
        <v>398</v>
      </c>
      <c r="E15" s="108" t="str">
        <f>"0,7112"</f>
        <v>0,7112</v>
      </c>
      <c r="F15" s="108" t="s">
        <v>62</v>
      </c>
      <c r="G15" s="108" t="s">
        <v>63</v>
      </c>
      <c r="H15" s="44" t="s">
        <v>79</v>
      </c>
      <c r="I15" s="112" t="s">
        <v>80</v>
      </c>
      <c r="J15" s="44" t="s">
        <v>80</v>
      </c>
      <c r="K15" s="111"/>
      <c r="L15" s="109" t="s">
        <v>81</v>
      </c>
      <c r="M15" s="109" t="s">
        <v>588</v>
      </c>
      <c r="N15" s="109" t="s">
        <v>93</v>
      </c>
      <c r="O15" s="109" t="s">
        <v>500</v>
      </c>
      <c r="P15" s="108" t="s">
        <v>343</v>
      </c>
    </row>
    <row r="17" spans="2:15" ht="15">
      <c r="B17" s="293" t="s">
        <v>25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</row>
    <row r="18" spans="1:16" ht="12.75">
      <c r="A18" s="37" t="s">
        <v>133</v>
      </c>
      <c r="B18" s="47" t="s">
        <v>82</v>
      </c>
      <c r="C18" s="36" t="s">
        <v>697</v>
      </c>
      <c r="D18" s="36" t="s">
        <v>399</v>
      </c>
      <c r="E18" s="36" t="str">
        <f>"0,6108"</f>
        <v>0,6108</v>
      </c>
      <c r="F18" s="36" t="s">
        <v>62</v>
      </c>
      <c r="G18" s="36" t="s">
        <v>63</v>
      </c>
      <c r="H18" s="44" t="s">
        <v>83</v>
      </c>
      <c r="I18" s="44" t="s">
        <v>84</v>
      </c>
      <c r="J18" s="45" t="s">
        <v>37</v>
      </c>
      <c r="K18" s="48"/>
      <c r="L18" s="37" t="s">
        <v>28</v>
      </c>
      <c r="M18" s="37" t="s">
        <v>589</v>
      </c>
      <c r="N18" s="37" t="str">
        <f>"184,5"</f>
        <v>184,5</v>
      </c>
      <c r="O18" s="37" t="s">
        <v>501</v>
      </c>
      <c r="P18" s="36" t="s">
        <v>128</v>
      </c>
    </row>
    <row r="20" spans="2:15" ht="15">
      <c r="B20" s="293" t="s">
        <v>29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</row>
    <row r="21" spans="1:16" ht="12.75">
      <c r="A21" s="37" t="s">
        <v>133</v>
      </c>
      <c r="B21" s="47" t="s">
        <v>85</v>
      </c>
      <c r="C21" s="36" t="s">
        <v>698</v>
      </c>
      <c r="D21" s="36" t="s">
        <v>400</v>
      </c>
      <c r="E21" s="36" t="str">
        <f>"0,5937"</f>
        <v>0,5937</v>
      </c>
      <c r="F21" s="36" t="s">
        <v>62</v>
      </c>
      <c r="G21" s="36" t="s">
        <v>63</v>
      </c>
      <c r="H21" s="44" t="s">
        <v>22</v>
      </c>
      <c r="I21" s="45" t="s">
        <v>86</v>
      </c>
      <c r="J21" s="45" t="s">
        <v>86</v>
      </c>
      <c r="K21" s="48"/>
      <c r="L21" s="37" t="s">
        <v>34</v>
      </c>
      <c r="M21" s="37" t="s">
        <v>590</v>
      </c>
      <c r="N21" s="37" t="str">
        <f>"150,0"</f>
        <v>150,0</v>
      </c>
      <c r="O21" s="37" t="s">
        <v>502</v>
      </c>
      <c r="P21" s="36" t="s">
        <v>131</v>
      </c>
    </row>
    <row r="23" spans="2:15" ht="15">
      <c r="B23" s="293" t="s">
        <v>183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</row>
    <row r="24" spans="1:16" ht="12.75">
      <c r="A24" s="37" t="s">
        <v>133</v>
      </c>
      <c r="B24" s="47" t="s">
        <v>88</v>
      </c>
      <c r="C24" s="36" t="s">
        <v>699</v>
      </c>
      <c r="D24" s="36" t="s">
        <v>443</v>
      </c>
      <c r="E24" s="36" t="str">
        <f>"0,5701"</f>
        <v>0,5701</v>
      </c>
      <c r="F24" s="36" t="s">
        <v>89</v>
      </c>
      <c r="G24" s="36" t="s">
        <v>130</v>
      </c>
      <c r="H24" s="44" t="s">
        <v>33</v>
      </c>
      <c r="I24" s="44" t="s">
        <v>90</v>
      </c>
      <c r="J24" s="45" t="s">
        <v>91</v>
      </c>
      <c r="K24" s="48"/>
      <c r="L24" s="37" t="s">
        <v>92</v>
      </c>
      <c r="M24" s="37" t="s">
        <v>591</v>
      </c>
      <c r="N24" s="37" t="str">
        <f>"202,0"</f>
        <v>202,0</v>
      </c>
      <c r="O24" s="37" t="s">
        <v>503</v>
      </c>
      <c r="P24" s="36" t="s">
        <v>344</v>
      </c>
    </row>
    <row r="27" spans="1:6" ht="18">
      <c r="A27" s="118"/>
      <c r="B27" s="128"/>
      <c r="C27" s="128"/>
      <c r="D27" s="115"/>
      <c r="E27" s="115"/>
      <c r="F27" s="115"/>
    </row>
    <row r="28" spans="1:6" ht="15">
      <c r="A28" s="118"/>
      <c r="B28" s="129"/>
      <c r="C28" s="129"/>
      <c r="D28" s="115"/>
      <c r="E28" s="115"/>
      <c r="F28" s="115"/>
    </row>
    <row r="29" spans="1:6" ht="14.25">
      <c r="A29" s="118"/>
      <c r="B29" s="130"/>
      <c r="C29" s="131"/>
      <c r="D29" s="115"/>
      <c r="E29" s="115"/>
      <c r="F29" s="115"/>
    </row>
    <row r="30" spans="1:6" ht="15">
      <c r="A30" s="118"/>
      <c r="B30" s="126"/>
      <c r="C30" s="126"/>
      <c r="D30" s="126"/>
      <c r="E30" s="126"/>
      <c r="F30" s="126"/>
    </row>
    <row r="31" spans="1:6" ht="12.75">
      <c r="A31" s="118"/>
      <c r="B31" s="133"/>
      <c r="C31" s="115"/>
      <c r="D31" s="115"/>
      <c r="E31" s="115"/>
      <c r="F31" s="113"/>
    </row>
    <row r="32" spans="1:6" ht="12.75">
      <c r="A32" s="118"/>
      <c r="B32" s="115"/>
      <c r="C32" s="115"/>
      <c r="D32" s="115"/>
      <c r="E32" s="115"/>
      <c r="F32" s="115"/>
    </row>
    <row r="33" spans="1:6" ht="12.75">
      <c r="A33" s="118"/>
      <c r="B33" s="115"/>
      <c r="C33" s="115"/>
      <c r="D33" s="115"/>
      <c r="E33" s="115"/>
      <c r="F33" s="115"/>
    </row>
    <row r="34" spans="1:6" ht="15">
      <c r="A34" s="118"/>
      <c r="B34" s="129"/>
      <c r="C34" s="129"/>
      <c r="D34" s="115"/>
      <c r="E34" s="115"/>
      <c r="F34" s="115"/>
    </row>
    <row r="35" spans="1:6" ht="14.25">
      <c r="A35" s="118"/>
      <c r="B35" s="130"/>
      <c r="C35" s="131"/>
      <c r="D35" s="115"/>
      <c r="E35" s="115"/>
      <c r="F35" s="115"/>
    </row>
    <row r="36" spans="1:6" ht="15">
      <c r="A36" s="118"/>
      <c r="B36" s="126"/>
      <c r="C36" s="126"/>
      <c r="D36" s="126"/>
      <c r="E36" s="126"/>
      <c r="F36" s="126"/>
    </row>
    <row r="37" spans="1:6" ht="12.75">
      <c r="A37" s="118"/>
      <c r="B37" s="133"/>
      <c r="C37" s="115"/>
      <c r="D37" s="115"/>
      <c r="E37" s="115"/>
      <c r="F37" s="113"/>
    </row>
    <row r="38" spans="1:6" ht="12.75">
      <c r="A38" s="118"/>
      <c r="B38" s="115"/>
      <c r="C38" s="115"/>
      <c r="D38" s="115"/>
      <c r="E38" s="115"/>
      <c r="F38" s="115"/>
    </row>
    <row r="39" spans="1:6" ht="14.25">
      <c r="A39" s="118"/>
      <c r="B39" s="130"/>
      <c r="C39" s="131"/>
      <c r="D39" s="115"/>
      <c r="E39" s="115"/>
      <c r="F39" s="115"/>
    </row>
    <row r="40" spans="1:6" ht="15">
      <c r="A40" s="118"/>
      <c r="B40" s="126"/>
      <c r="C40" s="126"/>
      <c r="D40" s="126"/>
      <c r="E40" s="126"/>
      <c r="F40" s="126"/>
    </row>
    <row r="41" spans="1:6" ht="12.75">
      <c r="A41" s="118"/>
      <c r="B41" s="133"/>
      <c r="C41" s="115"/>
      <c r="D41" s="115"/>
      <c r="E41" s="115"/>
      <c r="F41" s="113"/>
    </row>
    <row r="42" spans="1:6" ht="12.75">
      <c r="A42" s="118"/>
      <c r="B42" s="133"/>
      <c r="C42" s="115"/>
      <c r="D42" s="115"/>
      <c r="E42" s="115"/>
      <c r="F42" s="113"/>
    </row>
    <row r="43" spans="1:6" ht="12.75">
      <c r="A43" s="118"/>
      <c r="B43" s="133"/>
      <c r="C43" s="115"/>
      <c r="D43" s="115"/>
      <c r="E43" s="115"/>
      <c r="F43" s="113"/>
    </row>
    <row r="44" spans="1:6" ht="12.75">
      <c r="A44" s="118"/>
      <c r="B44" s="133"/>
      <c r="C44" s="115"/>
      <c r="D44" s="115"/>
      <c r="E44" s="115"/>
      <c r="F44" s="113"/>
    </row>
  </sheetData>
  <sheetProtection/>
  <mergeCells count="20">
    <mergeCell ref="A1:P2"/>
    <mergeCell ref="A3:A4"/>
    <mergeCell ref="P3:P4"/>
    <mergeCell ref="B5:O5"/>
    <mergeCell ref="B8:O8"/>
    <mergeCell ref="B11:O11"/>
    <mergeCell ref="B3:B4"/>
    <mergeCell ref="C3:C4"/>
    <mergeCell ref="D3:D4"/>
    <mergeCell ref="E3:E4"/>
    <mergeCell ref="F3:F4"/>
    <mergeCell ref="B14:O14"/>
    <mergeCell ref="B17:O17"/>
    <mergeCell ref="B20:O20"/>
    <mergeCell ref="B23:O23"/>
    <mergeCell ref="N3:N4"/>
    <mergeCell ref="O3:O4"/>
    <mergeCell ref="G3:G4"/>
    <mergeCell ref="H3:K3"/>
    <mergeCell ref="L3:M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9.125" style="34" customWidth="1"/>
    <col min="2" max="2" width="23.625" style="29" customWidth="1"/>
    <col min="3" max="3" width="28.625" style="29" bestFit="1" customWidth="1"/>
    <col min="4" max="4" width="9.125" style="29" customWidth="1"/>
    <col min="5" max="5" width="18.00390625" style="29" bestFit="1" customWidth="1"/>
    <col min="6" max="6" width="22.75390625" style="29" bestFit="1" customWidth="1"/>
    <col min="7" max="7" width="30.625" style="29" bestFit="1" customWidth="1"/>
    <col min="8" max="10" width="5.625" style="25" bestFit="1" customWidth="1"/>
    <col min="11" max="11" width="4.875" style="25" bestFit="1" customWidth="1"/>
    <col min="12" max="12" width="5.625" style="25" bestFit="1" customWidth="1"/>
    <col min="13" max="13" width="12.125" style="25" customWidth="1"/>
    <col min="14" max="14" width="7.875" style="25" bestFit="1" customWidth="1"/>
    <col min="15" max="15" width="10.625" style="25" bestFit="1" customWidth="1"/>
    <col min="16" max="16" width="15.375" style="29" bestFit="1" customWidth="1"/>
    <col min="17" max="16384" width="9.125" style="25" customWidth="1"/>
  </cols>
  <sheetData>
    <row r="1" spans="2:16" s="34" customFormat="1" ht="28.5" customHeight="1">
      <c r="B1" s="282" t="s">
        <v>706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4"/>
    </row>
    <row r="2" spans="2:16" s="34" customFormat="1" ht="61.5" customHeight="1" thickBot="1"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</row>
    <row r="3" spans="1:16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61</v>
      </c>
      <c r="F3" s="274" t="s">
        <v>5</v>
      </c>
      <c r="G3" s="274" t="s">
        <v>7</v>
      </c>
      <c r="H3" s="274" t="s">
        <v>9</v>
      </c>
      <c r="I3" s="274"/>
      <c r="J3" s="274"/>
      <c r="K3" s="274"/>
      <c r="L3" s="274" t="s">
        <v>10</v>
      </c>
      <c r="M3" s="274"/>
      <c r="N3" s="274" t="s">
        <v>2</v>
      </c>
      <c r="O3" s="274" t="s">
        <v>4</v>
      </c>
      <c r="P3" s="278" t="s">
        <v>3</v>
      </c>
    </row>
    <row r="4" spans="1:16" s="26" customFormat="1" ht="21" customHeight="1" thickBot="1">
      <c r="A4" s="277"/>
      <c r="B4" s="288"/>
      <c r="C4" s="242"/>
      <c r="D4" s="242"/>
      <c r="E4" s="275"/>
      <c r="F4" s="275"/>
      <c r="G4" s="275"/>
      <c r="H4" s="27">
        <v>1</v>
      </c>
      <c r="I4" s="27">
        <v>2</v>
      </c>
      <c r="J4" s="27">
        <v>3</v>
      </c>
      <c r="K4" s="27" t="s">
        <v>6</v>
      </c>
      <c r="L4" s="27" t="s">
        <v>11</v>
      </c>
      <c r="M4" s="27" t="s">
        <v>12</v>
      </c>
      <c r="N4" s="275"/>
      <c r="O4" s="275"/>
      <c r="P4" s="279"/>
    </row>
    <row r="5" spans="2:15" ht="15">
      <c r="B5" s="280" t="s">
        <v>14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6" ht="12.75">
      <c r="A6" s="52" t="s">
        <v>133</v>
      </c>
      <c r="B6" s="56" t="s">
        <v>15</v>
      </c>
      <c r="C6" s="49" t="s">
        <v>688</v>
      </c>
      <c r="D6" s="49" t="s">
        <v>401</v>
      </c>
      <c r="E6" s="49" t="str">
        <f>"0,6491"</f>
        <v>0,6491</v>
      </c>
      <c r="F6" s="49" t="s">
        <v>16</v>
      </c>
      <c r="G6" s="49" t="s">
        <v>17</v>
      </c>
      <c r="H6" s="57" t="s">
        <v>18</v>
      </c>
      <c r="I6" s="50" t="s">
        <v>18</v>
      </c>
      <c r="J6" s="50" t="s">
        <v>19</v>
      </c>
      <c r="K6" s="51"/>
      <c r="L6" s="52" t="s">
        <v>20</v>
      </c>
      <c r="M6" s="52" t="s">
        <v>592</v>
      </c>
      <c r="N6" s="52" t="str">
        <f>"208,0"</f>
        <v>208,0</v>
      </c>
      <c r="O6" s="52" t="s">
        <v>504</v>
      </c>
      <c r="P6" s="49" t="s">
        <v>343</v>
      </c>
    </row>
    <row r="7" spans="1:16" ht="12.75">
      <c r="A7" s="42" t="s">
        <v>133</v>
      </c>
      <c r="B7" s="58" t="s">
        <v>21</v>
      </c>
      <c r="C7" s="41" t="s">
        <v>700</v>
      </c>
      <c r="D7" s="41" t="s">
        <v>402</v>
      </c>
      <c r="E7" s="41" t="str">
        <f>"0,6388"</f>
        <v>0,6388</v>
      </c>
      <c r="F7" s="41" t="s">
        <v>16</v>
      </c>
      <c r="G7" s="41" t="s">
        <v>17</v>
      </c>
      <c r="H7" s="59" t="s">
        <v>22</v>
      </c>
      <c r="I7" s="59" t="s">
        <v>23</v>
      </c>
      <c r="J7" s="53" t="s">
        <v>24</v>
      </c>
      <c r="K7" s="54"/>
      <c r="L7" s="42" t="s">
        <v>20</v>
      </c>
      <c r="M7" s="42" t="s">
        <v>593</v>
      </c>
      <c r="N7" s="42" t="str">
        <f>"174,0"</f>
        <v>174,0</v>
      </c>
      <c r="O7" s="42" t="s">
        <v>505</v>
      </c>
      <c r="P7" s="41" t="s">
        <v>344</v>
      </c>
    </row>
    <row r="9" spans="2:15" ht="15">
      <c r="B9" s="293" t="s">
        <v>25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</row>
    <row r="10" spans="1:16" ht="12.75">
      <c r="A10" s="37" t="s">
        <v>133</v>
      </c>
      <c r="B10" s="47" t="s">
        <v>26</v>
      </c>
      <c r="C10" s="36" t="s">
        <v>701</v>
      </c>
      <c r="D10" s="36" t="s">
        <v>269</v>
      </c>
      <c r="E10" s="36" t="str">
        <f>"0,6298"</f>
        <v>0,6298</v>
      </c>
      <c r="F10" s="36" t="s">
        <v>341</v>
      </c>
      <c r="G10" s="36" t="s">
        <v>27</v>
      </c>
      <c r="H10" s="60" t="s">
        <v>86</v>
      </c>
      <c r="I10" s="44" t="s">
        <v>23</v>
      </c>
      <c r="J10" s="44" t="s">
        <v>24</v>
      </c>
      <c r="K10" s="48"/>
      <c r="L10" s="37" t="s">
        <v>28</v>
      </c>
      <c r="M10" s="37" t="s">
        <v>594</v>
      </c>
      <c r="N10" s="37" t="str">
        <f>"126,0"</f>
        <v>126,0</v>
      </c>
      <c r="O10" s="37" t="s">
        <v>506</v>
      </c>
      <c r="P10" s="36" t="s">
        <v>344</v>
      </c>
    </row>
    <row r="12" spans="2:15" ht="15">
      <c r="B12" s="293" t="s">
        <v>29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</row>
    <row r="13" spans="1:16" ht="12.75">
      <c r="A13" s="52" t="s">
        <v>133</v>
      </c>
      <c r="B13" s="56" t="s">
        <v>30</v>
      </c>
      <c r="C13" s="49" t="s">
        <v>702</v>
      </c>
      <c r="D13" s="49" t="s">
        <v>386</v>
      </c>
      <c r="E13" s="49" t="str">
        <f>"0,5978"</f>
        <v>0,5978</v>
      </c>
      <c r="F13" s="49" t="s">
        <v>31</v>
      </c>
      <c r="G13" s="49" t="s">
        <v>32</v>
      </c>
      <c r="H13" s="50" t="s">
        <v>24</v>
      </c>
      <c r="I13" s="50" t="s">
        <v>18</v>
      </c>
      <c r="J13" s="50" t="s">
        <v>33</v>
      </c>
      <c r="K13" s="51"/>
      <c r="L13" s="52" t="s">
        <v>34</v>
      </c>
      <c r="M13" s="52" t="s">
        <v>595</v>
      </c>
      <c r="N13" s="52" t="str">
        <f>"210,0"</f>
        <v>210,0</v>
      </c>
      <c r="O13" s="52" t="s">
        <v>507</v>
      </c>
      <c r="P13" s="49" t="s">
        <v>343</v>
      </c>
    </row>
    <row r="14" spans="1:16" ht="12.75">
      <c r="A14" s="42" t="s">
        <v>134</v>
      </c>
      <c r="B14" s="58" t="s">
        <v>36</v>
      </c>
      <c r="C14" s="41" t="s">
        <v>703</v>
      </c>
      <c r="D14" s="41" t="s">
        <v>364</v>
      </c>
      <c r="E14" s="41" t="str">
        <f>"0,5893"</f>
        <v>0,5893</v>
      </c>
      <c r="F14" s="41" t="s">
        <v>16</v>
      </c>
      <c r="G14" s="41" t="s">
        <v>27</v>
      </c>
      <c r="H14" s="59" t="s">
        <v>37</v>
      </c>
      <c r="I14" s="59" t="s">
        <v>38</v>
      </c>
      <c r="J14" s="53" t="s">
        <v>33</v>
      </c>
      <c r="K14" s="54"/>
      <c r="L14" s="42" t="s">
        <v>34</v>
      </c>
      <c r="M14" s="42" t="s">
        <v>589</v>
      </c>
      <c r="N14" s="42" t="str">
        <f>"199,5"</f>
        <v>199,5</v>
      </c>
      <c r="O14" s="42" t="s">
        <v>508</v>
      </c>
      <c r="P14" s="41" t="s">
        <v>343</v>
      </c>
    </row>
    <row r="16" spans="2:15" ht="15">
      <c r="B16" s="293" t="s">
        <v>39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</row>
    <row r="17" spans="1:16" ht="12.75">
      <c r="A17" s="37" t="s">
        <v>133</v>
      </c>
      <c r="B17" s="36" t="s">
        <v>40</v>
      </c>
      <c r="C17" s="36" t="s">
        <v>704</v>
      </c>
      <c r="D17" s="36" t="s">
        <v>375</v>
      </c>
      <c r="E17" s="36" t="str">
        <f>"0,5826"</f>
        <v>0,5826</v>
      </c>
      <c r="F17" s="36" t="s">
        <v>16</v>
      </c>
      <c r="G17" s="36" t="s">
        <v>17</v>
      </c>
      <c r="H17" s="44" t="s">
        <v>41</v>
      </c>
      <c r="I17" s="44" t="s">
        <v>42</v>
      </c>
      <c r="J17" s="44" t="s">
        <v>43</v>
      </c>
      <c r="K17" s="48"/>
      <c r="L17" s="37" t="s">
        <v>44</v>
      </c>
      <c r="M17" s="37" t="s">
        <v>596</v>
      </c>
      <c r="N17" s="37" t="str">
        <f>"276,0"</f>
        <v>276,0</v>
      </c>
      <c r="O17" s="37" t="s">
        <v>509</v>
      </c>
      <c r="P17" s="36" t="s">
        <v>343</v>
      </c>
    </row>
    <row r="18" spans="1:16" ht="12.75">
      <c r="A18" s="37" t="s">
        <v>133</v>
      </c>
      <c r="B18" s="36" t="s">
        <v>45</v>
      </c>
      <c r="C18" s="36" t="s">
        <v>705</v>
      </c>
      <c r="D18" s="36" t="s">
        <v>403</v>
      </c>
      <c r="E18" s="36" t="str">
        <f>"0,5856"</f>
        <v>0,5856</v>
      </c>
      <c r="F18" s="36" t="s">
        <v>341</v>
      </c>
      <c r="G18" s="36" t="s">
        <v>46</v>
      </c>
      <c r="H18" s="44" t="s">
        <v>37</v>
      </c>
      <c r="I18" s="44" t="s">
        <v>47</v>
      </c>
      <c r="J18" s="45" t="s">
        <v>38</v>
      </c>
      <c r="K18" s="48"/>
      <c r="L18" s="37" t="s">
        <v>44</v>
      </c>
      <c r="M18" s="37" t="s">
        <v>597</v>
      </c>
      <c r="N18" s="37" t="str">
        <f>"190,5"</f>
        <v>190,5</v>
      </c>
      <c r="O18" s="37" t="s">
        <v>510</v>
      </c>
      <c r="P18" s="36" t="s">
        <v>344</v>
      </c>
    </row>
    <row r="19" ht="15">
      <c r="F19" s="33"/>
    </row>
    <row r="20" spans="1:6" ht="15">
      <c r="A20" s="118"/>
      <c r="B20" s="129" t="s">
        <v>48</v>
      </c>
      <c r="C20" s="129"/>
      <c r="D20" s="115"/>
      <c r="E20" s="115"/>
      <c r="F20" s="115"/>
    </row>
    <row r="21" spans="1:6" ht="14.25">
      <c r="A21" s="118"/>
      <c r="B21" s="130"/>
      <c r="C21" s="131" t="s">
        <v>559</v>
      </c>
      <c r="D21" s="115"/>
      <c r="E21" s="115"/>
      <c r="F21" s="115"/>
    </row>
    <row r="22" spans="1:6" ht="15">
      <c r="A22" s="109"/>
      <c r="B22" s="125" t="s">
        <v>49</v>
      </c>
      <c r="C22" s="125" t="s">
        <v>50</v>
      </c>
      <c r="D22" s="125" t="s">
        <v>51</v>
      </c>
      <c r="E22" s="125" t="s">
        <v>52</v>
      </c>
      <c r="F22" s="125" t="s">
        <v>54</v>
      </c>
    </row>
    <row r="23" spans="1:6" ht="12.75">
      <c r="A23" s="109" t="s">
        <v>133</v>
      </c>
      <c r="B23" s="132" t="s">
        <v>40</v>
      </c>
      <c r="C23" s="107" t="s">
        <v>559</v>
      </c>
      <c r="D23" s="109" t="s">
        <v>44</v>
      </c>
      <c r="E23" s="109" t="s">
        <v>55</v>
      </c>
      <c r="F23" s="109" t="s">
        <v>56</v>
      </c>
    </row>
    <row r="24" spans="1:6" ht="12.75">
      <c r="A24" s="109" t="s">
        <v>134</v>
      </c>
      <c r="B24" s="132" t="s">
        <v>15</v>
      </c>
      <c r="C24" s="107" t="s">
        <v>559</v>
      </c>
      <c r="D24" s="109" t="s">
        <v>20</v>
      </c>
      <c r="E24" s="109" t="s">
        <v>57</v>
      </c>
      <c r="F24" s="109" t="s">
        <v>58</v>
      </c>
    </row>
    <row r="25" spans="1:6" ht="12.75">
      <c r="A25" s="109" t="s">
        <v>135</v>
      </c>
      <c r="B25" s="132" t="s">
        <v>30</v>
      </c>
      <c r="C25" s="107" t="s">
        <v>559</v>
      </c>
      <c r="D25" s="109" t="s">
        <v>34</v>
      </c>
      <c r="E25" s="109" t="s">
        <v>59</v>
      </c>
      <c r="F25" s="109" t="s">
        <v>60</v>
      </c>
    </row>
    <row r="26" spans="1:6" ht="12.75">
      <c r="A26" s="118"/>
      <c r="B26" s="133"/>
      <c r="C26" s="115"/>
      <c r="D26" s="115"/>
      <c r="E26" s="115"/>
      <c r="F26" s="113"/>
    </row>
    <row r="27" spans="1:6" ht="12.75">
      <c r="A27" s="118"/>
      <c r="B27" s="133"/>
      <c r="C27" s="115"/>
      <c r="D27" s="115"/>
      <c r="E27" s="115"/>
      <c r="F27" s="113"/>
    </row>
    <row r="28" spans="1:6" ht="12.75">
      <c r="A28" s="118"/>
      <c r="B28" s="133"/>
      <c r="C28" s="115"/>
      <c r="D28" s="115"/>
      <c r="E28" s="115"/>
      <c r="F28" s="113"/>
    </row>
    <row r="29" spans="1:6" ht="12.75">
      <c r="A29" s="118"/>
      <c r="B29" s="115"/>
      <c r="C29" s="115"/>
      <c r="D29" s="115"/>
      <c r="E29" s="115"/>
      <c r="F29" s="115"/>
    </row>
    <row r="30" spans="1:6" ht="14.25">
      <c r="A30" s="118"/>
      <c r="B30" s="130"/>
      <c r="C30" s="131"/>
      <c r="D30" s="115"/>
      <c r="E30" s="115"/>
      <c r="F30" s="115"/>
    </row>
    <row r="31" spans="1:6" ht="15">
      <c r="A31" s="118"/>
      <c r="B31" s="126"/>
      <c r="C31" s="126"/>
      <c r="D31" s="126"/>
      <c r="E31" s="126"/>
      <c r="F31" s="126"/>
    </row>
    <row r="32" spans="1:6" ht="12.75">
      <c r="A32" s="118"/>
      <c r="B32" s="133"/>
      <c r="C32" s="115"/>
      <c r="D32" s="115"/>
      <c r="E32" s="115"/>
      <c r="F32" s="113"/>
    </row>
    <row r="33" spans="1:6" ht="12.75">
      <c r="A33" s="118"/>
      <c r="B33" s="133"/>
      <c r="C33" s="115"/>
      <c r="D33" s="115"/>
      <c r="E33" s="115"/>
      <c r="F33" s="113"/>
    </row>
  </sheetData>
  <sheetProtection/>
  <mergeCells count="17">
    <mergeCell ref="A3:A4"/>
    <mergeCell ref="B1:P2"/>
    <mergeCell ref="B3:B4"/>
    <mergeCell ref="C3:C4"/>
    <mergeCell ref="D3:D4"/>
    <mergeCell ref="E3:E4"/>
    <mergeCell ref="F3:F4"/>
    <mergeCell ref="G3:G4"/>
    <mergeCell ref="H3:K3"/>
    <mergeCell ref="L3:M3"/>
    <mergeCell ref="B16:O16"/>
    <mergeCell ref="N3:N4"/>
    <mergeCell ref="O3:O4"/>
    <mergeCell ref="P3:P4"/>
    <mergeCell ref="B5:O5"/>
    <mergeCell ref="B9:O9"/>
    <mergeCell ref="B12:O1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9.125" style="25" customWidth="1"/>
    <col min="2" max="2" width="17.125" style="29" customWidth="1"/>
    <col min="3" max="3" width="26.875" style="29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38.00390625" style="29" customWidth="1"/>
    <col min="8" max="10" width="4.625" style="25" bestFit="1" customWidth="1"/>
    <col min="11" max="11" width="4.875" style="25" bestFit="1" customWidth="1"/>
    <col min="12" max="12" width="11.25390625" style="29" bestFit="1" customWidth="1"/>
    <col min="13" max="13" width="7.625" style="25" bestFit="1" customWidth="1"/>
    <col min="14" max="14" width="15.125" style="29" customWidth="1"/>
    <col min="15" max="16384" width="9.125" style="25" customWidth="1"/>
  </cols>
  <sheetData>
    <row r="1" spans="1:14" s="34" customFormat="1" ht="28.5" customHeight="1">
      <c r="A1" s="303" t="s">
        <v>550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304"/>
    </row>
    <row r="2" spans="1:14" s="34" customFormat="1" ht="61.5" customHeight="1" thickBot="1">
      <c r="A2" s="305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 s="26" customFormat="1" ht="12.75" customHeight="1">
      <c r="A3" s="276" t="s">
        <v>127</v>
      </c>
      <c r="B3" s="301" t="s">
        <v>0</v>
      </c>
      <c r="C3" s="249" t="s">
        <v>450</v>
      </c>
      <c r="D3" s="249" t="s">
        <v>451</v>
      </c>
      <c r="E3" s="302" t="s">
        <v>141</v>
      </c>
      <c r="F3" s="302" t="s">
        <v>5</v>
      </c>
      <c r="G3" s="302" t="s">
        <v>7</v>
      </c>
      <c r="H3" s="302" t="s">
        <v>1</v>
      </c>
      <c r="I3" s="302"/>
      <c r="J3" s="302"/>
      <c r="K3" s="302"/>
      <c r="L3" s="302" t="s">
        <v>96</v>
      </c>
      <c r="M3" s="302" t="s">
        <v>4</v>
      </c>
      <c r="N3" s="306" t="s">
        <v>3</v>
      </c>
    </row>
    <row r="4" spans="1:14" s="26" customFormat="1" ht="21" customHeight="1" thickBot="1">
      <c r="A4" s="277"/>
      <c r="B4" s="288"/>
      <c r="C4" s="242"/>
      <c r="D4" s="242"/>
      <c r="E4" s="275"/>
      <c r="F4" s="275"/>
      <c r="G4" s="275"/>
      <c r="H4" s="27">
        <v>1</v>
      </c>
      <c r="I4" s="27">
        <v>2</v>
      </c>
      <c r="J4" s="27">
        <v>3</v>
      </c>
      <c r="K4" s="27" t="s">
        <v>6</v>
      </c>
      <c r="L4" s="275"/>
      <c r="M4" s="275"/>
      <c r="N4" s="279"/>
    </row>
    <row r="5" spans="2:13" ht="15">
      <c r="B5" s="280" t="s">
        <v>584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4" ht="12.75">
      <c r="A6" s="37" t="s">
        <v>133</v>
      </c>
      <c r="B6" s="47" t="s">
        <v>138</v>
      </c>
      <c r="C6" s="36" t="s">
        <v>707</v>
      </c>
      <c r="D6" s="36" t="s">
        <v>404</v>
      </c>
      <c r="E6" s="36" t="str">
        <f>"0,9334"</f>
        <v>0,9334</v>
      </c>
      <c r="F6" s="36" t="s">
        <v>89</v>
      </c>
      <c r="G6" s="36" t="s">
        <v>405</v>
      </c>
      <c r="H6" s="44" t="s">
        <v>140</v>
      </c>
      <c r="I6" s="44" t="s">
        <v>139</v>
      </c>
      <c r="J6" s="44" t="s">
        <v>76</v>
      </c>
      <c r="K6" s="48"/>
      <c r="L6" s="37" t="str">
        <f>"60,0"</f>
        <v>60,0</v>
      </c>
      <c r="M6" s="37" t="s">
        <v>511</v>
      </c>
      <c r="N6" s="36" t="s">
        <v>284</v>
      </c>
    </row>
    <row r="8" ht="15">
      <c r="F8" s="33"/>
    </row>
    <row r="9" ht="15">
      <c r="F9" s="33"/>
    </row>
    <row r="10" ht="15">
      <c r="F10" s="33"/>
    </row>
    <row r="11" ht="15">
      <c r="F11" s="33"/>
    </row>
    <row r="12" ht="15">
      <c r="F12" s="33"/>
    </row>
    <row r="13" ht="15">
      <c r="F13" s="33"/>
    </row>
    <row r="14" ht="15">
      <c r="F14" s="33"/>
    </row>
    <row r="16" spans="1:6" ht="18">
      <c r="A16" s="114"/>
      <c r="B16" s="128"/>
      <c r="C16" s="128"/>
      <c r="D16" s="115"/>
      <c r="E16" s="115"/>
      <c r="F16" s="115"/>
    </row>
    <row r="17" spans="1:6" ht="15">
      <c r="A17" s="114"/>
      <c r="B17" s="129"/>
      <c r="C17" s="129"/>
      <c r="D17" s="115"/>
      <c r="E17" s="115"/>
      <c r="F17" s="115"/>
    </row>
    <row r="18" spans="1:6" ht="14.25">
      <c r="A18" s="114"/>
      <c r="B18" s="130"/>
      <c r="C18" s="131"/>
      <c r="D18" s="115"/>
      <c r="E18" s="115"/>
      <c r="F18" s="115"/>
    </row>
    <row r="19" spans="1:6" ht="15">
      <c r="A19" s="114"/>
      <c r="B19" s="126"/>
      <c r="C19" s="126"/>
      <c r="D19" s="126"/>
      <c r="E19" s="126"/>
      <c r="F19" s="126"/>
    </row>
    <row r="20" spans="1:6" ht="12.75">
      <c r="A20" s="114"/>
      <c r="B20" s="133"/>
      <c r="C20" s="115"/>
      <c r="D20" s="115"/>
      <c r="E20" s="115"/>
      <c r="F20" s="113"/>
    </row>
    <row r="21" spans="1:6" ht="12.75">
      <c r="A21" s="114"/>
      <c r="B21" s="115"/>
      <c r="C21" s="115"/>
      <c r="D21" s="115"/>
      <c r="E21" s="115"/>
      <c r="F21" s="115"/>
    </row>
    <row r="22" spans="1:6" ht="12.75">
      <c r="A22" s="114"/>
      <c r="B22" s="115"/>
      <c r="C22" s="115"/>
      <c r="D22" s="115"/>
      <c r="E22" s="115"/>
      <c r="F22" s="115"/>
    </row>
  </sheetData>
  <sheetProtection/>
  <mergeCells count="13">
    <mergeCell ref="A1:N2"/>
    <mergeCell ref="M3:M4"/>
    <mergeCell ref="N3:N4"/>
    <mergeCell ref="B5:M5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9.125" style="25" customWidth="1"/>
    <col min="2" max="2" width="26.00390625" style="29" bestFit="1" customWidth="1"/>
    <col min="3" max="3" width="27.00390625" style="29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39.00390625" style="29" bestFit="1" customWidth="1"/>
    <col min="8" max="11" width="5.625" style="25" bestFit="1" customWidth="1"/>
    <col min="12" max="12" width="11.25390625" style="29" bestFit="1" customWidth="1"/>
    <col min="13" max="13" width="8.625" style="25" bestFit="1" customWidth="1"/>
    <col min="14" max="14" width="15.25390625" style="29" customWidth="1"/>
    <col min="15" max="16384" width="9.125" style="25" customWidth="1"/>
  </cols>
  <sheetData>
    <row r="1" spans="1:14" s="34" customFormat="1" ht="28.5" customHeight="1">
      <c r="A1" s="289" t="s">
        <v>551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141</v>
      </c>
      <c r="F3" s="274" t="s">
        <v>5</v>
      </c>
      <c r="G3" s="274" t="s">
        <v>7</v>
      </c>
      <c r="H3" s="274" t="s">
        <v>1</v>
      </c>
      <c r="I3" s="274"/>
      <c r="J3" s="274"/>
      <c r="K3" s="274"/>
      <c r="L3" s="274" t="s">
        <v>96</v>
      </c>
      <c r="M3" s="274" t="s">
        <v>4</v>
      </c>
      <c r="N3" s="278" t="s">
        <v>3</v>
      </c>
    </row>
    <row r="4" spans="1:14" s="26" customFormat="1" ht="21" customHeight="1" thickBot="1">
      <c r="A4" s="277"/>
      <c r="B4" s="288"/>
      <c r="C4" s="242"/>
      <c r="D4" s="242"/>
      <c r="E4" s="275"/>
      <c r="F4" s="275"/>
      <c r="G4" s="275"/>
      <c r="H4" s="27">
        <v>1</v>
      </c>
      <c r="I4" s="27">
        <v>2</v>
      </c>
      <c r="J4" s="27">
        <v>3</v>
      </c>
      <c r="K4" s="27" t="s">
        <v>6</v>
      </c>
      <c r="L4" s="275"/>
      <c r="M4" s="275"/>
      <c r="N4" s="279"/>
    </row>
    <row r="5" spans="2:13" ht="15">
      <c r="B5" s="280" t="s">
        <v>29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34" s="30" customFormat="1" ht="12.75">
      <c r="A6" s="37" t="s">
        <v>133</v>
      </c>
      <c r="B6" s="36" t="s">
        <v>144</v>
      </c>
      <c r="C6" s="36" t="s">
        <v>708</v>
      </c>
      <c r="D6" s="36" t="s">
        <v>407</v>
      </c>
      <c r="E6" s="36" t="str">
        <f>"0,5762"</f>
        <v>0,5762</v>
      </c>
      <c r="F6" s="36" t="s">
        <v>16</v>
      </c>
      <c r="G6" s="36" t="s">
        <v>27</v>
      </c>
      <c r="H6" s="44" t="s">
        <v>143</v>
      </c>
      <c r="I6" s="45" t="s">
        <v>146</v>
      </c>
      <c r="J6" s="45" t="s">
        <v>146</v>
      </c>
      <c r="K6" s="48"/>
      <c r="L6" s="37" t="str">
        <f>"250,0"</f>
        <v>250,0</v>
      </c>
      <c r="M6" s="37" t="s">
        <v>512</v>
      </c>
      <c r="N6" s="36" t="s">
        <v>344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167"/>
    </row>
    <row r="7" spans="1:14" ht="12.75">
      <c r="A7" s="37" t="s">
        <v>134</v>
      </c>
      <c r="B7" s="36" t="s">
        <v>142</v>
      </c>
      <c r="C7" s="36" t="s">
        <v>709</v>
      </c>
      <c r="D7" s="36" t="s">
        <v>408</v>
      </c>
      <c r="E7" s="36" t="str">
        <f>"0,5653"</f>
        <v>0,5653</v>
      </c>
      <c r="F7" s="36" t="s">
        <v>89</v>
      </c>
      <c r="G7" s="36" t="s">
        <v>147</v>
      </c>
      <c r="H7" s="44" t="s">
        <v>22</v>
      </c>
      <c r="I7" s="45" t="s">
        <v>86</v>
      </c>
      <c r="J7" s="44" t="s">
        <v>86</v>
      </c>
      <c r="K7" s="45" t="s">
        <v>145</v>
      </c>
      <c r="L7" s="37" t="str">
        <f>"145,0"</f>
        <v>145,0</v>
      </c>
      <c r="M7" s="37" t="s">
        <v>513</v>
      </c>
      <c r="N7" s="36" t="s">
        <v>353</v>
      </c>
    </row>
    <row r="9" ht="15">
      <c r="F9" s="33"/>
    </row>
    <row r="10" ht="15">
      <c r="F10" s="33"/>
    </row>
    <row r="11" ht="15">
      <c r="F11" s="33"/>
    </row>
    <row r="12" ht="15">
      <c r="F12" s="33"/>
    </row>
    <row r="13" ht="15">
      <c r="F13" s="33"/>
    </row>
    <row r="14" ht="15">
      <c r="F14" s="33"/>
    </row>
    <row r="15" ht="15">
      <c r="F15" s="33"/>
    </row>
    <row r="17" spans="1:6" ht="18">
      <c r="A17" s="114"/>
      <c r="B17" s="128"/>
      <c r="C17" s="128"/>
      <c r="D17" s="115"/>
      <c r="E17" s="115"/>
      <c r="F17" s="115"/>
    </row>
    <row r="18" spans="1:6" ht="15">
      <c r="A18" s="114"/>
      <c r="B18" s="129"/>
      <c r="C18" s="129"/>
      <c r="D18" s="115"/>
      <c r="E18" s="115"/>
      <c r="F18" s="115"/>
    </row>
    <row r="19" spans="1:6" ht="14.25">
      <c r="A19" s="114"/>
      <c r="B19" s="130"/>
      <c r="C19" s="131"/>
      <c r="D19" s="115"/>
      <c r="E19" s="115"/>
      <c r="F19" s="115"/>
    </row>
    <row r="20" spans="1:6" ht="15">
      <c r="A20" s="114"/>
      <c r="B20" s="126"/>
      <c r="C20" s="126"/>
      <c r="D20" s="126"/>
      <c r="E20" s="126"/>
      <c r="F20" s="126"/>
    </row>
    <row r="21" spans="1:6" ht="12.75">
      <c r="A21" s="114"/>
      <c r="B21" s="133"/>
      <c r="C21" s="115"/>
      <c r="D21" s="115"/>
      <c r="E21" s="115"/>
      <c r="F21" s="113"/>
    </row>
    <row r="22" spans="1:6" ht="12.75">
      <c r="A22" s="114"/>
      <c r="B22" s="133"/>
      <c r="C22" s="115"/>
      <c r="D22" s="115"/>
      <c r="E22" s="115"/>
      <c r="F22" s="113"/>
    </row>
    <row r="23" spans="1:6" ht="12.75">
      <c r="A23" s="114"/>
      <c r="B23" s="115"/>
      <c r="C23" s="115"/>
      <c r="D23" s="115"/>
      <c r="E23" s="115"/>
      <c r="F23" s="115"/>
    </row>
    <row r="30" ht="12.75">
      <c r="C30" s="36"/>
    </row>
  </sheetData>
  <sheetProtection/>
  <mergeCells count="13">
    <mergeCell ref="A1:N2"/>
    <mergeCell ref="L3:L4"/>
    <mergeCell ref="M3:M4"/>
    <mergeCell ref="N3:N4"/>
    <mergeCell ref="B5:M5"/>
    <mergeCell ref="A3:A4"/>
    <mergeCell ref="H3:K3"/>
    <mergeCell ref="B3:B4"/>
    <mergeCell ref="C3:C4"/>
    <mergeCell ref="D3:D4"/>
    <mergeCell ref="G3:G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9.125" style="25" customWidth="1"/>
    <col min="2" max="2" width="15.125" style="29" customWidth="1"/>
    <col min="3" max="3" width="27.75390625" style="29" bestFit="1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26.00390625" style="29" customWidth="1"/>
    <col min="8" max="8" width="5.00390625" style="25" bestFit="1" customWidth="1"/>
    <col min="9" max="9" width="10.375" style="39" bestFit="1" customWidth="1"/>
    <col min="10" max="10" width="7.875" style="29" bestFit="1" customWidth="1"/>
    <col min="11" max="11" width="9.625" style="25" bestFit="1" customWidth="1"/>
    <col min="12" max="12" width="15.375" style="29" bestFit="1" customWidth="1"/>
    <col min="13" max="16384" width="9.125" style="25" customWidth="1"/>
  </cols>
  <sheetData>
    <row r="1" spans="1:12" s="34" customFormat="1" ht="28.5" customHeight="1">
      <c r="A1" s="289" t="s">
        <v>552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34" customFormat="1" ht="61.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s="26" customFormat="1" ht="12.75" customHeight="1">
      <c r="A3" s="295" t="s">
        <v>127</v>
      </c>
      <c r="B3" s="287" t="s">
        <v>0</v>
      </c>
      <c r="C3" s="249" t="s">
        <v>450</v>
      </c>
      <c r="D3" s="249" t="s">
        <v>451</v>
      </c>
      <c r="E3" s="274" t="s">
        <v>141</v>
      </c>
      <c r="F3" s="274" t="s">
        <v>5</v>
      </c>
      <c r="G3" s="274" t="s">
        <v>7</v>
      </c>
      <c r="H3" s="274" t="s">
        <v>10</v>
      </c>
      <c r="I3" s="274"/>
      <c r="J3" s="274" t="s">
        <v>105</v>
      </c>
      <c r="K3" s="274" t="s">
        <v>4</v>
      </c>
      <c r="L3" s="278" t="s">
        <v>3</v>
      </c>
    </row>
    <row r="4" spans="1:12" s="26" customFormat="1" ht="21" customHeight="1" thickBot="1">
      <c r="A4" s="295"/>
      <c r="B4" s="288"/>
      <c r="C4" s="242"/>
      <c r="D4" s="242"/>
      <c r="E4" s="275"/>
      <c r="F4" s="275"/>
      <c r="G4" s="275"/>
      <c r="H4" s="27" t="s">
        <v>11</v>
      </c>
      <c r="I4" s="35" t="s">
        <v>12</v>
      </c>
      <c r="J4" s="275"/>
      <c r="K4" s="275"/>
      <c r="L4" s="279"/>
    </row>
    <row r="5" spans="2:11" ht="15">
      <c r="B5" s="280" t="s">
        <v>25</v>
      </c>
      <c r="C5" s="280"/>
      <c r="D5" s="280"/>
      <c r="E5" s="280"/>
      <c r="F5" s="280"/>
      <c r="G5" s="280"/>
      <c r="H5" s="280"/>
      <c r="I5" s="280"/>
      <c r="J5" s="280"/>
      <c r="K5" s="280"/>
    </row>
    <row r="6" spans="1:12" ht="12.75">
      <c r="A6" s="37" t="s">
        <v>133</v>
      </c>
      <c r="B6" s="47" t="s">
        <v>148</v>
      </c>
      <c r="C6" s="36" t="s">
        <v>710</v>
      </c>
      <c r="D6" s="36" t="s">
        <v>409</v>
      </c>
      <c r="E6" s="36" t="str">
        <f>"0,5825"</f>
        <v>0,5825</v>
      </c>
      <c r="F6" s="36" t="s">
        <v>341</v>
      </c>
      <c r="G6" s="36" t="s">
        <v>453</v>
      </c>
      <c r="H6" s="37" t="s">
        <v>149</v>
      </c>
      <c r="I6" s="38">
        <v>49</v>
      </c>
      <c r="J6" s="37" t="str">
        <f>"2450,0"</f>
        <v>2450,0</v>
      </c>
      <c r="K6" s="37" t="s">
        <v>514</v>
      </c>
      <c r="L6" s="36" t="s">
        <v>344</v>
      </c>
    </row>
    <row r="8" ht="15">
      <c r="F8" s="33"/>
    </row>
    <row r="9" ht="15">
      <c r="F9" s="33"/>
    </row>
    <row r="10" ht="15">
      <c r="F10" s="33"/>
    </row>
    <row r="11" ht="15">
      <c r="F11" s="33"/>
    </row>
    <row r="12" ht="15">
      <c r="F12" s="33"/>
    </row>
    <row r="13" ht="15">
      <c r="F13" s="33"/>
    </row>
    <row r="14" ht="15">
      <c r="F14" s="33"/>
    </row>
    <row r="16" spans="1:6" ht="18">
      <c r="A16" s="114"/>
      <c r="B16" s="128"/>
      <c r="C16" s="128"/>
      <c r="D16" s="115"/>
      <c r="E16" s="115"/>
      <c r="F16" s="115"/>
    </row>
    <row r="17" spans="1:6" ht="15">
      <c r="A17" s="114"/>
      <c r="B17" s="129"/>
      <c r="C17" s="129"/>
      <c r="D17" s="115"/>
      <c r="E17" s="115"/>
      <c r="F17" s="115"/>
    </row>
    <row r="18" spans="1:6" ht="14.25">
      <c r="A18" s="114"/>
      <c r="B18" s="130"/>
      <c r="C18" s="131"/>
      <c r="D18" s="115"/>
      <c r="E18" s="115"/>
      <c r="F18" s="115"/>
    </row>
    <row r="19" spans="1:6" ht="15">
      <c r="A19" s="114"/>
      <c r="B19" s="126"/>
      <c r="C19" s="126"/>
      <c r="D19" s="126"/>
      <c r="E19" s="126"/>
      <c r="F19" s="126"/>
    </row>
    <row r="20" spans="1:6" ht="12.75">
      <c r="A20" s="114"/>
      <c r="B20" s="133"/>
      <c r="C20" s="115"/>
      <c r="D20" s="115"/>
      <c r="E20" s="115"/>
      <c r="F20" s="113"/>
    </row>
    <row r="21" spans="1:6" ht="12.75">
      <c r="A21" s="114"/>
      <c r="B21" s="115"/>
      <c r="C21" s="115"/>
      <c r="D21" s="115"/>
      <c r="E21" s="115"/>
      <c r="F21" s="115"/>
    </row>
  </sheetData>
  <sheetProtection/>
  <mergeCells count="13">
    <mergeCell ref="A1:L2"/>
    <mergeCell ref="K3:K4"/>
    <mergeCell ref="L3:L4"/>
    <mergeCell ref="B5:K5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9.125" style="25" customWidth="1"/>
    <col min="2" max="2" width="26.00390625" style="29" bestFit="1" customWidth="1"/>
    <col min="3" max="3" width="27.875" style="29" bestFit="1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31.125" style="29" bestFit="1" customWidth="1"/>
    <col min="8" max="8" width="4.625" style="25" bestFit="1" customWidth="1"/>
    <col min="9" max="9" width="10.375" style="39" bestFit="1" customWidth="1"/>
    <col min="10" max="10" width="8.875" style="25" bestFit="1" customWidth="1"/>
    <col min="11" max="11" width="8.625" style="25" bestFit="1" customWidth="1"/>
    <col min="12" max="12" width="14.00390625" style="29" bestFit="1" customWidth="1"/>
    <col min="13" max="16384" width="9.125" style="25" customWidth="1"/>
  </cols>
  <sheetData>
    <row r="1" spans="1:12" s="34" customFormat="1" ht="28.5" customHeight="1">
      <c r="A1" s="289" t="s">
        <v>553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34" customFormat="1" ht="61.5" customHeight="1" thickBo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26" customFormat="1" ht="12.75" customHeight="1">
      <c r="A3" s="276" t="s">
        <v>127</v>
      </c>
      <c r="B3" s="287" t="s">
        <v>0</v>
      </c>
      <c r="C3" s="249" t="s">
        <v>450</v>
      </c>
      <c r="D3" s="249" t="s">
        <v>451</v>
      </c>
      <c r="E3" s="274" t="s">
        <v>141</v>
      </c>
      <c r="F3" s="274" t="s">
        <v>5</v>
      </c>
      <c r="G3" s="274" t="s">
        <v>7</v>
      </c>
      <c r="H3" s="274" t="s">
        <v>10</v>
      </c>
      <c r="I3" s="274"/>
      <c r="J3" s="274" t="s">
        <v>105</v>
      </c>
      <c r="K3" s="274" t="s">
        <v>4</v>
      </c>
      <c r="L3" s="278" t="s">
        <v>3</v>
      </c>
    </row>
    <row r="4" spans="1:12" s="26" customFormat="1" ht="21" customHeight="1" thickBot="1">
      <c r="A4" s="277"/>
      <c r="B4" s="288"/>
      <c r="C4" s="242"/>
      <c r="D4" s="242"/>
      <c r="E4" s="275"/>
      <c r="F4" s="275"/>
      <c r="G4" s="275"/>
      <c r="H4" s="27" t="s">
        <v>11</v>
      </c>
      <c r="I4" s="35" t="s">
        <v>12</v>
      </c>
      <c r="J4" s="275"/>
      <c r="K4" s="275"/>
      <c r="L4" s="279"/>
    </row>
    <row r="5" spans="2:11" ht="15">
      <c r="B5" s="280" t="s">
        <v>65</v>
      </c>
      <c r="C5" s="280"/>
      <c r="D5" s="280"/>
      <c r="E5" s="280"/>
      <c r="F5" s="280"/>
      <c r="G5" s="280"/>
      <c r="H5" s="280"/>
      <c r="I5" s="280"/>
      <c r="J5" s="280"/>
      <c r="K5" s="280"/>
    </row>
    <row r="6" spans="1:12" ht="12.75">
      <c r="A6" s="30" t="s">
        <v>133</v>
      </c>
      <c r="B6" s="47" t="s">
        <v>120</v>
      </c>
      <c r="C6" s="36" t="s">
        <v>711</v>
      </c>
      <c r="D6" s="36" t="s">
        <v>411</v>
      </c>
      <c r="E6" s="36" t="str">
        <f>"1,0113"</f>
        <v>1,0113</v>
      </c>
      <c r="F6" s="36" t="s">
        <v>103</v>
      </c>
      <c r="G6" s="36" t="s">
        <v>121</v>
      </c>
      <c r="H6" s="37" t="s">
        <v>35</v>
      </c>
      <c r="I6" s="38">
        <v>32</v>
      </c>
      <c r="J6" s="37" t="s">
        <v>150</v>
      </c>
      <c r="K6" s="37" t="s">
        <v>515</v>
      </c>
      <c r="L6" s="36" t="s">
        <v>151</v>
      </c>
    </row>
    <row r="8" spans="1:13" ht="12.75" customHeight="1">
      <c r="A8" s="307" t="s">
        <v>584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29"/>
    </row>
    <row r="9" spans="1:12" ht="12.75">
      <c r="A9" s="30" t="s">
        <v>133</v>
      </c>
      <c r="B9" s="47" t="s">
        <v>124</v>
      </c>
      <c r="C9" s="36" t="s">
        <v>712</v>
      </c>
      <c r="D9" s="36" t="s">
        <v>412</v>
      </c>
      <c r="E9" s="36" t="str">
        <f>"1,1007"</f>
        <v>1,1007</v>
      </c>
      <c r="F9" s="36" t="s">
        <v>103</v>
      </c>
      <c r="G9" s="36" t="s">
        <v>121</v>
      </c>
      <c r="H9" s="37" t="s">
        <v>71</v>
      </c>
      <c r="I9" s="38">
        <v>25</v>
      </c>
      <c r="J9" s="37" t="s">
        <v>126</v>
      </c>
      <c r="K9" s="37" t="s">
        <v>516</v>
      </c>
      <c r="L9" s="36" t="s">
        <v>410</v>
      </c>
    </row>
    <row r="10" ht="15">
      <c r="F10" s="33"/>
    </row>
    <row r="11" ht="15">
      <c r="F11" s="33"/>
    </row>
    <row r="12" ht="15">
      <c r="F12" s="33"/>
    </row>
    <row r="13" ht="15">
      <c r="F13" s="33"/>
    </row>
    <row r="14" ht="15">
      <c r="F14" s="33"/>
    </row>
    <row r="15" ht="15">
      <c r="F15" s="33"/>
    </row>
    <row r="17" spans="1:7" ht="18">
      <c r="A17" s="114"/>
      <c r="B17" s="128"/>
      <c r="C17" s="128"/>
      <c r="D17" s="115"/>
      <c r="E17" s="115"/>
      <c r="F17" s="115"/>
      <c r="G17" s="115"/>
    </row>
    <row r="18" spans="1:7" ht="15">
      <c r="A18" s="114"/>
      <c r="B18" s="129"/>
      <c r="C18" s="129"/>
      <c r="D18" s="115"/>
      <c r="E18" s="115"/>
      <c r="F18" s="115"/>
      <c r="G18" s="115"/>
    </row>
    <row r="19" spans="1:7" ht="12.75" customHeight="1">
      <c r="A19" s="114"/>
      <c r="B19" s="130"/>
      <c r="C19" s="131"/>
      <c r="D19" s="115"/>
      <c r="E19" s="115"/>
      <c r="F19" s="115"/>
      <c r="G19" s="115"/>
    </row>
    <row r="20" spans="1:7" ht="15">
      <c r="A20" s="114"/>
      <c r="B20" s="126"/>
      <c r="C20" s="126"/>
      <c r="D20" s="126"/>
      <c r="E20" s="126"/>
      <c r="F20" s="126"/>
      <c r="G20" s="115"/>
    </row>
    <row r="21" spans="1:7" ht="12.75">
      <c r="A21" s="114"/>
      <c r="B21" s="133"/>
      <c r="C21" s="115"/>
      <c r="D21" s="113"/>
      <c r="E21" s="113"/>
      <c r="F21" s="113"/>
      <c r="G21" s="115"/>
    </row>
    <row r="22" spans="1:7" ht="12.75">
      <c r="A22" s="114"/>
      <c r="B22" s="115"/>
      <c r="C22" s="115"/>
      <c r="D22" s="115"/>
      <c r="E22" s="115"/>
      <c r="F22" s="115"/>
      <c r="G22" s="115"/>
    </row>
    <row r="23" spans="1:7" ht="14.25">
      <c r="A23" s="114"/>
      <c r="B23" s="115"/>
      <c r="C23" s="131"/>
      <c r="D23" s="115"/>
      <c r="E23" s="115"/>
      <c r="F23" s="115"/>
      <c r="G23" s="115"/>
    </row>
    <row r="24" spans="1:7" ht="15">
      <c r="A24" s="114"/>
      <c r="B24" s="126"/>
      <c r="C24" s="126"/>
      <c r="D24" s="126"/>
      <c r="E24" s="126"/>
      <c r="F24" s="126"/>
      <c r="G24" s="115"/>
    </row>
    <row r="25" spans="1:7" ht="12.75">
      <c r="A25" s="114"/>
      <c r="B25" s="115"/>
      <c r="C25" s="115"/>
      <c r="D25" s="113"/>
      <c r="E25" s="113"/>
      <c r="F25" s="113"/>
      <c r="G25" s="115"/>
    </row>
  </sheetData>
  <sheetProtection/>
  <mergeCells count="14">
    <mergeCell ref="C3:C4"/>
    <mergeCell ref="D3:D4"/>
    <mergeCell ref="E3:E4"/>
    <mergeCell ref="F3:F4"/>
    <mergeCell ref="A1:L2"/>
    <mergeCell ref="A8:L8"/>
    <mergeCell ref="G3:G4"/>
    <mergeCell ref="H3:I3"/>
    <mergeCell ref="A3:A4"/>
    <mergeCell ref="J3:J4"/>
    <mergeCell ref="K3:K4"/>
    <mergeCell ref="L3:L4"/>
    <mergeCell ref="B5:K5"/>
    <mergeCell ref="B3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zoomScale="90" zoomScaleNormal="90" zoomScalePageLayoutView="0" workbookViewId="0" topLeftCell="A1">
      <selection activeCell="C27" sqref="C27"/>
    </sheetView>
  </sheetViews>
  <sheetFormatPr defaultColWidth="9.00390625" defaultRowHeight="12.75"/>
  <cols>
    <col min="1" max="1" width="9.125" style="3" customWidth="1"/>
    <col min="2" max="2" width="19.25390625" style="5" customWidth="1"/>
    <col min="3" max="3" width="29.00390625" style="5" bestFit="1" customWidth="1"/>
    <col min="4" max="4" width="8.875" style="5" customWidth="1"/>
    <col min="5" max="5" width="8.375" style="5" bestFit="1" customWidth="1"/>
    <col min="6" max="6" width="15.75390625" style="5" customWidth="1"/>
    <col min="7" max="7" width="39.375" style="5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4" bestFit="1" customWidth="1"/>
    <col min="21" max="21" width="9.125" style="4" customWidth="1"/>
    <col min="22" max="22" width="18.375" style="5" customWidth="1"/>
    <col min="23" max="16384" width="9.125" style="4" customWidth="1"/>
  </cols>
  <sheetData>
    <row r="1" spans="1:22" s="3" customFormat="1" ht="28.5" customHeight="1">
      <c r="A1" s="240" t="s">
        <v>604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1"/>
    </row>
    <row r="2" spans="1:22" s="3" customFormat="1" ht="61.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1"/>
    </row>
    <row r="3" spans="1:22" s="1" customFormat="1" ht="12.75" customHeight="1">
      <c r="A3" s="260" t="s">
        <v>127</v>
      </c>
      <c r="B3" s="258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200</v>
      </c>
      <c r="I3" s="239"/>
      <c r="J3" s="239"/>
      <c r="K3" s="239"/>
      <c r="L3" s="239" t="s">
        <v>1</v>
      </c>
      <c r="M3" s="239"/>
      <c r="N3" s="239"/>
      <c r="O3" s="239"/>
      <c r="P3" s="239" t="s">
        <v>207</v>
      </c>
      <c r="Q3" s="239"/>
      <c r="R3" s="239"/>
      <c r="S3" s="239"/>
      <c r="T3" s="239" t="s">
        <v>2</v>
      </c>
      <c r="U3" s="239" t="s">
        <v>4</v>
      </c>
      <c r="V3" s="235" t="s">
        <v>3</v>
      </c>
    </row>
    <row r="4" spans="1:22" s="1" customFormat="1" ht="21" customHeight="1" thickBot="1">
      <c r="A4" s="261"/>
      <c r="B4" s="259"/>
      <c r="C4" s="242"/>
      <c r="D4" s="242"/>
      <c r="E4" s="242"/>
      <c r="F4" s="242"/>
      <c r="G4" s="242"/>
      <c r="H4" s="151">
        <v>1</v>
      </c>
      <c r="I4" s="151">
        <v>2</v>
      </c>
      <c r="J4" s="151">
        <v>3</v>
      </c>
      <c r="K4" s="151" t="s">
        <v>6</v>
      </c>
      <c r="L4" s="151">
        <v>1</v>
      </c>
      <c r="M4" s="151">
        <v>2</v>
      </c>
      <c r="N4" s="151">
        <v>3</v>
      </c>
      <c r="O4" s="151" t="s">
        <v>6</v>
      </c>
      <c r="P4" s="151">
        <v>1</v>
      </c>
      <c r="Q4" s="151">
        <v>2</v>
      </c>
      <c r="R4" s="151">
        <v>3</v>
      </c>
      <c r="S4" s="151" t="s">
        <v>6</v>
      </c>
      <c r="T4" s="242"/>
      <c r="U4" s="242"/>
      <c r="V4" s="236"/>
    </row>
    <row r="5" spans="2:21" ht="15">
      <c r="B5" s="237" t="s">
        <v>182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</row>
    <row r="6" spans="1:22" ht="12.75">
      <c r="A6" s="20" t="s">
        <v>133</v>
      </c>
      <c r="B6" s="10" t="s">
        <v>261</v>
      </c>
      <c r="C6" s="10" t="s">
        <v>560</v>
      </c>
      <c r="D6" s="10" t="s">
        <v>176</v>
      </c>
      <c r="E6" s="10" t="str">
        <f>"1,2466"</f>
        <v>1,2466</v>
      </c>
      <c r="F6" s="10" t="s">
        <v>341</v>
      </c>
      <c r="G6" s="10" t="s">
        <v>27</v>
      </c>
      <c r="H6" s="84" t="s">
        <v>79</v>
      </c>
      <c r="I6" s="65" t="s">
        <v>79</v>
      </c>
      <c r="J6" s="65" t="s">
        <v>44</v>
      </c>
      <c r="K6" s="64"/>
      <c r="L6" s="84" t="s">
        <v>139</v>
      </c>
      <c r="M6" s="84" t="s">
        <v>139</v>
      </c>
      <c r="N6" s="65" t="s">
        <v>139</v>
      </c>
      <c r="O6" s="64"/>
      <c r="P6" s="65" t="s">
        <v>79</v>
      </c>
      <c r="Q6" s="84" t="s">
        <v>80</v>
      </c>
      <c r="R6" s="84" t="s">
        <v>80</v>
      </c>
      <c r="S6" s="64"/>
      <c r="T6" s="20" t="str">
        <f>"292,5"</f>
        <v>292,5</v>
      </c>
      <c r="U6" s="20" t="s">
        <v>460</v>
      </c>
      <c r="V6" s="10" t="s">
        <v>343</v>
      </c>
    </row>
    <row r="8" spans="2:21" ht="15">
      <c r="B8" s="238" t="s">
        <v>65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</row>
    <row r="9" spans="1:22" ht="12.75">
      <c r="A9" s="20" t="s">
        <v>133</v>
      </c>
      <c r="B9" s="10" t="s">
        <v>260</v>
      </c>
      <c r="C9" s="10" t="s">
        <v>561</v>
      </c>
      <c r="D9" s="10" t="s">
        <v>397</v>
      </c>
      <c r="E9" s="10" t="str">
        <f>"1,1221"</f>
        <v>1,1221</v>
      </c>
      <c r="F9" s="10" t="s">
        <v>341</v>
      </c>
      <c r="G9" s="152" t="s">
        <v>454</v>
      </c>
      <c r="H9" s="65" t="s">
        <v>28</v>
      </c>
      <c r="I9" s="65" t="s">
        <v>75</v>
      </c>
      <c r="J9" s="84" t="s">
        <v>34</v>
      </c>
      <c r="K9" s="64"/>
      <c r="L9" s="65" t="s">
        <v>272</v>
      </c>
      <c r="M9" s="65" t="s">
        <v>271</v>
      </c>
      <c r="N9" s="65" t="s">
        <v>137</v>
      </c>
      <c r="O9" s="64"/>
      <c r="P9" s="65" t="s">
        <v>153</v>
      </c>
      <c r="Q9" s="65" t="s">
        <v>92</v>
      </c>
      <c r="R9" s="65" t="s">
        <v>205</v>
      </c>
      <c r="S9" s="64"/>
      <c r="T9" s="20" t="str">
        <f>"307,5"</f>
        <v>307,5</v>
      </c>
      <c r="U9" s="20" t="s">
        <v>461</v>
      </c>
      <c r="V9" s="10" t="s">
        <v>344</v>
      </c>
    </row>
    <row r="11" spans="2:21" ht="15">
      <c r="B11" s="238" t="s">
        <v>585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</row>
    <row r="12" spans="1:22" ht="12.75">
      <c r="A12" s="20" t="s">
        <v>133</v>
      </c>
      <c r="B12" s="10" t="s">
        <v>214</v>
      </c>
      <c r="C12" s="10" t="s">
        <v>616</v>
      </c>
      <c r="D12" s="10" t="s">
        <v>371</v>
      </c>
      <c r="E12" s="10" t="str">
        <f>"0,9347"</f>
        <v>0,9347</v>
      </c>
      <c r="F12" s="10" t="s">
        <v>217</v>
      </c>
      <c r="G12" s="10" t="s">
        <v>32</v>
      </c>
      <c r="H12" s="65" t="s">
        <v>28</v>
      </c>
      <c r="I12" s="65" t="s">
        <v>75</v>
      </c>
      <c r="J12" s="84" t="s">
        <v>165</v>
      </c>
      <c r="K12" s="64"/>
      <c r="L12" s="65" t="s">
        <v>149</v>
      </c>
      <c r="M12" s="84" t="s">
        <v>68</v>
      </c>
      <c r="N12" s="84" t="s">
        <v>68</v>
      </c>
      <c r="O12" s="64"/>
      <c r="P12" s="65" t="s">
        <v>80</v>
      </c>
      <c r="Q12" s="84" t="s">
        <v>270</v>
      </c>
      <c r="R12" s="64"/>
      <c r="S12" s="64"/>
      <c r="T12" s="20" t="str">
        <f>"277,5"</f>
        <v>277,5</v>
      </c>
      <c r="U12" s="20" t="s">
        <v>462</v>
      </c>
      <c r="V12" s="10" t="s">
        <v>328</v>
      </c>
    </row>
    <row r="14" spans="2:21" ht="15">
      <c r="B14" s="238" t="s">
        <v>584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</row>
    <row r="15" spans="1:22" ht="12.75">
      <c r="A15" s="18" t="s">
        <v>133</v>
      </c>
      <c r="B15" s="80" t="s">
        <v>257</v>
      </c>
      <c r="C15" s="8" t="s">
        <v>617</v>
      </c>
      <c r="D15" s="8" t="s">
        <v>444</v>
      </c>
      <c r="E15" s="8" t="str">
        <f>"0,7729"</f>
        <v>0,7729</v>
      </c>
      <c r="F15" s="8" t="s">
        <v>341</v>
      </c>
      <c r="G15" s="153" t="s">
        <v>454</v>
      </c>
      <c r="H15" s="79" t="s">
        <v>18</v>
      </c>
      <c r="I15" s="79" t="s">
        <v>38</v>
      </c>
      <c r="J15" s="79" t="s">
        <v>33</v>
      </c>
      <c r="K15" s="78"/>
      <c r="L15" s="79" t="s">
        <v>270</v>
      </c>
      <c r="M15" s="79" t="s">
        <v>92</v>
      </c>
      <c r="N15" s="79" t="s">
        <v>243</v>
      </c>
      <c r="O15" s="78"/>
      <c r="P15" s="79" t="s">
        <v>47</v>
      </c>
      <c r="Q15" s="79" t="s">
        <v>38</v>
      </c>
      <c r="R15" s="79" t="s">
        <v>33</v>
      </c>
      <c r="S15" s="78"/>
      <c r="T15" s="18" t="str">
        <f>"492,5"</f>
        <v>492,5</v>
      </c>
      <c r="U15" s="18" t="s">
        <v>463</v>
      </c>
      <c r="V15" s="8" t="s">
        <v>344</v>
      </c>
    </row>
    <row r="16" spans="1:22" ht="12.75">
      <c r="A16" s="19" t="s">
        <v>134</v>
      </c>
      <c r="B16" s="72" t="s">
        <v>253</v>
      </c>
      <c r="C16" s="9" t="s">
        <v>618</v>
      </c>
      <c r="D16" s="9" t="s">
        <v>444</v>
      </c>
      <c r="E16" s="9" t="str">
        <f>"0,7729"</f>
        <v>0,7729</v>
      </c>
      <c r="F16" s="9" t="s">
        <v>217</v>
      </c>
      <c r="G16" s="9" t="s">
        <v>32</v>
      </c>
      <c r="H16" s="70" t="s">
        <v>44</v>
      </c>
      <c r="I16" s="70" t="s">
        <v>153</v>
      </c>
      <c r="J16" s="70" t="s">
        <v>270</v>
      </c>
      <c r="K16" s="69"/>
      <c r="L16" s="70" t="s">
        <v>20</v>
      </c>
      <c r="M16" s="86" t="s">
        <v>269</v>
      </c>
      <c r="N16" s="70" t="s">
        <v>269</v>
      </c>
      <c r="O16" s="69"/>
      <c r="P16" s="70" t="s">
        <v>92</v>
      </c>
      <c r="Q16" s="70" t="s">
        <v>22</v>
      </c>
      <c r="R16" s="70" t="s">
        <v>86</v>
      </c>
      <c r="S16" s="69"/>
      <c r="T16" s="19" t="str">
        <f>"365,0"</f>
        <v>365,0</v>
      </c>
      <c r="U16" s="19" t="s">
        <v>464</v>
      </c>
      <c r="V16" s="9" t="s">
        <v>328</v>
      </c>
    </row>
    <row r="18" spans="2:21" ht="15">
      <c r="B18" s="238" t="s">
        <v>170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</row>
    <row r="19" spans="1:22" ht="12.75">
      <c r="A19" s="20" t="s">
        <v>133</v>
      </c>
      <c r="B19" s="10" t="s">
        <v>211</v>
      </c>
      <c r="C19" s="10" t="s">
        <v>619</v>
      </c>
      <c r="D19" s="10" t="s">
        <v>359</v>
      </c>
      <c r="E19" s="10" t="str">
        <f>"0,7207"</f>
        <v>0,7207</v>
      </c>
      <c r="F19" s="10" t="s">
        <v>167</v>
      </c>
      <c r="G19" s="10" t="s">
        <v>27</v>
      </c>
      <c r="H19" s="65" t="s">
        <v>92</v>
      </c>
      <c r="I19" s="65" t="s">
        <v>86</v>
      </c>
      <c r="J19" s="84" t="s">
        <v>83</v>
      </c>
      <c r="K19" s="64"/>
      <c r="L19" s="65" t="s">
        <v>268</v>
      </c>
      <c r="M19" s="65" t="s">
        <v>162</v>
      </c>
      <c r="N19" s="84" t="s">
        <v>44</v>
      </c>
      <c r="O19" s="64"/>
      <c r="P19" s="65" t="s">
        <v>18</v>
      </c>
      <c r="Q19" s="65" t="s">
        <v>239</v>
      </c>
      <c r="R19" s="65" t="s">
        <v>91</v>
      </c>
      <c r="S19" s="64"/>
      <c r="T19" s="20" t="str">
        <f>"452,5"</f>
        <v>452,5</v>
      </c>
      <c r="U19" s="20" t="s">
        <v>465</v>
      </c>
      <c r="V19" s="10" t="s">
        <v>344</v>
      </c>
    </row>
    <row r="21" spans="2:21" ht="15">
      <c r="B21" s="238" t="s">
        <v>585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</row>
    <row r="22" spans="1:22" ht="12.75">
      <c r="A22" s="20" t="s">
        <v>133</v>
      </c>
      <c r="B22" s="10" t="s">
        <v>252</v>
      </c>
      <c r="C22" s="10" t="s">
        <v>620</v>
      </c>
      <c r="D22" s="10" t="s">
        <v>374</v>
      </c>
      <c r="E22" s="10" t="str">
        <f>"0,6774"</f>
        <v>0,6774</v>
      </c>
      <c r="F22" s="10" t="s">
        <v>217</v>
      </c>
      <c r="G22" s="10" t="s">
        <v>32</v>
      </c>
      <c r="H22" s="65" t="s">
        <v>23</v>
      </c>
      <c r="I22" s="87" t="s">
        <v>83</v>
      </c>
      <c r="J22" s="84" t="s">
        <v>83</v>
      </c>
      <c r="K22" s="64"/>
      <c r="L22" s="65" t="s">
        <v>75</v>
      </c>
      <c r="M22" s="84" t="s">
        <v>165</v>
      </c>
      <c r="N22" s="84" t="s">
        <v>165</v>
      </c>
      <c r="O22" s="64"/>
      <c r="P22" s="65" t="s">
        <v>23</v>
      </c>
      <c r="Q22" s="64"/>
      <c r="R22" s="64"/>
      <c r="S22" s="64"/>
      <c r="T22" s="20" t="str">
        <f>"405,0"</f>
        <v>405,0</v>
      </c>
      <c r="U22" s="20" t="s">
        <v>466</v>
      </c>
      <c r="V22" s="10" t="s">
        <v>328</v>
      </c>
    </row>
    <row r="24" spans="2:21" ht="15">
      <c r="B24" s="238" t="s">
        <v>25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</row>
    <row r="25" spans="1:22" ht="12.75">
      <c r="A25" s="18" t="s">
        <v>133</v>
      </c>
      <c r="B25" s="80" t="s">
        <v>259</v>
      </c>
      <c r="C25" s="8" t="s">
        <v>621</v>
      </c>
      <c r="D25" s="8" t="s">
        <v>445</v>
      </c>
      <c r="E25" s="8" t="str">
        <f>"0,6282"</f>
        <v>0,6282</v>
      </c>
      <c r="F25" s="8" t="s">
        <v>31</v>
      </c>
      <c r="G25" s="8" t="s">
        <v>32</v>
      </c>
      <c r="H25" s="79" t="s">
        <v>59</v>
      </c>
      <c r="I25" s="79" t="s">
        <v>267</v>
      </c>
      <c r="J25" s="79" t="s">
        <v>220</v>
      </c>
      <c r="K25" s="78"/>
      <c r="L25" s="79" t="s">
        <v>23</v>
      </c>
      <c r="M25" s="79" t="s">
        <v>266</v>
      </c>
      <c r="N25" s="85" t="s">
        <v>84</v>
      </c>
      <c r="O25" s="78"/>
      <c r="P25" s="79" t="s">
        <v>43</v>
      </c>
      <c r="Q25" s="79" t="s">
        <v>143</v>
      </c>
      <c r="R25" s="79" t="s">
        <v>225</v>
      </c>
      <c r="S25" s="78"/>
      <c r="T25" s="18" t="str">
        <f>"642,5"</f>
        <v>642,5</v>
      </c>
      <c r="U25" s="18" t="s">
        <v>467</v>
      </c>
      <c r="V25" s="8" t="s">
        <v>344</v>
      </c>
    </row>
    <row r="26" spans="1:22" ht="12.75">
      <c r="A26" s="74" t="s">
        <v>134</v>
      </c>
      <c r="B26" s="77" t="s">
        <v>255</v>
      </c>
      <c r="C26" s="73" t="s">
        <v>622</v>
      </c>
      <c r="D26" s="73" t="s">
        <v>446</v>
      </c>
      <c r="E26" s="73" t="str">
        <f>"0,6285"</f>
        <v>0,6285</v>
      </c>
      <c r="F26" s="73" t="s">
        <v>341</v>
      </c>
      <c r="G26" s="73" t="s">
        <v>265</v>
      </c>
      <c r="H26" s="76" t="s">
        <v>91</v>
      </c>
      <c r="I26" s="76" t="s">
        <v>95</v>
      </c>
      <c r="J26" s="88" t="s">
        <v>242</v>
      </c>
      <c r="K26" s="75"/>
      <c r="L26" s="76" t="s">
        <v>23</v>
      </c>
      <c r="M26" s="88" t="s">
        <v>24</v>
      </c>
      <c r="N26" s="88" t="s">
        <v>24</v>
      </c>
      <c r="O26" s="75"/>
      <c r="P26" s="76" t="s">
        <v>262</v>
      </c>
      <c r="Q26" s="76" t="s">
        <v>242</v>
      </c>
      <c r="R26" s="76" t="s">
        <v>231</v>
      </c>
      <c r="S26" s="75"/>
      <c r="T26" s="74" t="str">
        <f>"565,0"</f>
        <v>565,0</v>
      </c>
      <c r="U26" s="74" t="s">
        <v>468</v>
      </c>
      <c r="V26" s="73" t="s">
        <v>344</v>
      </c>
    </row>
    <row r="27" spans="1:22" ht="12.75">
      <c r="A27" s="74" t="s">
        <v>135</v>
      </c>
      <c r="B27" s="77" t="s">
        <v>204</v>
      </c>
      <c r="C27" s="73" t="s">
        <v>623</v>
      </c>
      <c r="D27" s="73" t="s">
        <v>366</v>
      </c>
      <c r="E27" s="73" t="str">
        <f>"0,6269"</f>
        <v>0,6269</v>
      </c>
      <c r="F27" s="73" t="s">
        <v>89</v>
      </c>
      <c r="G27" s="73" t="s">
        <v>405</v>
      </c>
      <c r="H27" s="76" t="s">
        <v>18</v>
      </c>
      <c r="I27" s="76" t="s">
        <v>91</v>
      </c>
      <c r="J27" s="88" t="s">
        <v>95</v>
      </c>
      <c r="K27" s="75"/>
      <c r="L27" s="76" t="s">
        <v>34</v>
      </c>
      <c r="M27" s="88" t="s">
        <v>80</v>
      </c>
      <c r="N27" s="83" t="s">
        <v>80</v>
      </c>
      <c r="O27" s="75"/>
      <c r="P27" s="76" t="s">
        <v>33</v>
      </c>
      <c r="Q27" s="76" t="s">
        <v>95</v>
      </c>
      <c r="R27" s="76" t="s">
        <v>41</v>
      </c>
      <c r="S27" s="75"/>
      <c r="T27" s="74" t="str">
        <f>"532,5"</f>
        <v>532,5</v>
      </c>
      <c r="U27" s="74" t="s">
        <v>469</v>
      </c>
      <c r="V27" s="73" t="s">
        <v>329</v>
      </c>
    </row>
    <row r="28" spans="1:22" ht="12.75">
      <c r="A28" s="74" t="s">
        <v>133</v>
      </c>
      <c r="B28" s="77" t="s">
        <v>251</v>
      </c>
      <c r="C28" s="73" t="s">
        <v>562</v>
      </c>
      <c r="D28" s="73" t="s">
        <v>447</v>
      </c>
      <c r="E28" s="73" t="str">
        <f>"0,6136"</f>
        <v>0,6136</v>
      </c>
      <c r="F28" s="73" t="s">
        <v>166</v>
      </c>
      <c r="G28" s="73" t="s">
        <v>32</v>
      </c>
      <c r="H28" s="76" t="s">
        <v>91</v>
      </c>
      <c r="I28" s="76" t="s">
        <v>242</v>
      </c>
      <c r="J28" s="76" t="s">
        <v>264</v>
      </c>
      <c r="K28" s="75"/>
      <c r="L28" s="76" t="s">
        <v>83</v>
      </c>
      <c r="M28" s="88" t="s">
        <v>84</v>
      </c>
      <c r="N28" s="88" t="s">
        <v>84</v>
      </c>
      <c r="O28" s="75"/>
      <c r="P28" s="76" t="s">
        <v>95</v>
      </c>
      <c r="Q28" s="76" t="s">
        <v>231</v>
      </c>
      <c r="R28" s="76" t="s">
        <v>42</v>
      </c>
      <c r="S28" s="75"/>
      <c r="T28" s="74" t="str">
        <f>"597,5"</f>
        <v>597,5</v>
      </c>
      <c r="U28" s="74" t="s">
        <v>470</v>
      </c>
      <c r="V28" s="73" t="s">
        <v>344</v>
      </c>
    </row>
    <row r="29" spans="1:22" ht="12.75">
      <c r="A29" s="19" t="s">
        <v>133</v>
      </c>
      <c r="B29" s="72" t="s">
        <v>152</v>
      </c>
      <c r="C29" s="9" t="s">
        <v>563</v>
      </c>
      <c r="D29" s="9" t="s">
        <v>367</v>
      </c>
      <c r="E29" s="9" t="str">
        <f>"0,6260"</f>
        <v>0,6260</v>
      </c>
      <c r="F29" s="9" t="s">
        <v>341</v>
      </c>
      <c r="G29" s="9" t="s">
        <v>431</v>
      </c>
      <c r="H29" s="70" t="s">
        <v>24</v>
      </c>
      <c r="I29" s="70" t="s">
        <v>37</v>
      </c>
      <c r="J29" s="70" t="s">
        <v>47</v>
      </c>
      <c r="K29" s="69"/>
      <c r="L29" s="70" t="s">
        <v>263</v>
      </c>
      <c r="M29" s="86" t="s">
        <v>145</v>
      </c>
      <c r="N29" s="70" t="s">
        <v>83</v>
      </c>
      <c r="O29" s="69"/>
      <c r="P29" s="70" t="s">
        <v>90</v>
      </c>
      <c r="Q29" s="70" t="s">
        <v>262</v>
      </c>
      <c r="R29" s="70" t="s">
        <v>59</v>
      </c>
      <c r="S29" s="69"/>
      <c r="T29" s="19" t="str">
        <f>"537,5"</f>
        <v>537,5</v>
      </c>
      <c r="U29" s="19" t="s">
        <v>471</v>
      </c>
      <c r="V29" s="9" t="s">
        <v>344</v>
      </c>
    </row>
    <row r="30" ht="15">
      <c r="F30" s="6"/>
    </row>
    <row r="31" ht="15">
      <c r="F31" s="6"/>
    </row>
    <row r="33" spans="2:3" ht="18">
      <c r="B33" s="7" t="s">
        <v>8</v>
      </c>
      <c r="C33" s="7"/>
    </row>
    <row r="34" spans="2:3" ht="15">
      <c r="B34" s="12" t="s">
        <v>48</v>
      </c>
      <c r="C34" s="12"/>
    </row>
    <row r="35" spans="2:3" ht="14.25">
      <c r="B35" s="13"/>
      <c r="C35" s="14" t="s">
        <v>559</v>
      </c>
    </row>
    <row r="36" spans="1:6" ht="15">
      <c r="A36" s="20"/>
      <c r="B36" s="15" t="s">
        <v>49</v>
      </c>
      <c r="C36" s="15" t="s">
        <v>50</v>
      </c>
      <c r="D36" s="15" t="s">
        <v>51</v>
      </c>
      <c r="E36" s="15" t="s">
        <v>52</v>
      </c>
      <c r="F36" s="15" t="s">
        <v>53</v>
      </c>
    </row>
    <row r="37" spans="1:6" ht="12.75">
      <c r="A37" s="20" t="s">
        <v>133</v>
      </c>
      <c r="B37" s="24" t="s">
        <v>259</v>
      </c>
      <c r="C37" s="11" t="s">
        <v>559</v>
      </c>
      <c r="D37" s="20" t="s">
        <v>28</v>
      </c>
      <c r="E37" s="20" t="s">
        <v>258</v>
      </c>
      <c r="F37" s="168">
        <v>403.6185</v>
      </c>
    </row>
    <row r="38" spans="1:6" ht="12.75">
      <c r="A38" s="20" t="s">
        <v>134</v>
      </c>
      <c r="B38" s="24" t="s">
        <v>257</v>
      </c>
      <c r="C38" s="11" t="s">
        <v>559</v>
      </c>
      <c r="D38" s="20" t="s">
        <v>137</v>
      </c>
      <c r="E38" s="20" t="s">
        <v>256</v>
      </c>
      <c r="F38" s="168">
        <v>380.6532</v>
      </c>
    </row>
    <row r="39" spans="1:6" ht="12.75">
      <c r="A39" s="20" t="s">
        <v>135</v>
      </c>
      <c r="B39" s="24" t="s">
        <v>255</v>
      </c>
      <c r="C39" s="11" t="s">
        <v>559</v>
      </c>
      <c r="D39" s="20" t="s">
        <v>28</v>
      </c>
      <c r="E39" s="20" t="s">
        <v>254</v>
      </c>
      <c r="F39" s="168">
        <v>355.1025</v>
      </c>
    </row>
    <row r="40" spans="1:6" ht="12.75">
      <c r="A40" s="105"/>
      <c r="B40" s="91"/>
      <c r="C40" s="91"/>
      <c r="D40" s="91"/>
      <c r="E40" s="91"/>
      <c r="F40" s="91"/>
    </row>
    <row r="41" spans="1:6" ht="14.25">
      <c r="A41" s="105"/>
      <c r="B41" s="93"/>
      <c r="C41" s="94"/>
      <c r="D41" s="91"/>
      <c r="E41" s="91"/>
      <c r="F41" s="91"/>
    </row>
    <row r="42" spans="1:6" ht="15">
      <c r="A42" s="105"/>
      <c r="B42" s="96"/>
      <c r="C42" s="96"/>
      <c r="D42" s="96"/>
      <c r="E42" s="96"/>
      <c r="F42" s="96"/>
    </row>
    <row r="43" spans="1:6" ht="12.75">
      <c r="A43" s="105"/>
      <c r="B43" s="97"/>
      <c r="C43" s="91"/>
      <c r="D43" s="91"/>
      <c r="E43" s="91"/>
      <c r="F43" s="98"/>
    </row>
    <row r="44" spans="1:6" ht="12.75">
      <c r="A44" s="105"/>
      <c r="B44" s="97"/>
      <c r="C44" s="91"/>
      <c r="D44" s="91"/>
      <c r="E44" s="91"/>
      <c r="F44" s="98"/>
    </row>
  </sheetData>
  <sheetProtection/>
  <mergeCells count="21">
    <mergeCell ref="F3:F4"/>
    <mergeCell ref="B21:U21"/>
    <mergeCell ref="C3:C4"/>
    <mergeCell ref="B11:U11"/>
    <mergeCell ref="L3:O3"/>
    <mergeCell ref="A3:A4"/>
    <mergeCell ref="A1:V2"/>
    <mergeCell ref="V3:V4"/>
    <mergeCell ref="B5:U5"/>
    <mergeCell ref="B8:U8"/>
    <mergeCell ref="P3:S3"/>
    <mergeCell ref="B24:U24"/>
    <mergeCell ref="T3:T4"/>
    <mergeCell ref="U3:U4"/>
    <mergeCell ref="G3:G4"/>
    <mergeCell ref="H3:K3"/>
    <mergeCell ref="B3:B4"/>
    <mergeCell ref="E3:E4"/>
    <mergeCell ref="D3:D4"/>
    <mergeCell ref="B14:U14"/>
    <mergeCell ref="B18:U18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B1">
      <selection activeCell="F20" sqref="F20"/>
    </sheetView>
  </sheetViews>
  <sheetFormatPr defaultColWidth="9.00390625" defaultRowHeight="12.75"/>
  <cols>
    <col min="1" max="1" width="9.125" style="25" customWidth="1"/>
    <col min="2" max="2" width="26.00390625" style="29" bestFit="1" customWidth="1"/>
    <col min="3" max="3" width="28.625" style="29" bestFit="1" customWidth="1"/>
    <col min="4" max="4" width="10.625" style="29" bestFit="1" customWidth="1"/>
    <col min="5" max="5" width="8.375" style="29" bestFit="1" customWidth="1"/>
    <col min="6" max="6" width="22.75390625" style="29" bestFit="1" customWidth="1"/>
    <col min="7" max="7" width="31.875" style="29" bestFit="1" customWidth="1"/>
    <col min="8" max="8" width="5.625" style="25" bestFit="1" customWidth="1"/>
    <col min="9" max="9" width="10.375" style="39" bestFit="1" customWidth="1"/>
    <col min="10" max="10" width="8.875" style="25" bestFit="1" customWidth="1"/>
    <col min="11" max="11" width="9.625" style="25" bestFit="1" customWidth="1"/>
    <col min="12" max="12" width="17.625" style="29" customWidth="1"/>
    <col min="13" max="16384" width="9.125" style="25" customWidth="1"/>
  </cols>
  <sheetData>
    <row r="1" spans="1:12" s="34" customFormat="1" ht="28.5" customHeight="1">
      <c r="A1" s="289" t="s">
        <v>554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34" customFormat="1" ht="69.75" customHeight="1" thickBo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26" customFormat="1" ht="12.75" customHeight="1">
      <c r="A3" s="297" t="s">
        <v>127</v>
      </c>
      <c r="B3" s="309" t="s">
        <v>0</v>
      </c>
      <c r="C3" s="249" t="s">
        <v>450</v>
      </c>
      <c r="D3" s="249" t="s">
        <v>451</v>
      </c>
      <c r="E3" s="274" t="s">
        <v>141</v>
      </c>
      <c r="F3" s="274" t="s">
        <v>5</v>
      </c>
      <c r="G3" s="274" t="s">
        <v>7</v>
      </c>
      <c r="H3" s="274" t="s">
        <v>10</v>
      </c>
      <c r="I3" s="274"/>
      <c r="J3" s="274" t="s">
        <v>105</v>
      </c>
      <c r="K3" s="274" t="s">
        <v>4</v>
      </c>
      <c r="L3" s="278" t="s">
        <v>3</v>
      </c>
    </row>
    <row r="4" spans="1:12" s="26" customFormat="1" ht="21" customHeight="1" thickBot="1">
      <c r="A4" s="298"/>
      <c r="B4" s="310"/>
      <c r="C4" s="242"/>
      <c r="D4" s="242"/>
      <c r="E4" s="275"/>
      <c r="F4" s="275"/>
      <c r="G4" s="275"/>
      <c r="H4" s="27" t="s">
        <v>11</v>
      </c>
      <c r="I4" s="35" t="s">
        <v>12</v>
      </c>
      <c r="J4" s="275"/>
      <c r="K4" s="275"/>
      <c r="L4" s="279"/>
    </row>
    <row r="5" spans="2:11" ht="15">
      <c r="B5" s="280" t="s">
        <v>65</v>
      </c>
      <c r="C5" s="280"/>
      <c r="D5" s="280"/>
      <c r="E5" s="280"/>
      <c r="F5" s="280"/>
      <c r="G5" s="280"/>
      <c r="H5" s="280"/>
      <c r="I5" s="280"/>
      <c r="J5" s="280"/>
      <c r="K5" s="280"/>
    </row>
    <row r="6" spans="1:12" s="114" customFormat="1" ht="12.75">
      <c r="A6" s="107"/>
      <c r="B6" s="108" t="s">
        <v>196</v>
      </c>
      <c r="C6" s="108" t="s">
        <v>632</v>
      </c>
      <c r="D6" s="108" t="s">
        <v>76</v>
      </c>
      <c r="E6" s="108" t="str">
        <f>"0,9876"</f>
        <v>0,9876</v>
      </c>
      <c r="F6" s="108" t="s">
        <v>341</v>
      </c>
      <c r="G6" s="108" t="s">
        <v>453</v>
      </c>
      <c r="H6" s="109" t="s">
        <v>76</v>
      </c>
      <c r="I6" s="135">
        <v>6</v>
      </c>
      <c r="J6" s="109" t="s">
        <v>452</v>
      </c>
      <c r="K6" s="109" t="s">
        <v>452</v>
      </c>
      <c r="L6" s="108" t="s">
        <v>348</v>
      </c>
    </row>
    <row r="8" spans="2:11" ht="15">
      <c r="B8" s="293" t="s">
        <v>170</v>
      </c>
      <c r="C8" s="293"/>
      <c r="D8" s="293"/>
      <c r="E8" s="293"/>
      <c r="F8" s="293"/>
      <c r="G8" s="293"/>
      <c r="H8" s="293"/>
      <c r="I8" s="293"/>
      <c r="J8" s="293"/>
      <c r="K8" s="293"/>
    </row>
    <row r="9" spans="1:12" ht="12.75">
      <c r="A9" s="30" t="s">
        <v>133</v>
      </c>
      <c r="B9" s="36" t="s">
        <v>159</v>
      </c>
      <c r="C9" s="36" t="s">
        <v>713</v>
      </c>
      <c r="D9" s="36" t="s">
        <v>419</v>
      </c>
      <c r="E9" s="36" t="str">
        <f>"0,7161"</f>
        <v>0,7161</v>
      </c>
      <c r="F9" s="36" t="s">
        <v>341</v>
      </c>
      <c r="G9" s="36" t="s">
        <v>168</v>
      </c>
      <c r="H9" s="37" t="s">
        <v>169</v>
      </c>
      <c r="I9" s="38">
        <v>30</v>
      </c>
      <c r="J9" s="37" t="str">
        <f>"2175,0"</f>
        <v>2175,0</v>
      </c>
      <c r="K9" s="37" t="s">
        <v>517</v>
      </c>
      <c r="L9" s="36" t="s">
        <v>343</v>
      </c>
    </row>
    <row r="11" spans="2:11" ht="15">
      <c r="B11" s="293" t="s">
        <v>585</v>
      </c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2" ht="12.75">
      <c r="A12" s="30" t="s">
        <v>133</v>
      </c>
      <c r="B12" s="36" t="s">
        <v>156</v>
      </c>
      <c r="C12" s="36" t="s">
        <v>714</v>
      </c>
      <c r="D12" s="36" t="s">
        <v>418</v>
      </c>
      <c r="E12" s="36" t="str">
        <f>"0,6505"</f>
        <v>0,6505</v>
      </c>
      <c r="F12" s="36" t="s">
        <v>341</v>
      </c>
      <c r="G12" s="36" t="s">
        <v>17</v>
      </c>
      <c r="H12" s="37" t="s">
        <v>155</v>
      </c>
      <c r="I12" s="38">
        <v>17</v>
      </c>
      <c r="J12" s="37" t="str">
        <f>"1402,5"</f>
        <v>1402,5</v>
      </c>
      <c r="K12" s="37" t="s">
        <v>518</v>
      </c>
      <c r="L12" s="36" t="s">
        <v>344</v>
      </c>
    </row>
    <row r="14" spans="2:11" ht="15">
      <c r="B14" s="293" t="s">
        <v>14</v>
      </c>
      <c r="C14" s="293"/>
      <c r="D14" s="293"/>
      <c r="E14" s="293"/>
      <c r="F14" s="293"/>
      <c r="G14" s="293"/>
      <c r="H14" s="293"/>
      <c r="I14" s="293"/>
      <c r="J14" s="293"/>
      <c r="K14" s="293"/>
    </row>
    <row r="15" spans="1:12" ht="12.75">
      <c r="A15" s="30" t="s">
        <v>133</v>
      </c>
      <c r="B15" s="36" t="s">
        <v>157</v>
      </c>
      <c r="C15" s="36" t="s">
        <v>642</v>
      </c>
      <c r="D15" s="36" t="s">
        <v>417</v>
      </c>
      <c r="E15" s="36" t="str">
        <f>"0,6149"</f>
        <v>0,6149</v>
      </c>
      <c r="F15" s="36" t="s">
        <v>341</v>
      </c>
      <c r="G15" s="36" t="s">
        <v>168</v>
      </c>
      <c r="H15" s="37" t="s">
        <v>20</v>
      </c>
      <c r="I15" s="38">
        <v>22</v>
      </c>
      <c r="J15" s="37" t="str">
        <f>"1980,0"</f>
        <v>1980,0</v>
      </c>
      <c r="K15" s="37" t="s">
        <v>519</v>
      </c>
      <c r="L15" s="36" t="s">
        <v>330</v>
      </c>
    </row>
    <row r="17" spans="2:11" ht="15">
      <c r="B17" s="293" t="s">
        <v>25</v>
      </c>
      <c r="C17" s="293"/>
      <c r="D17" s="293"/>
      <c r="E17" s="293"/>
      <c r="F17" s="293"/>
      <c r="G17" s="293"/>
      <c r="H17" s="293"/>
      <c r="I17" s="293"/>
      <c r="J17" s="293"/>
      <c r="K17" s="293"/>
    </row>
    <row r="18" spans="1:12" ht="12.75">
      <c r="A18" s="148" t="s">
        <v>133</v>
      </c>
      <c r="B18" s="56" t="s">
        <v>161</v>
      </c>
      <c r="C18" s="49" t="s">
        <v>715</v>
      </c>
      <c r="D18" s="49" t="s">
        <v>416</v>
      </c>
      <c r="E18" s="49" t="str">
        <f>"0,5831"</f>
        <v>0,5831</v>
      </c>
      <c r="F18" s="49" t="s">
        <v>167</v>
      </c>
      <c r="G18" s="49" t="s">
        <v>27</v>
      </c>
      <c r="H18" s="52" t="s">
        <v>28</v>
      </c>
      <c r="I18" s="61">
        <v>29</v>
      </c>
      <c r="J18" s="52" t="str">
        <f>"2900,0"</f>
        <v>2900,0</v>
      </c>
      <c r="K18" s="52" t="s">
        <v>520</v>
      </c>
      <c r="L18" s="49" t="s">
        <v>344</v>
      </c>
    </row>
    <row r="19" spans="1:12" ht="12.75">
      <c r="A19" s="134" t="s">
        <v>133</v>
      </c>
      <c r="B19" s="58" t="s">
        <v>152</v>
      </c>
      <c r="C19" s="41" t="s">
        <v>563</v>
      </c>
      <c r="D19" s="41" t="s">
        <v>367</v>
      </c>
      <c r="E19" s="41" t="str">
        <f>"0,5990"</f>
        <v>0,5990</v>
      </c>
      <c r="F19" s="41" t="s">
        <v>341</v>
      </c>
      <c r="G19" s="41" t="s">
        <v>455</v>
      </c>
      <c r="H19" s="42" t="s">
        <v>73</v>
      </c>
      <c r="I19" s="43">
        <v>20</v>
      </c>
      <c r="J19" s="42" t="str">
        <f>"1900,0"</f>
        <v>1900,0</v>
      </c>
      <c r="K19" s="42" t="s">
        <v>521</v>
      </c>
      <c r="L19" s="41" t="s">
        <v>344</v>
      </c>
    </row>
    <row r="21" spans="2:11" ht="15">
      <c r="B21" s="293" t="s">
        <v>29</v>
      </c>
      <c r="C21" s="293"/>
      <c r="D21" s="293"/>
      <c r="E21" s="293"/>
      <c r="F21" s="293"/>
      <c r="G21" s="293"/>
      <c r="H21" s="293"/>
      <c r="I21" s="293"/>
      <c r="J21" s="293"/>
      <c r="K21" s="293"/>
    </row>
    <row r="22" spans="1:12" ht="12.75">
      <c r="A22" s="30" t="s">
        <v>133</v>
      </c>
      <c r="B22" s="36" t="s">
        <v>160</v>
      </c>
      <c r="C22" s="36" t="s">
        <v>716</v>
      </c>
      <c r="D22" s="36" t="s">
        <v>415</v>
      </c>
      <c r="E22" s="36" t="str">
        <f>"0,5698"</f>
        <v>0,5698</v>
      </c>
      <c r="F22" s="36" t="s">
        <v>166</v>
      </c>
      <c r="G22" s="36" t="s">
        <v>63</v>
      </c>
      <c r="H22" s="37" t="s">
        <v>165</v>
      </c>
      <c r="I22" s="38">
        <v>26</v>
      </c>
      <c r="J22" s="37" t="str">
        <f>"2795,0"</f>
        <v>2795,0</v>
      </c>
      <c r="K22" s="37" t="s">
        <v>522</v>
      </c>
      <c r="L22" s="36" t="s">
        <v>344</v>
      </c>
    </row>
    <row r="24" spans="2:11" ht="15">
      <c r="B24" s="293" t="s">
        <v>164</v>
      </c>
      <c r="C24" s="293"/>
      <c r="D24" s="293"/>
      <c r="E24" s="293"/>
      <c r="F24" s="293"/>
      <c r="G24" s="293"/>
      <c r="H24" s="293"/>
      <c r="I24" s="293"/>
      <c r="J24" s="293"/>
      <c r="K24" s="293"/>
    </row>
    <row r="25" spans="1:12" ht="12.75">
      <c r="A25" s="148" t="s">
        <v>133</v>
      </c>
      <c r="B25" s="56" t="s">
        <v>158</v>
      </c>
      <c r="C25" s="49" t="s">
        <v>650</v>
      </c>
      <c r="D25" s="49" t="s">
        <v>414</v>
      </c>
      <c r="E25" s="49" t="str">
        <f>"0,5556"</f>
        <v>0,5556</v>
      </c>
      <c r="F25" s="49" t="s">
        <v>717</v>
      </c>
      <c r="G25" s="49" t="s">
        <v>163</v>
      </c>
      <c r="H25" s="52" t="s">
        <v>162</v>
      </c>
      <c r="I25" s="61">
        <v>21</v>
      </c>
      <c r="J25" s="52" t="str">
        <f>"2467,5"</f>
        <v>2467,5</v>
      </c>
      <c r="K25" s="52" t="s">
        <v>523</v>
      </c>
      <c r="L25" s="49" t="s">
        <v>344</v>
      </c>
    </row>
    <row r="26" spans="1:12" ht="12.75">
      <c r="A26" s="134" t="s">
        <v>133</v>
      </c>
      <c r="B26" s="58" t="s">
        <v>154</v>
      </c>
      <c r="C26" s="41" t="s">
        <v>565</v>
      </c>
      <c r="D26" s="41" t="s">
        <v>413</v>
      </c>
      <c r="E26" s="41" t="str">
        <f>"0,5548"</f>
        <v>0,5548</v>
      </c>
      <c r="F26" s="41" t="s">
        <v>581</v>
      </c>
      <c r="G26" s="41" t="s">
        <v>63</v>
      </c>
      <c r="H26" s="42" t="s">
        <v>162</v>
      </c>
      <c r="I26" s="43">
        <v>24</v>
      </c>
      <c r="J26" s="42" t="str">
        <f>"2820,0"</f>
        <v>2820,0</v>
      </c>
      <c r="K26" s="42" t="s">
        <v>524</v>
      </c>
      <c r="L26" s="41" t="s">
        <v>344</v>
      </c>
    </row>
    <row r="28" ht="15">
      <c r="F28" s="33"/>
    </row>
    <row r="29" ht="15">
      <c r="F29" s="33"/>
    </row>
    <row r="30" ht="15">
      <c r="F30" s="33"/>
    </row>
    <row r="31" ht="15">
      <c r="F31" s="33"/>
    </row>
    <row r="32" ht="15">
      <c r="F32" s="33"/>
    </row>
    <row r="33" ht="15">
      <c r="F33" s="33"/>
    </row>
    <row r="34" ht="15">
      <c r="F34" s="33"/>
    </row>
    <row r="36" spans="1:6" ht="18">
      <c r="A36" s="114"/>
      <c r="B36" s="128"/>
      <c r="C36" s="128"/>
      <c r="D36" s="115"/>
      <c r="E36" s="115"/>
      <c r="F36" s="115"/>
    </row>
    <row r="37" spans="1:6" ht="15">
      <c r="A37" s="114"/>
      <c r="B37" s="129"/>
      <c r="C37" s="129"/>
      <c r="D37" s="115"/>
      <c r="E37" s="115"/>
      <c r="F37" s="115"/>
    </row>
    <row r="38" spans="1:6" ht="14.25">
      <c r="A38" s="114"/>
      <c r="B38" s="130"/>
      <c r="C38" s="131"/>
      <c r="D38" s="115"/>
      <c r="E38" s="115"/>
      <c r="F38" s="115"/>
    </row>
    <row r="39" spans="1:6" ht="15">
      <c r="A39" s="114"/>
      <c r="B39" s="126"/>
      <c r="C39" s="126"/>
      <c r="D39" s="126"/>
      <c r="E39" s="126"/>
      <c r="F39" s="126"/>
    </row>
    <row r="40" spans="1:6" ht="12.75">
      <c r="A40" s="114"/>
      <c r="B40" s="133"/>
      <c r="C40" s="115"/>
      <c r="D40" s="115"/>
      <c r="E40" s="115"/>
      <c r="F40" s="113"/>
    </row>
    <row r="41" spans="1:6" ht="12.75">
      <c r="A41" s="114"/>
      <c r="B41" s="133"/>
      <c r="C41" s="115"/>
      <c r="D41" s="115"/>
      <c r="E41" s="115"/>
      <c r="F41" s="113"/>
    </row>
    <row r="42" spans="1:6" ht="12.75">
      <c r="A42" s="114"/>
      <c r="B42" s="133"/>
      <c r="C42" s="115"/>
      <c r="D42" s="115"/>
      <c r="E42" s="115"/>
      <c r="F42" s="113"/>
    </row>
    <row r="43" spans="1:6" ht="12.75">
      <c r="A43" s="114"/>
      <c r="B43" s="133"/>
      <c r="C43" s="115"/>
      <c r="D43" s="115"/>
      <c r="E43" s="115"/>
      <c r="F43" s="113"/>
    </row>
    <row r="44" spans="1:6" ht="12.75">
      <c r="A44" s="114"/>
      <c r="B44" s="133"/>
      <c r="C44" s="115"/>
      <c r="D44" s="115"/>
      <c r="E44" s="115"/>
      <c r="F44" s="113"/>
    </row>
    <row r="45" spans="1:6" ht="12.75">
      <c r="A45" s="114"/>
      <c r="B45" s="133"/>
      <c r="C45" s="115"/>
      <c r="D45" s="115"/>
      <c r="E45" s="115"/>
      <c r="F45" s="113"/>
    </row>
    <row r="46" spans="1:6" ht="12.75">
      <c r="A46" s="114"/>
      <c r="B46" s="115"/>
      <c r="C46" s="115"/>
      <c r="D46" s="115"/>
      <c r="E46" s="115"/>
      <c r="F46" s="115"/>
    </row>
    <row r="47" spans="1:6" ht="14.25">
      <c r="A47" s="114"/>
      <c r="B47" s="130"/>
      <c r="C47" s="131"/>
      <c r="D47" s="115"/>
      <c r="E47" s="115"/>
      <c r="F47" s="115"/>
    </row>
    <row r="48" spans="1:6" ht="15">
      <c r="A48" s="114"/>
      <c r="B48" s="126"/>
      <c r="C48" s="126"/>
      <c r="D48" s="126"/>
      <c r="E48" s="126"/>
      <c r="F48" s="126"/>
    </row>
    <row r="49" spans="1:6" ht="12.75">
      <c r="A49" s="114"/>
      <c r="B49" s="133"/>
      <c r="C49" s="115"/>
      <c r="D49" s="115"/>
      <c r="E49" s="115"/>
      <c r="F49" s="113"/>
    </row>
    <row r="50" spans="1:6" ht="12.75">
      <c r="A50" s="114"/>
      <c r="B50" s="133"/>
      <c r="C50" s="115"/>
      <c r="D50" s="115"/>
      <c r="E50" s="115"/>
      <c r="F50" s="113"/>
    </row>
  </sheetData>
  <sheetProtection/>
  <mergeCells count="19">
    <mergeCell ref="A1:L2"/>
    <mergeCell ref="A3:A4"/>
    <mergeCell ref="B14:K14"/>
    <mergeCell ref="B17:K17"/>
    <mergeCell ref="B21:K21"/>
    <mergeCell ref="B24:K24"/>
    <mergeCell ref="J3:J4"/>
    <mergeCell ref="K3:K4"/>
    <mergeCell ref="G3:G4"/>
    <mergeCell ref="H3:I3"/>
    <mergeCell ref="L3:L4"/>
    <mergeCell ref="B5:K5"/>
    <mergeCell ref="B8:K8"/>
    <mergeCell ref="B11:K11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9.125" style="3" customWidth="1"/>
    <col min="2" max="2" width="26.00390625" style="5" bestFit="1" customWidth="1"/>
    <col min="3" max="3" width="27.375" style="5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1.125" style="5" bestFit="1" customWidth="1"/>
    <col min="8" max="8" width="5.00390625" style="4" bestFit="1" customWidth="1"/>
    <col min="9" max="9" width="10.375" style="17" bestFit="1" customWidth="1"/>
    <col min="10" max="10" width="8.875" style="4" bestFit="1" customWidth="1"/>
    <col min="11" max="11" width="9.625" style="4" bestFit="1" customWidth="1"/>
    <col min="12" max="12" width="16.25390625" style="5" customWidth="1"/>
    <col min="13" max="16384" width="9.125" style="4" customWidth="1"/>
  </cols>
  <sheetData>
    <row r="1" spans="1:12" s="3" customFormat="1" ht="28.5" customHeight="1">
      <c r="A1" s="240" t="s">
        <v>555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3" customFormat="1" ht="61.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1:12" s="1" customFormat="1" ht="12.75" customHeight="1">
      <c r="A3" s="245" t="s">
        <v>127</v>
      </c>
      <c r="B3" s="247" t="s">
        <v>0</v>
      </c>
      <c r="C3" s="249" t="s">
        <v>450</v>
      </c>
      <c r="D3" s="249" t="s">
        <v>451</v>
      </c>
      <c r="E3" s="239" t="s">
        <v>141</v>
      </c>
      <c r="F3" s="239" t="s">
        <v>5</v>
      </c>
      <c r="G3" s="239" t="s">
        <v>7</v>
      </c>
      <c r="H3" s="239" t="s">
        <v>10</v>
      </c>
      <c r="I3" s="239"/>
      <c r="J3" s="239" t="s">
        <v>105</v>
      </c>
      <c r="K3" s="239" t="s">
        <v>4</v>
      </c>
      <c r="L3" s="235" t="s">
        <v>3</v>
      </c>
    </row>
    <row r="4" spans="1:12" s="1" customFormat="1" ht="21" customHeight="1" thickBot="1">
      <c r="A4" s="246"/>
      <c r="B4" s="248"/>
      <c r="C4" s="242"/>
      <c r="D4" s="242"/>
      <c r="E4" s="242"/>
      <c r="F4" s="242"/>
      <c r="G4" s="242"/>
      <c r="H4" s="2" t="s">
        <v>11</v>
      </c>
      <c r="I4" s="16" t="s">
        <v>12</v>
      </c>
      <c r="J4" s="242"/>
      <c r="K4" s="242"/>
      <c r="L4" s="236"/>
    </row>
    <row r="5" spans="2:11" ht="15">
      <c r="B5" s="237" t="s">
        <v>182</v>
      </c>
      <c r="C5" s="237"/>
      <c r="D5" s="237"/>
      <c r="E5" s="237"/>
      <c r="F5" s="237"/>
      <c r="G5" s="237"/>
      <c r="H5" s="237"/>
      <c r="I5" s="237"/>
      <c r="J5" s="237"/>
      <c r="K5" s="237"/>
    </row>
    <row r="6" spans="1:12" ht="12.75">
      <c r="A6" s="20" t="s">
        <v>133</v>
      </c>
      <c r="B6" s="10" t="s">
        <v>177</v>
      </c>
      <c r="C6" s="10" t="s">
        <v>721</v>
      </c>
      <c r="D6" s="10" t="s">
        <v>420</v>
      </c>
      <c r="E6" s="10" t="str">
        <f>"1,3243"</f>
        <v>1,3243</v>
      </c>
      <c r="F6" s="10" t="s">
        <v>341</v>
      </c>
      <c r="G6" s="152" t="s">
        <v>453</v>
      </c>
      <c r="H6" s="20" t="s">
        <v>181</v>
      </c>
      <c r="I6" s="21">
        <v>49</v>
      </c>
      <c r="J6" s="20" t="str">
        <f>"1592,5"</f>
        <v>1592,5</v>
      </c>
      <c r="K6" s="20" t="s">
        <v>525</v>
      </c>
      <c r="L6" s="10" t="s">
        <v>350</v>
      </c>
    </row>
    <row r="8" spans="2:11" ht="15">
      <c r="B8" s="238" t="s">
        <v>584</v>
      </c>
      <c r="C8" s="238"/>
      <c r="D8" s="238"/>
      <c r="E8" s="238"/>
      <c r="F8" s="238"/>
      <c r="G8" s="238"/>
      <c r="H8" s="238"/>
      <c r="I8" s="238"/>
      <c r="J8" s="238"/>
      <c r="K8" s="238"/>
    </row>
    <row r="9" spans="1:12" ht="12.75">
      <c r="A9" s="20" t="s">
        <v>133</v>
      </c>
      <c r="B9" s="10" t="s">
        <v>175</v>
      </c>
      <c r="C9" s="10" t="s">
        <v>652</v>
      </c>
      <c r="D9" s="10" t="s">
        <v>381</v>
      </c>
      <c r="E9" s="10" t="str">
        <f>"0,7551"</f>
        <v>0,7551</v>
      </c>
      <c r="F9" s="10" t="s">
        <v>722</v>
      </c>
      <c r="G9" s="10" t="s">
        <v>63</v>
      </c>
      <c r="H9" s="20" t="s">
        <v>137</v>
      </c>
      <c r="I9" s="21">
        <v>36</v>
      </c>
      <c r="J9" s="20" t="str">
        <f>"2430,0"</f>
        <v>2430,0</v>
      </c>
      <c r="K9" s="20" t="s">
        <v>526</v>
      </c>
      <c r="L9" s="10" t="s">
        <v>344</v>
      </c>
    </row>
    <row r="11" spans="2:11" ht="15">
      <c r="B11" s="238" t="s">
        <v>585</v>
      </c>
      <c r="C11" s="238"/>
      <c r="D11" s="238"/>
      <c r="E11" s="238"/>
      <c r="F11" s="238"/>
      <c r="G11" s="238"/>
      <c r="H11" s="238"/>
      <c r="I11" s="238"/>
      <c r="J11" s="238"/>
      <c r="K11" s="238"/>
    </row>
    <row r="12" spans="1:12" ht="12.75">
      <c r="A12" s="20" t="s">
        <v>133</v>
      </c>
      <c r="B12" s="10" t="s">
        <v>173</v>
      </c>
      <c r="C12" s="10" t="s">
        <v>718</v>
      </c>
      <c r="D12" s="10" t="s">
        <v>421</v>
      </c>
      <c r="E12" s="10" t="str">
        <f>"0,6764"</f>
        <v>0,6764</v>
      </c>
      <c r="F12" s="10" t="s">
        <v>103</v>
      </c>
      <c r="G12" s="10" t="s">
        <v>121</v>
      </c>
      <c r="H12" s="20" t="s">
        <v>117</v>
      </c>
      <c r="I12" s="21">
        <v>31</v>
      </c>
      <c r="J12" s="20" t="str">
        <f>"2402,5"</f>
        <v>2402,5</v>
      </c>
      <c r="K12" s="20" t="s">
        <v>527</v>
      </c>
      <c r="L12" s="10" t="s">
        <v>180</v>
      </c>
    </row>
    <row r="14" spans="2:11" ht="15">
      <c r="B14" s="238" t="s">
        <v>14</v>
      </c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2" ht="12.75">
      <c r="A15" s="18" t="s">
        <v>133</v>
      </c>
      <c r="B15" s="80" t="s">
        <v>174</v>
      </c>
      <c r="C15" s="8" t="s">
        <v>653</v>
      </c>
      <c r="D15" s="8" t="s">
        <v>422</v>
      </c>
      <c r="E15" s="8" t="str">
        <f>"0,6136"</f>
        <v>0,6136</v>
      </c>
      <c r="F15" s="8" t="s">
        <v>341</v>
      </c>
      <c r="G15" s="8" t="s">
        <v>27</v>
      </c>
      <c r="H15" s="18" t="s">
        <v>20</v>
      </c>
      <c r="I15" s="22">
        <v>31</v>
      </c>
      <c r="J15" s="18" t="str">
        <f>"2790,0"</f>
        <v>2790,0</v>
      </c>
      <c r="K15" s="18" t="s">
        <v>528</v>
      </c>
      <c r="L15" s="8" t="s">
        <v>344</v>
      </c>
    </row>
    <row r="16" spans="1:12" ht="12.75">
      <c r="A16" s="19" t="s">
        <v>134</v>
      </c>
      <c r="B16" s="72" t="s">
        <v>172</v>
      </c>
      <c r="C16" s="9" t="s">
        <v>719</v>
      </c>
      <c r="D16" s="9" t="s">
        <v>423</v>
      </c>
      <c r="E16" s="9" t="str">
        <f>"0,6345"</f>
        <v>0,6345</v>
      </c>
      <c r="F16" s="9" t="s">
        <v>103</v>
      </c>
      <c r="G16" s="9" t="s">
        <v>121</v>
      </c>
      <c r="H16" s="19" t="s">
        <v>64</v>
      </c>
      <c r="I16" s="23">
        <v>29</v>
      </c>
      <c r="J16" s="19" t="str">
        <f>"2465,0"</f>
        <v>2465,0</v>
      </c>
      <c r="K16" s="19" t="s">
        <v>529</v>
      </c>
      <c r="L16" s="9" t="s">
        <v>344</v>
      </c>
    </row>
    <row r="18" spans="2:11" ht="15">
      <c r="B18" s="238" t="s">
        <v>25</v>
      </c>
      <c r="C18" s="238"/>
      <c r="D18" s="238"/>
      <c r="E18" s="238"/>
      <c r="F18" s="238"/>
      <c r="G18" s="238"/>
      <c r="H18" s="238"/>
      <c r="I18" s="238"/>
      <c r="J18" s="238"/>
      <c r="K18" s="238"/>
    </row>
    <row r="19" spans="1:12" ht="12.75">
      <c r="A19" s="20" t="s">
        <v>133</v>
      </c>
      <c r="B19" s="10" t="s">
        <v>171</v>
      </c>
      <c r="C19" s="10" t="s">
        <v>720</v>
      </c>
      <c r="D19" s="10" t="s">
        <v>424</v>
      </c>
      <c r="E19" s="10" t="str">
        <f>"0,5882"</f>
        <v>0,5882</v>
      </c>
      <c r="F19" s="10" t="s">
        <v>179</v>
      </c>
      <c r="G19" s="10" t="s">
        <v>27</v>
      </c>
      <c r="H19" s="20" t="s">
        <v>178</v>
      </c>
      <c r="I19" s="21">
        <v>15</v>
      </c>
      <c r="J19" s="20" t="str">
        <f>"1462,5"</f>
        <v>1462,5</v>
      </c>
      <c r="K19" s="20" t="s">
        <v>530</v>
      </c>
      <c r="L19" s="10" t="s">
        <v>344</v>
      </c>
    </row>
    <row r="21" ht="15">
      <c r="F21" s="6"/>
    </row>
    <row r="22" ht="15">
      <c r="F22" s="6"/>
    </row>
    <row r="23" ht="15">
      <c r="F23" s="6"/>
    </row>
    <row r="24" ht="15">
      <c r="F24" s="6"/>
    </row>
    <row r="25" ht="15">
      <c r="F25" s="6"/>
    </row>
    <row r="26" ht="15">
      <c r="F26" s="6"/>
    </row>
    <row r="27" ht="15">
      <c r="F27" s="6"/>
    </row>
    <row r="29" spans="1:6" ht="18">
      <c r="A29" s="105"/>
      <c r="B29" s="90"/>
      <c r="C29" s="90"/>
      <c r="D29" s="91"/>
      <c r="E29" s="91"/>
      <c r="F29" s="91"/>
    </row>
    <row r="30" spans="1:6" ht="15">
      <c r="A30" s="105"/>
      <c r="B30" s="92"/>
      <c r="C30" s="92"/>
      <c r="D30" s="91"/>
      <c r="E30" s="91"/>
      <c r="F30" s="91"/>
    </row>
    <row r="31" spans="1:6" ht="14.25">
      <c r="A31" s="105"/>
      <c r="B31" s="93"/>
      <c r="C31" s="94"/>
      <c r="D31" s="91"/>
      <c r="E31" s="91"/>
      <c r="F31" s="91"/>
    </row>
    <row r="32" spans="1:6" ht="15">
      <c r="A32" s="105"/>
      <c r="B32" s="96"/>
      <c r="C32" s="96"/>
      <c r="D32" s="96"/>
      <c r="E32" s="96"/>
      <c r="F32" s="96"/>
    </row>
    <row r="33" spans="1:6" ht="12.75">
      <c r="A33" s="105"/>
      <c r="B33" s="97"/>
      <c r="C33" s="91"/>
      <c r="D33" s="91"/>
      <c r="E33" s="91"/>
      <c r="F33" s="98"/>
    </row>
    <row r="34" spans="1:6" ht="12.75">
      <c r="A34" s="105"/>
      <c r="B34" s="97"/>
      <c r="C34" s="91"/>
      <c r="D34" s="91"/>
      <c r="E34" s="91"/>
      <c r="F34" s="98"/>
    </row>
    <row r="35" spans="1:6" ht="12.75">
      <c r="A35" s="105"/>
      <c r="B35" s="97"/>
      <c r="C35" s="91"/>
      <c r="D35" s="91"/>
      <c r="E35" s="91"/>
      <c r="F35" s="98"/>
    </row>
    <row r="36" spans="1:6" ht="12.75">
      <c r="A36" s="105"/>
      <c r="B36" s="97"/>
      <c r="C36" s="91"/>
      <c r="D36" s="91"/>
      <c r="E36" s="91"/>
      <c r="F36" s="98"/>
    </row>
    <row r="37" spans="1:6" ht="12.75">
      <c r="A37" s="105"/>
      <c r="B37" s="97"/>
      <c r="C37" s="91"/>
      <c r="D37" s="91"/>
      <c r="E37" s="91"/>
      <c r="F37" s="98"/>
    </row>
    <row r="38" spans="1:6" ht="12.75">
      <c r="A38" s="105"/>
      <c r="B38" s="97"/>
      <c r="C38" s="91"/>
      <c r="D38" s="91"/>
      <c r="E38" s="91"/>
      <c r="F38" s="98"/>
    </row>
  </sheetData>
  <sheetProtection/>
  <mergeCells count="17">
    <mergeCell ref="B14:K14"/>
    <mergeCell ref="B18:K18"/>
    <mergeCell ref="E3:E4"/>
    <mergeCell ref="J3:J4"/>
    <mergeCell ref="K3:K4"/>
    <mergeCell ref="B5:K5"/>
    <mergeCell ref="B8:K8"/>
    <mergeCell ref="B11:K11"/>
    <mergeCell ref="H3:I3"/>
    <mergeCell ref="A1:L2"/>
    <mergeCell ref="B3:B4"/>
    <mergeCell ref="C3:C4"/>
    <mergeCell ref="D3:D4"/>
    <mergeCell ref="L3:L4"/>
    <mergeCell ref="G3:G4"/>
    <mergeCell ref="F3:F4"/>
    <mergeCell ref="A3:A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16" sqref="G16"/>
    </sheetView>
  </sheetViews>
  <sheetFormatPr defaultColWidth="9.00390625" defaultRowHeight="12.75"/>
  <sheetData>
    <row r="1" s="204" customFormat="1" ht="20.25">
      <c r="A1" s="203" t="s">
        <v>458</v>
      </c>
    </row>
    <row r="2" s="204" customFormat="1" ht="20.25">
      <c r="A2" s="203" t="s">
        <v>459</v>
      </c>
    </row>
    <row r="3" s="204" customFormat="1" ht="20.25">
      <c r="A3" s="203" t="s">
        <v>456</v>
      </c>
    </row>
    <row r="4" s="204" customFormat="1" ht="20.25">
      <c r="A4" s="203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3.625" style="0" customWidth="1"/>
    <col min="2" max="2" width="20.75390625" style="0" customWidth="1"/>
  </cols>
  <sheetData>
    <row r="1" spans="1:2" s="202" customFormat="1" ht="18">
      <c r="A1" s="205" t="s">
        <v>5</v>
      </c>
      <c r="B1" s="205" t="s">
        <v>4</v>
      </c>
    </row>
    <row r="2" spans="1:2" s="202" customFormat="1" ht="18">
      <c r="A2" s="206" t="s">
        <v>578</v>
      </c>
      <c r="B2" s="206">
        <v>384</v>
      </c>
    </row>
    <row r="3" spans="1:2" s="202" customFormat="1" ht="18">
      <c r="A3" s="206" t="s">
        <v>579</v>
      </c>
      <c r="B3" s="206">
        <v>299</v>
      </c>
    </row>
    <row r="4" spans="1:2" s="202" customFormat="1" ht="18">
      <c r="A4" s="206" t="s">
        <v>580</v>
      </c>
      <c r="B4" s="206">
        <v>283</v>
      </c>
    </row>
    <row r="5" spans="1:2" ht="12.75">
      <c r="A5" s="193"/>
      <c r="B5" s="193"/>
    </row>
    <row r="6" spans="1:2" ht="12.75">
      <c r="A6" s="193"/>
      <c r="B6" s="193"/>
    </row>
    <row r="7" spans="1:2" ht="12.75">
      <c r="A7" s="193"/>
      <c r="B7" s="193"/>
    </row>
    <row r="8" spans="1:2" ht="12.75">
      <c r="A8" s="193"/>
      <c r="B8" s="193"/>
    </row>
    <row r="9" spans="1:2" ht="12.75">
      <c r="A9" s="193"/>
      <c r="B9" s="193"/>
    </row>
    <row r="10" spans="1:2" ht="12.75">
      <c r="A10" s="193"/>
      <c r="B10" s="193"/>
    </row>
    <row r="11" spans="1:2" ht="12.75">
      <c r="A11" s="193"/>
      <c r="B11" s="193"/>
    </row>
    <row r="12" spans="1:2" ht="12.75">
      <c r="A12" s="193"/>
      <c r="B12" s="193"/>
    </row>
    <row r="13" spans="1:2" ht="12.75">
      <c r="A13" s="193"/>
      <c r="B13" s="193"/>
    </row>
    <row r="14" spans="1:2" ht="12.75">
      <c r="A14" s="193"/>
      <c r="B14" s="193"/>
    </row>
    <row r="15" spans="1:2" ht="12.75">
      <c r="A15" s="193"/>
      <c r="B15" s="193"/>
    </row>
    <row r="16" spans="1:2" ht="12.75">
      <c r="A16" s="193"/>
      <c r="B16" s="193"/>
    </row>
    <row r="17" spans="1:2" ht="12.75">
      <c r="A17" s="193"/>
      <c r="B17" s="193"/>
    </row>
    <row r="18" spans="1:2" ht="12.75">
      <c r="A18" s="193"/>
      <c r="B18" s="19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zoomScale="80" zoomScaleNormal="80" zoomScalePageLayoutView="0" workbookViewId="0" topLeftCell="A1">
      <selection activeCell="C24" sqref="C24"/>
    </sheetView>
  </sheetViews>
  <sheetFormatPr defaultColWidth="9.00390625" defaultRowHeight="12.75"/>
  <cols>
    <col min="1" max="1" width="9.125" style="3" customWidth="1"/>
    <col min="2" max="2" width="22.625" style="5" customWidth="1"/>
    <col min="3" max="3" width="30.00390625" style="5" customWidth="1"/>
    <col min="4" max="4" width="10.625" style="5" bestFit="1" customWidth="1"/>
    <col min="5" max="5" width="8.375" style="5" bestFit="1" customWidth="1"/>
    <col min="6" max="6" width="14.875" style="5" customWidth="1"/>
    <col min="7" max="7" width="40.125" style="5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4" bestFit="1" customWidth="1"/>
    <col min="21" max="21" width="8.625" style="103" bestFit="1" customWidth="1"/>
    <col min="22" max="22" width="18.875" style="5" bestFit="1" customWidth="1"/>
    <col min="23" max="16384" width="9.125" style="4" customWidth="1"/>
  </cols>
  <sheetData>
    <row r="1" spans="1:22" s="3" customFormat="1" ht="28.5" customHeight="1">
      <c r="A1" s="240" t="s">
        <v>533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1"/>
    </row>
    <row r="2" spans="1:22" s="3" customFormat="1" ht="61.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1"/>
    </row>
    <row r="3" spans="1:22" s="1" customFormat="1" ht="12.75" customHeight="1">
      <c r="A3" s="260" t="s">
        <v>127</v>
      </c>
      <c r="B3" s="258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200</v>
      </c>
      <c r="I3" s="239"/>
      <c r="J3" s="239"/>
      <c r="K3" s="239"/>
      <c r="L3" s="239" t="s">
        <v>1</v>
      </c>
      <c r="M3" s="239"/>
      <c r="N3" s="239"/>
      <c r="O3" s="239"/>
      <c r="P3" s="239" t="s">
        <v>207</v>
      </c>
      <c r="Q3" s="239"/>
      <c r="R3" s="239"/>
      <c r="S3" s="239"/>
      <c r="T3" s="239" t="s">
        <v>2</v>
      </c>
      <c r="U3" s="239" t="s">
        <v>4</v>
      </c>
      <c r="V3" s="235" t="s">
        <v>3</v>
      </c>
    </row>
    <row r="4" spans="1:22" s="1" customFormat="1" ht="21" customHeight="1" thickBot="1">
      <c r="A4" s="261"/>
      <c r="B4" s="259"/>
      <c r="C4" s="242"/>
      <c r="D4" s="242"/>
      <c r="E4" s="242"/>
      <c r="F4" s="242"/>
      <c r="G4" s="242"/>
      <c r="H4" s="151">
        <v>1</v>
      </c>
      <c r="I4" s="151">
        <v>2</v>
      </c>
      <c r="J4" s="151">
        <v>3</v>
      </c>
      <c r="K4" s="151" t="s">
        <v>6</v>
      </c>
      <c r="L4" s="151">
        <v>1</v>
      </c>
      <c r="M4" s="151">
        <v>2</v>
      </c>
      <c r="N4" s="151">
        <v>3</v>
      </c>
      <c r="O4" s="151" t="s">
        <v>6</v>
      </c>
      <c r="P4" s="151">
        <v>1</v>
      </c>
      <c r="Q4" s="151">
        <v>2</v>
      </c>
      <c r="R4" s="151">
        <v>3</v>
      </c>
      <c r="S4" s="151" t="s">
        <v>6</v>
      </c>
      <c r="T4" s="242"/>
      <c r="U4" s="242"/>
      <c r="V4" s="236"/>
    </row>
    <row r="5" spans="2:21" ht="15">
      <c r="B5" s="237" t="s">
        <v>65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</row>
    <row r="6" spans="1:22" ht="12.75">
      <c r="A6" s="20" t="s">
        <v>133</v>
      </c>
      <c r="B6" s="10" t="s">
        <v>276</v>
      </c>
      <c r="C6" s="10" t="s">
        <v>601</v>
      </c>
      <c r="D6" s="10" t="s">
        <v>432</v>
      </c>
      <c r="E6" s="10" t="str">
        <f>"0,8581"</f>
        <v>0,8581</v>
      </c>
      <c r="F6" s="10" t="s">
        <v>31</v>
      </c>
      <c r="G6" s="10" t="s">
        <v>32</v>
      </c>
      <c r="H6" s="65" t="s">
        <v>22</v>
      </c>
      <c r="I6" s="65" t="s">
        <v>86</v>
      </c>
      <c r="J6" s="65" t="s">
        <v>23</v>
      </c>
      <c r="K6" s="64"/>
      <c r="L6" s="65" t="s">
        <v>81</v>
      </c>
      <c r="M6" s="65" t="s">
        <v>64</v>
      </c>
      <c r="N6" s="84" t="s">
        <v>244</v>
      </c>
      <c r="O6" s="64"/>
      <c r="P6" s="65" t="s">
        <v>262</v>
      </c>
      <c r="Q6" s="65" t="s">
        <v>95</v>
      </c>
      <c r="R6" s="84" t="s">
        <v>242</v>
      </c>
      <c r="S6" s="64"/>
      <c r="T6" s="20" t="str">
        <f>"435,0"</f>
        <v>435,0</v>
      </c>
      <c r="U6" s="100" t="s">
        <v>472</v>
      </c>
      <c r="V6" s="10" t="s">
        <v>345</v>
      </c>
    </row>
    <row r="8" spans="2:21" ht="15">
      <c r="B8" s="238" t="s">
        <v>585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</row>
    <row r="9" spans="1:22" ht="12.75">
      <c r="A9" s="18" t="s">
        <v>133</v>
      </c>
      <c r="B9" s="80" t="s">
        <v>197</v>
      </c>
      <c r="C9" s="8" t="s">
        <v>624</v>
      </c>
      <c r="D9" s="8" t="s">
        <v>374</v>
      </c>
      <c r="E9" s="8" t="str">
        <f>"0,6774"</f>
        <v>0,6774</v>
      </c>
      <c r="F9" s="8" t="s">
        <v>31</v>
      </c>
      <c r="G9" s="8" t="s">
        <v>32</v>
      </c>
      <c r="H9" s="79" t="s">
        <v>91</v>
      </c>
      <c r="I9" s="85" t="s">
        <v>242</v>
      </c>
      <c r="J9" s="85" t="s">
        <v>288</v>
      </c>
      <c r="K9" s="78"/>
      <c r="L9" s="79" t="s">
        <v>205</v>
      </c>
      <c r="M9" s="79" t="s">
        <v>22</v>
      </c>
      <c r="N9" s="79" t="s">
        <v>86</v>
      </c>
      <c r="O9" s="78"/>
      <c r="P9" s="79" t="s">
        <v>59</v>
      </c>
      <c r="Q9" s="79" t="s">
        <v>41</v>
      </c>
      <c r="R9" s="79" t="s">
        <v>42</v>
      </c>
      <c r="S9" s="78"/>
      <c r="T9" s="18" t="str">
        <f>"565,0"</f>
        <v>565,0</v>
      </c>
      <c r="U9" s="101" t="s">
        <v>473</v>
      </c>
      <c r="V9" s="8" t="s">
        <v>344</v>
      </c>
    </row>
    <row r="10" spans="1:22" ht="12.75">
      <c r="A10" s="19" t="s">
        <v>134</v>
      </c>
      <c r="B10" s="72" t="s">
        <v>273</v>
      </c>
      <c r="C10" s="9" t="s">
        <v>625</v>
      </c>
      <c r="D10" s="9" t="s">
        <v>433</v>
      </c>
      <c r="E10" s="9" t="str">
        <f>"0,6744"</f>
        <v>0,6744</v>
      </c>
      <c r="F10" s="9" t="s">
        <v>217</v>
      </c>
      <c r="G10" s="9" t="s">
        <v>32</v>
      </c>
      <c r="H10" s="70" t="s">
        <v>23</v>
      </c>
      <c r="I10" s="70" t="s">
        <v>24</v>
      </c>
      <c r="J10" s="70" t="s">
        <v>18</v>
      </c>
      <c r="K10" s="69"/>
      <c r="L10" s="70" t="s">
        <v>44</v>
      </c>
      <c r="M10" s="86" t="s">
        <v>92</v>
      </c>
      <c r="N10" s="86" t="s">
        <v>92</v>
      </c>
      <c r="O10" s="69"/>
      <c r="P10" s="70" t="s">
        <v>33</v>
      </c>
      <c r="Q10" s="70" t="s">
        <v>95</v>
      </c>
      <c r="R10" s="70" t="s">
        <v>59</v>
      </c>
      <c r="S10" s="69"/>
      <c r="T10" s="19" t="str">
        <f>"500,0"</f>
        <v>500,0</v>
      </c>
      <c r="U10" s="102" t="s">
        <v>474</v>
      </c>
      <c r="V10" s="9" t="s">
        <v>344</v>
      </c>
    </row>
    <row r="12" spans="2:21" ht="15">
      <c r="B12" s="238" t="s">
        <v>14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</row>
    <row r="13" spans="1:22" ht="12.75">
      <c r="A13" s="18" t="s">
        <v>133</v>
      </c>
      <c r="B13" s="80" t="s">
        <v>278</v>
      </c>
      <c r="C13" s="8" t="s">
        <v>626</v>
      </c>
      <c r="D13" s="8" t="s">
        <v>434</v>
      </c>
      <c r="E13" s="154" t="str">
        <f>"0,6451"</f>
        <v>0,6451</v>
      </c>
      <c r="F13" s="8" t="s">
        <v>341</v>
      </c>
      <c r="G13" s="80" t="s">
        <v>600</v>
      </c>
      <c r="H13" s="79" t="s">
        <v>95</v>
      </c>
      <c r="I13" s="79" t="s">
        <v>59</v>
      </c>
      <c r="J13" s="85" t="s">
        <v>231</v>
      </c>
      <c r="K13" s="78"/>
      <c r="L13" s="79" t="s">
        <v>266</v>
      </c>
      <c r="M13" s="85" t="s">
        <v>37</v>
      </c>
      <c r="N13" s="85" t="s">
        <v>37</v>
      </c>
      <c r="O13" s="78"/>
      <c r="P13" s="79" t="s">
        <v>143</v>
      </c>
      <c r="Q13" s="85" t="s">
        <v>146</v>
      </c>
      <c r="R13" s="85" t="s">
        <v>146</v>
      </c>
      <c r="S13" s="78"/>
      <c r="T13" s="18" t="str">
        <f>"617,5"</f>
        <v>617,5</v>
      </c>
      <c r="U13" s="101" t="s">
        <v>475</v>
      </c>
      <c r="V13" s="8" t="s">
        <v>346</v>
      </c>
    </row>
    <row r="14" spans="1:22" ht="12.75">
      <c r="A14" s="19" t="s">
        <v>134</v>
      </c>
      <c r="B14" s="72" t="s">
        <v>274</v>
      </c>
      <c r="C14" s="9" t="s">
        <v>627</v>
      </c>
      <c r="D14" s="9" t="s">
        <v>435</v>
      </c>
      <c r="E14" s="155" t="str">
        <f>"0,6606"</f>
        <v>0,6606</v>
      </c>
      <c r="F14" s="9" t="s">
        <v>581</v>
      </c>
      <c r="G14" s="72" t="s">
        <v>63</v>
      </c>
      <c r="H14" s="86" t="s">
        <v>90</v>
      </c>
      <c r="I14" s="70" t="s">
        <v>90</v>
      </c>
      <c r="J14" s="86" t="s">
        <v>91</v>
      </c>
      <c r="K14" s="69"/>
      <c r="L14" s="70" t="s">
        <v>75</v>
      </c>
      <c r="M14" s="70" t="s">
        <v>79</v>
      </c>
      <c r="N14" s="70" t="s">
        <v>80</v>
      </c>
      <c r="O14" s="69"/>
      <c r="P14" s="70" t="s">
        <v>95</v>
      </c>
      <c r="Q14" s="70" t="s">
        <v>231</v>
      </c>
      <c r="R14" s="70" t="s">
        <v>287</v>
      </c>
      <c r="S14" s="69"/>
      <c r="T14" s="19" t="str">
        <f>"535,0"</f>
        <v>535,0</v>
      </c>
      <c r="U14" s="102" t="s">
        <v>476</v>
      </c>
      <c r="V14" s="9" t="s">
        <v>344</v>
      </c>
    </row>
    <row r="16" spans="2:21" ht="15">
      <c r="B16" s="238" t="s">
        <v>25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</row>
    <row r="17" spans="1:22" ht="12.75">
      <c r="A17" s="20" t="s">
        <v>133</v>
      </c>
      <c r="B17" s="10" t="s">
        <v>283</v>
      </c>
      <c r="C17" s="10" t="s">
        <v>564</v>
      </c>
      <c r="D17" s="10" t="s">
        <v>436</v>
      </c>
      <c r="E17" s="10" t="str">
        <f>"0,6238"</f>
        <v>0,6238</v>
      </c>
      <c r="F17" s="10" t="s">
        <v>341</v>
      </c>
      <c r="G17" s="10" t="s">
        <v>600</v>
      </c>
      <c r="H17" s="65" t="s">
        <v>220</v>
      </c>
      <c r="I17" s="84" t="s">
        <v>43</v>
      </c>
      <c r="J17" s="65" t="s">
        <v>43</v>
      </c>
      <c r="K17" s="64"/>
      <c r="L17" s="84" t="s">
        <v>23</v>
      </c>
      <c r="M17" s="84" t="s">
        <v>23</v>
      </c>
      <c r="N17" s="65" t="s">
        <v>23</v>
      </c>
      <c r="O17" s="64"/>
      <c r="P17" s="65" t="s">
        <v>42</v>
      </c>
      <c r="Q17" s="65" t="s">
        <v>218</v>
      </c>
      <c r="R17" s="84" t="s">
        <v>286</v>
      </c>
      <c r="S17" s="64"/>
      <c r="T17" s="20" t="str">
        <f>"630,0"</f>
        <v>630,0</v>
      </c>
      <c r="U17" s="100" t="s">
        <v>477</v>
      </c>
      <c r="V17" s="10" t="s">
        <v>344</v>
      </c>
    </row>
    <row r="19" spans="2:21" ht="15">
      <c r="B19" s="238" t="s">
        <v>29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</row>
    <row r="20" spans="1:22" ht="12.75">
      <c r="A20" s="20" t="s">
        <v>133</v>
      </c>
      <c r="B20" s="10" t="s">
        <v>275</v>
      </c>
      <c r="C20" s="10" t="s">
        <v>628</v>
      </c>
      <c r="D20" s="10" t="s">
        <v>437</v>
      </c>
      <c r="E20" s="10" t="str">
        <f>"0,6009"</f>
        <v>0,6009</v>
      </c>
      <c r="F20" s="10" t="s">
        <v>89</v>
      </c>
      <c r="G20" s="10" t="s">
        <v>440</v>
      </c>
      <c r="H20" s="65" t="s">
        <v>91</v>
      </c>
      <c r="I20" s="65" t="s">
        <v>59</v>
      </c>
      <c r="J20" s="65" t="s">
        <v>267</v>
      </c>
      <c r="K20" s="64"/>
      <c r="L20" s="84" t="s">
        <v>19</v>
      </c>
      <c r="M20" s="65" t="s">
        <v>19</v>
      </c>
      <c r="N20" s="65" t="s">
        <v>239</v>
      </c>
      <c r="O20" s="64"/>
      <c r="P20" s="65" t="s">
        <v>41</v>
      </c>
      <c r="Q20" s="84" t="s">
        <v>42</v>
      </c>
      <c r="R20" s="84" t="s">
        <v>42</v>
      </c>
      <c r="S20" s="64"/>
      <c r="T20" s="20" t="str">
        <f>"620,0"</f>
        <v>620,0</v>
      </c>
      <c r="U20" s="100" t="s">
        <v>478</v>
      </c>
      <c r="V20" s="10" t="s">
        <v>344</v>
      </c>
    </row>
    <row r="22" spans="2:21" ht="15">
      <c r="B22" s="238" t="s">
        <v>164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</row>
    <row r="23" spans="1:22" ht="12.75">
      <c r="A23" s="18" t="s">
        <v>133</v>
      </c>
      <c r="B23" s="80" t="s">
        <v>282</v>
      </c>
      <c r="C23" s="8" t="s">
        <v>629</v>
      </c>
      <c r="D23" s="8" t="s">
        <v>438</v>
      </c>
      <c r="E23" s="8" t="str">
        <f>"0,5732"</f>
        <v>0,5732</v>
      </c>
      <c r="F23" s="8" t="s">
        <v>89</v>
      </c>
      <c r="G23" s="8" t="s">
        <v>285</v>
      </c>
      <c r="H23" s="79" t="s">
        <v>42</v>
      </c>
      <c r="I23" s="79" t="s">
        <v>143</v>
      </c>
      <c r="J23" s="79" t="s">
        <v>99</v>
      </c>
      <c r="K23" s="78"/>
      <c r="L23" s="79" t="s">
        <v>95</v>
      </c>
      <c r="M23" s="79" t="s">
        <v>59</v>
      </c>
      <c r="N23" s="85" t="s">
        <v>231</v>
      </c>
      <c r="O23" s="78"/>
      <c r="P23" s="79" t="s">
        <v>101</v>
      </c>
      <c r="Q23" s="85" t="s">
        <v>201</v>
      </c>
      <c r="R23" s="79" t="s">
        <v>201</v>
      </c>
      <c r="S23" s="78"/>
      <c r="T23" s="18" t="str">
        <f>"810,0"</f>
        <v>810,0</v>
      </c>
      <c r="U23" s="101" t="s">
        <v>479</v>
      </c>
      <c r="V23" s="8" t="s">
        <v>284</v>
      </c>
    </row>
    <row r="24" spans="1:22" ht="12.75">
      <c r="A24" s="19" t="s">
        <v>134</v>
      </c>
      <c r="B24" s="72" t="s">
        <v>280</v>
      </c>
      <c r="C24" s="9" t="s">
        <v>630</v>
      </c>
      <c r="D24" s="9" t="s">
        <v>439</v>
      </c>
      <c r="E24" s="9" t="str">
        <f>"0,5834"</f>
        <v>0,5834</v>
      </c>
      <c r="F24" s="9" t="s">
        <v>31</v>
      </c>
      <c r="G24" s="9" t="s">
        <v>32</v>
      </c>
      <c r="H24" s="70" t="s">
        <v>227</v>
      </c>
      <c r="I24" s="70" t="s">
        <v>225</v>
      </c>
      <c r="J24" s="70" t="s">
        <v>146</v>
      </c>
      <c r="K24" s="69"/>
      <c r="L24" s="70" t="s">
        <v>33</v>
      </c>
      <c r="M24" s="70" t="s">
        <v>95</v>
      </c>
      <c r="N24" s="70" t="s">
        <v>242</v>
      </c>
      <c r="O24" s="69"/>
      <c r="P24" s="70" t="s">
        <v>146</v>
      </c>
      <c r="Q24" s="70" t="s">
        <v>100</v>
      </c>
      <c r="R24" s="70" t="s">
        <v>101</v>
      </c>
      <c r="S24" s="69"/>
      <c r="T24" s="19" t="str">
        <f>"775,0"</f>
        <v>775,0</v>
      </c>
      <c r="U24" s="102" t="s">
        <v>480</v>
      </c>
      <c r="V24" s="9" t="s">
        <v>344</v>
      </c>
    </row>
    <row r="27" spans="2:3" ht="18">
      <c r="B27" s="7" t="s">
        <v>8</v>
      </c>
      <c r="C27" s="7"/>
    </row>
    <row r="28" spans="2:3" ht="15">
      <c r="B28" s="12" t="s">
        <v>48</v>
      </c>
      <c r="C28" s="12"/>
    </row>
    <row r="30" spans="2:3" ht="14.25">
      <c r="B30" s="13"/>
      <c r="C30" s="14" t="s">
        <v>559</v>
      </c>
    </row>
    <row r="31" spans="1:6" ht="15">
      <c r="A31" s="20"/>
      <c r="B31" s="15" t="s">
        <v>49</v>
      </c>
      <c r="C31" s="15" t="s">
        <v>50</v>
      </c>
      <c r="D31" s="15" t="s">
        <v>51</v>
      </c>
      <c r="E31" s="15" t="s">
        <v>52</v>
      </c>
      <c r="F31" s="15" t="s">
        <v>53</v>
      </c>
    </row>
    <row r="32" spans="1:6" ht="12.75">
      <c r="A32" s="20" t="s">
        <v>133</v>
      </c>
      <c r="B32" s="24" t="s">
        <v>282</v>
      </c>
      <c r="C32" s="11" t="s">
        <v>559</v>
      </c>
      <c r="D32" s="20" t="s">
        <v>153</v>
      </c>
      <c r="E32" s="20" t="s">
        <v>281</v>
      </c>
      <c r="F32" s="168">
        <v>464.292</v>
      </c>
    </row>
    <row r="33" spans="1:6" ht="12.75">
      <c r="A33" s="20" t="s">
        <v>134</v>
      </c>
      <c r="B33" s="24" t="s">
        <v>280</v>
      </c>
      <c r="C33" s="11" t="s">
        <v>559</v>
      </c>
      <c r="D33" s="20" t="s">
        <v>153</v>
      </c>
      <c r="E33" s="20" t="s">
        <v>279</v>
      </c>
      <c r="F33" s="168">
        <v>452.135</v>
      </c>
    </row>
    <row r="34" spans="1:6" ht="12.75">
      <c r="A34" s="20" t="s">
        <v>135</v>
      </c>
      <c r="B34" s="24" t="s">
        <v>278</v>
      </c>
      <c r="C34" s="11" t="s">
        <v>559</v>
      </c>
      <c r="D34" s="20" t="s">
        <v>20</v>
      </c>
      <c r="E34" s="20" t="s">
        <v>277</v>
      </c>
      <c r="F34" s="168">
        <v>398.3492</v>
      </c>
    </row>
    <row r="35" spans="2:6" ht="12.75">
      <c r="B35" s="63"/>
      <c r="F35" s="62"/>
    </row>
    <row r="36" spans="2:6" ht="12.75">
      <c r="B36" s="63"/>
      <c r="F36" s="62"/>
    </row>
    <row r="37" spans="2:6" ht="12.75">
      <c r="B37" s="63"/>
      <c r="F37" s="62"/>
    </row>
    <row r="38" spans="2:6" ht="12.75">
      <c r="B38" s="63"/>
      <c r="F38" s="62"/>
    </row>
    <row r="39" spans="2:6" ht="12.75">
      <c r="B39" s="63"/>
      <c r="F39" s="62"/>
    </row>
  </sheetData>
  <sheetProtection/>
  <mergeCells count="20">
    <mergeCell ref="B19:U19"/>
    <mergeCell ref="B22:U22"/>
    <mergeCell ref="T3:T4"/>
    <mergeCell ref="U3:U4"/>
    <mergeCell ref="A3:A4"/>
    <mergeCell ref="A1:V2"/>
    <mergeCell ref="B3:B4"/>
    <mergeCell ref="C3:C4"/>
    <mergeCell ref="D3:D4"/>
    <mergeCell ref="E3:E4"/>
    <mergeCell ref="V3:V4"/>
    <mergeCell ref="B5:U5"/>
    <mergeCell ref="B8:U8"/>
    <mergeCell ref="B12:U12"/>
    <mergeCell ref="P3:S3"/>
    <mergeCell ref="B16:U16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9.125" style="4" customWidth="1"/>
    <col min="2" max="2" width="26.00390625" style="5" bestFit="1" customWidth="1"/>
    <col min="3" max="3" width="28.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7.375" style="5" bestFit="1" customWidth="1"/>
    <col min="8" max="10" width="5.625" style="4" bestFit="1" customWidth="1"/>
    <col min="11" max="11" width="4.875" style="4" bestFit="1" customWidth="1"/>
    <col min="12" max="12" width="11.25390625" style="5" bestFit="1" customWidth="1"/>
    <col min="13" max="13" width="8.625" style="4" bestFit="1" customWidth="1"/>
    <col min="14" max="14" width="15.375" style="5" bestFit="1" customWidth="1"/>
    <col min="15" max="16384" width="9.125" style="4" customWidth="1"/>
  </cols>
  <sheetData>
    <row r="1" spans="1:14" s="3" customFormat="1" ht="28.5" customHeight="1">
      <c r="A1" s="240" t="s">
        <v>534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3" customFormat="1" ht="61.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</row>
    <row r="3" spans="1:14" s="1" customFormat="1" ht="12.75" customHeight="1">
      <c r="A3" s="260" t="s">
        <v>127</v>
      </c>
      <c r="B3" s="258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1</v>
      </c>
      <c r="I3" s="239"/>
      <c r="J3" s="239"/>
      <c r="K3" s="239"/>
      <c r="L3" s="239" t="s">
        <v>96</v>
      </c>
      <c r="M3" s="239" t="s">
        <v>4</v>
      </c>
      <c r="N3" s="235" t="s">
        <v>3</v>
      </c>
    </row>
    <row r="4" spans="1:14" s="1" customFormat="1" ht="21" customHeight="1" thickBot="1">
      <c r="A4" s="261"/>
      <c r="B4" s="259"/>
      <c r="C4" s="242"/>
      <c r="D4" s="242"/>
      <c r="E4" s="242"/>
      <c r="F4" s="242"/>
      <c r="G4" s="242"/>
      <c r="H4" s="151">
        <v>1</v>
      </c>
      <c r="I4" s="151">
        <v>2</v>
      </c>
      <c r="J4" s="151">
        <v>3</v>
      </c>
      <c r="K4" s="151" t="s">
        <v>6</v>
      </c>
      <c r="L4" s="242"/>
      <c r="M4" s="242"/>
      <c r="N4" s="236"/>
    </row>
    <row r="5" spans="2:13" ht="15.75" thickBot="1">
      <c r="B5" s="237" t="s">
        <v>164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4" ht="13.5" thickBot="1">
      <c r="A6" s="89" t="s">
        <v>133</v>
      </c>
      <c r="B6" s="66" t="s">
        <v>154</v>
      </c>
      <c r="C6" s="10" t="s">
        <v>565</v>
      </c>
      <c r="D6" s="10" t="s">
        <v>413</v>
      </c>
      <c r="E6" s="10" t="str">
        <f>"0,5793"</f>
        <v>0,5793</v>
      </c>
      <c r="F6" s="10" t="s">
        <v>581</v>
      </c>
      <c r="G6" s="10" t="s">
        <v>63</v>
      </c>
      <c r="H6" s="84" t="s">
        <v>42</v>
      </c>
      <c r="I6" s="65" t="s">
        <v>241</v>
      </c>
      <c r="J6" s="84" t="s">
        <v>225</v>
      </c>
      <c r="K6" s="64"/>
      <c r="L6" s="20" t="str">
        <f>"242,5"</f>
        <v>242,5</v>
      </c>
      <c r="M6" s="168">
        <v>141.182</v>
      </c>
      <c r="N6" s="10" t="s">
        <v>344</v>
      </c>
    </row>
    <row r="8" ht="15">
      <c r="F8" s="6"/>
    </row>
    <row r="9" ht="15">
      <c r="F9" s="6"/>
    </row>
    <row r="10" ht="15">
      <c r="F10" s="6"/>
    </row>
    <row r="11" ht="15">
      <c r="F11" s="6"/>
    </row>
    <row r="12" ht="15">
      <c r="F12" s="6"/>
    </row>
    <row r="13" ht="15">
      <c r="F13" s="6"/>
    </row>
    <row r="14" spans="2:6" ht="15">
      <c r="B14" s="91"/>
      <c r="C14" s="91"/>
      <c r="D14" s="91"/>
      <c r="E14" s="91"/>
      <c r="F14" s="104"/>
    </row>
    <row r="15" spans="2:6" ht="12.75">
      <c r="B15" s="91"/>
      <c r="C15" s="91"/>
      <c r="D15" s="91"/>
      <c r="E15" s="91"/>
      <c r="F15" s="91"/>
    </row>
    <row r="16" spans="2:6" ht="18">
      <c r="B16" s="90"/>
      <c r="C16" s="90"/>
      <c r="D16" s="91"/>
      <c r="E16" s="91"/>
      <c r="F16" s="91"/>
    </row>
    <row r="17" spans="2:6" ht="15">
      <c r="B17" s="92"/>
      <c r="C17" s="92"/>
      <c r="D17" s="91"/>
      <c r="E17" s="91"/>
      <c r="F17" s="91"/>
    </row>
    <row r="18" spans="2:6" ht="14.25">
      <c r="B18" s="93"/>
      <c r="C18" s="94"/>
      <c r="D18" s="91"/>
      <c r="E18" s="91"/>
      <c r="F18" s="91"/>
    </row>
    <row r="19" spans="2:6" ht="15">
      <c r="B19" s="96"/>
      <c r="C19" s="96"/>
      <c r="D19" s="96"/>
      <c r="E19" s="96"/>
      <c r="F19" s="96"/>
    </row>
    <row r="20" spans="2:6" ht="12.75">
      <c r="B20" s="97"/>
      <c r="C20" s="91"/>
      <c r="D20" s="91"/>
      <c r="E20" s="91"/>
      <c r="F20" s="98"/>
    </row>
    <row r="21" spans="2:6" ht="12.75">
      <c r="B21" s="91"/>
      <c r="C21" s="91"/>
      <c r="D21" s="91"/>
      <c r="E21" s="91"/>
      <c r="F21" s="91"/>
    </row>
    <row r="22" spans="2:6" ht="12.75">
      <c r="B22" s="91"/>
      <c r="C22" s="91"/>
      <c r="D22" s="91"/>
      <c r="E22" s="91"/>
      <c r="F22" s="91"/>
    </row>
    <row r="23" ht="12.75">
      <c r="F23" s="62"/>
    </row>
  </sheetData>
  <sheetProtection/>
  <mergeCells count="13">
    <mergeCell ref="A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A3: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zoomScale="90" zoomScaleNormal="90" zoomScalePageLayoutView="0" workbookViewId="0" topLeftCell="A28">
      <selection activeCell="G18" sqref="G18"/>
    </sheetView>
  </sheetViews>
  <sheetFormatPr defaultColWidth="9.00390625" defaultRowHeight="12.75"/>
  <cols>
    <col min="1" max="1" width="9.125" style="3" customWidth="1"/>
    <col min="2" max="2" width="26.00390625" style="5" bestFit="1" customWidth="1"/>
    <col min="3" max="3" width="31.75390625" style="5" customWidth="1"/>
    <col min="4" max="4" width="10.625" style="144" bestFit="1" customWidth="1"/>
    <col min="5" max="5" width="8.375" style="5" bestFit="1" customWidth="1"/>
    <col min="6" max="6" width="22.75390625" style="5" bestFit="1" customWidth="1"/>
    <col min="7" max="7" width="38.125" style="5" customWidth="1"/>
    <col min="8" max="10" width="5.625" style="4" bestFit="1" customWidth="1"/>
    <col min="11" max="11" width="4.875" style="4" bestFit="1" customWidth="1"/>
    <col min="12" max="12" width="11.25390625" style="4" bestFit="1" customWidth="1"/>
    <col min="13" max="13" width="8.625" style="200" bestFit="1" customWidth="1"/>
    <col min="14" max="14" width="17.875" style="5" customWidth="1"/>
    <col min="15" max="16384" width="9.125" style="4" customWidth="1"/>
  </cols>
  <sheetData>
    <row r="1" spans="1:14" s="3" customFormat="1" ht="28.5" customHeight="1">
      <c r="A1" s="252" t="s">
        <v>535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</row>
    <row r="2" spans="1:14" s="3" customFormat="1" ht="61.5" customHeight="1" thickBot="1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7"/>
    </row>
    <row r="3" spans="1:14" s="1" customFormat="1" ht="12.75" customHeight="1">
      <c r="A3" s="245" t="s">
        <v>127</v>
      </c>
      <c r="B3" s="247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1</v>
      </c>
      <c r="I3" s="239"/>
      <c r="J3" s="239"/>
      <c r="K3" s="239"/>
      <c r="L3" s="239" t="s">
        <v>96</v>
      </c>
      <c r="M3" s="262" t="s">
        <v>4</v>
      </c>
      <c r="N3" s="235" t="s">
        <v>3</v>
      </c>
    </row>
    <row r="4" spans="1:14" s="1" customFormat="1" ht="21" customHeight="1" thickBot="1">
      <c r="A4" s="246"/>
      <c r="B4" s="248"/>
      <c r="C4" s="242"/>
      <c r="D4" s="242"/>
      <c r="E4" s="242"/>
      <c r="F4" s="242"/>
      <c r="G4" s="242"/>
      <c r="H4" s="151">
        <v>1</v>
      </c>
      <c r="I4" s="151">
        <v>2</v>
      </c>
      <c r="J4" s="151">
        <v>3</v>
      </c>
      <c r="K4" s="151" t="s">
        <v>6</v>
      </c>
      <c r="L4" s="242"/>
      <c r="M4" s="263"/>
      <c r="N4" s="236"/>
    </row>
    <row r="5" spans="2:13" ht="15">
      <c r="B5" s="237" t="s">
        <v>182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4" ht="12.75">
      <c r="A6" s="20" t="s">
        <v>133</v>
      </c>
      <c r="B6" s="66" t="s">
        <v>186</v>
      </c>
      <c r="C6" s="10" t="s">
        <v>631</v>
      </c>
      <c r="D6" s="140">
        <v>50.8</v>
      </c>
      <c r="E6" s="10" t="str">
        <f>"1,2692"</f>
        <v>1,2692</v>
      </c>
      <c r="F6" s="10" t="s">
        <v>341</v>
      </c>
      <c r="G6" s="10" t="s">
        <v>195</v>
      </c>
      <c r="H6" s="65" t="s">
        <v>149</v>
      </c>
      <c r="I6" s="65" t="s">
        <v>140</v>
      </c>
      <c r="J6" s="65" t="s">
        <v>139</v>
      </c>
      <c r="K6" s="64"/>
      <c r="L6" s="20" t="str">
        <f>"57,5"</f>
        <v>57,5</v>
      </c>
      <c r="M6" s="194">
        <v>72.979</v>
      </c>
      <c r="N6" s="10" t="s">
        <v>332</v>
      </c>
    </row>
    <row r="8" spans="2:13" ht="15">
      <c r="B8" s="238" t="s">
        <v>320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4" ht="12.75">
      <c r="A9" s="20" t="s">
        <v>133</v>
      </c>
      <c r="B9" s="66" t="s">
        <v>314</v>
      </c>
      <c r="C9" s="10" t="s">
        <v>602</v>
      </c>
      <c r="D9" s="140">
        <v>55.5</v>
      </c>
      <c r="E9" s="10" t="str">
        <f>"1,1849"</f>
        <v>1,1849</v>
      </c>
      <c r="F9" s="10" t="s">
        <v>167</v>
      </c>
      <c r="G9" s="10" t="s">
        <v>27</v>
      </c>
      <c r="H9" s="65" t="s">
        <v>67</v>
      </c>
      <c r="I9" s="67" t="s">
        <v>149</v>
      </c>
      <c r="J9" s="67" t="s">
        <v>149</v>
      </c>
      <c r="K9" s="64"/>
      <c r="L9" s="20" t="str">
        <f>"45,0"</f>
        <v>45,0</v>
      </c>
      <c r="M9" s="194">
        <v>53.321</v>
      </c>
      <c r="N9" s="10" t="s">
        <v>347</v>
      </c>
    </row>
    <row r="11" spans="2:13" ht="15">
      <c r="B11" s="238" t="s">
        <v>65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</row>
    <row r="12" spans="1:14" ht="12.75">
      <c r="A12" s="20" t="s">
        <v>133</v>
      </c>
      <c r="B12" s="66" t="s">
        <v>196</v>
      </c>
      <c r="C12" s="10" t="s">
        <v>632</v>
      </c>
      <c r="D12" s="140">
        <v>59.3</v>
      </c>
      <c r="E12" s="10" t="str">
        <f>"1,1251"</f>
        <v>1,1251</v>
      </c>
      <c r="F12" s="10" t="s">
        <v>341</v>
      </c>
      <c r="G12" s="152" t="s">
        <v>453</v>
      </c>
      <c r="H12" s="65" t="s">
        <v>271</v>
      </c>
      <c r="I12" s="67" t="s">
        <v>137</v>
      </c>
      <c r="J12" s="67" t="s">
        <v>137</v>
      </c>
      <c r="K12" s="64"/>
      <c r="L12" s="20" t="str">
        <f>"65,0"</f>
        <v>65,0</v>
      </c>
      <c r="M12" s="194">
        <v>73.132</v>
      </c>
      <c r="N12" s="10" t="s">
        <v>348</v>
      </c>
    </row>
    <row r="14" spans="2:13" ht="15">
      <c r="B14" s="238" t="s">
        <v>584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</row>
    <row r="15" spans="1:14" ht="12.75">
      <c r="A15" s="20" t="s">
        <v>133</v>
      </c>
      <c r="B15" s="66" t="s">
        <v>313</v>
      </c>
      <c r="C15" s="10" t="s">
        <v>633</v>
      </c>
      <c r="D15" s="140">
        <v>65</v>
      </c>
      <c r="E15" s="10" t="str">
        <f>"1,0491"</f>
        <v>1,0491</v>
      </c>
      <c r="F15" s="10" t="s">
        <v>62</v>
      </c>
      <c r="G15" s="10" t="s">
        <v>63</v>
      </c>
      <c r="H15" s="65" t="s">
        <v>104</v>
      </c>
      <c r="I15" s="67" t="s">
        <v>70</v>
      </c>
      <c r="J15" s="65" t="s">
        <v>70</v>
      </c>
      <c r="K15" s="64"/>
      <c r="L15" s="20" t="str">
        <f>"75,0"</f>
        <v>75,0</v>
      </c>
      <c r="M15" s="194">
        <v>78.683</v>
      </c>
      <c r="N15" s="10" t="s">
        <v>128</v>
      </c>
    </row>
    <row r="17" spans="2:13" ht="15">
      <c r="B17" s="238" t="s">
        <v>65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4" ht="12.75">
      <c r="A18" s="20" t="s">
        <v>133</v>
      </c>
      <c r="B18" s="66" t="s">
        <v>312</v>
      </c>
      <c r="C18" s="10" t="s">
        <v>603</v>
      </c>
      <c r="D18" s="140">
        <v>59.1</v>
      </c>
      <c r="E18" s="10" t="str">
        <f>"0,8648"</f>
        <v>0,8648</v>
      </c>
      <c r="F18" s="10" t="s">
        <v>167</v>
      </c>
      <c r="G18" s="10" t="s">
        <v>27</v>
      </c>
      <c r="H18" s="67" t="s">
        <v>67</v>
      </c>
      <c r="I18" s="65" t="s">
        <v>149</v>
      </c>
      <c r="J18" s="67" t="s">
        <v>140</v>
      </c>
      <c r="K18" s="64"/>
      <c r="L18" s="20" t="str">
        <f>"50,0"</f>
        <v>50,0</v>
      </c>
      <c r="M18" s="194">
        <v>43.24</v>
      </c>
      <c r="N18" s="10" t="s">
        <v>349</v>
      </c>
    </row>
    <row r="20" spans="2:13" ht="15">
      <c r="B20" s="238" t="s">
        <v>584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</row>
    <row r="21" spans="1:14" ht="12.75">
      <c r="A21" s="18" t="s">
        <v>133</v>
      </c>
      <c r="B21" s="80" t="s">
        <v>310</v>
      </c>
      <c r="C21" s="8" t="s">
        <v>570</v>
      </c>
      <c r="D21" s="141">
        <v>66.5</v>
      </c>
      <c r="E21" s="154" t="str">
        <f>"0,7804"</f>
        <v>0,7804</v>
      </c>
      <c r="F21" s="8" t="s">
        <v>341</v>
      </c>
      <c r="G21" s="80" t="s">
        <v>582</v>
      </c>
      <c r="H21" s="79" t="s">
        <v>165</v>
      </c>
      <c r="I21" s="79" t="s">
        <v>79</v>
      </c>
      <c r="J21" s="81" t="s">
        <v>153</v>
      </c>
      <c r="K21" s="78"/>
      <c r="L21" s="18" t="str">
        <f>"115,0"</f>
        <v>115,0</v>
      </c>
      <c r="M21" s="195">
        <v>89.746</v>
      </c>
      <c r="N21" s="8" t="s">
        <v>344</v>
      </c>
    </row>
    <row r="22" spans="1:14" ht="12.75">
      <c r="A22" s="19" t="s">
        <v>133</v>
      </c>
      <c r="B22" s="72" t="s">
        <v>295</v>
      </c>
      <c r="C22" s="9" t="s">
        <v>634</v>
      </c>
      <c r="D22" s="142">
        <v>66.3</v>
      </c>
      <c r="E22" s="155" t="str">
        <f>"0,7823"</f>
        <v>0,7823</v>
      </c>
      <c r="F22" s="9" t="s">
        <v>217</v>
      </c>
      <c r="G22" s="72" t="s">
        <v>32</v>
      </c>
      <c r="H22" s="70" t="s">
        <v>165</v>
      </c>
      <c r="I22" s="70" t="s">
        <v>268</v>
      </c>
      <c r="J22" s="71" t="s">
        <v>79</v>
      </c>
      <c r="K22" s="69"/>
      <c r="L22" s="19" t="str">
        <f>"112,5"</f>
        <v>112,5</v>
      </c>
      <c r="M22" s="196">
        <v>88.009</v>
      </c>
      <c r="N22" s="9" t="s">
        <v>328</v>
      </c>
    </row>
    <row r="24" spans="2:13" ht="15">
      <c r="B24" s="238" t="s">
        <v>170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</row>
    <row r="25" spans="1:14" ht="12.75">
      <c r="A25" s="18" t="s">
        <v>133</v>
      </c>
      <c r="B25" s="80" t="s">
        <v>311</v>
      </c>
      <c r="C25" s="8" t="s">
        <v>571</v>
      </c>
      <c r="D25" s="141">
        <v>71</v>
      </c>
      <c r="E25" s="154" t="str">
        <f>"0,7414"</f>
        <v>0,7414</v>
      </c>
      <c r="F25" s="8" t="s">
        <v>581</v>
      </c>
      <c r="G25" s="80" t="s">
        <v>319</v>
      </c>
      <c r="H25" s="79" t="s">
        <v>22</v>
      </c>
      <c r="I25" s="79" t="s">
        <v>316</v>
      </c>
      <c r="J25" s="79" t="s">
        <v>86</v>
      </c>
      <c r="K25" s="78"/>
      <c r="L25" s="18" t="str">
        <f>"145,0"</f>
        <v>145,0</v>
      </c>
      <c r="M25" s="197">
        <v>107.503</v>
      </c>
      <c r="N25" s="8" t="s">
        <v>344</v>
      </c>
    </row>
    <row r="26" spans="1:14" ht="12.75">
      <c r="A26" s="74" t="s">
        <v>134</v>
      </c>
      <c r="B26" s="77" t="s">
        <v>185</v>
      </c>
      <c r="C26" s="73" t="s">
        <v>572</v>
      </c>
      <c r="D26" s="143">
        <v>73.9</v>
      </c>
      <c r="E26" s="156" t="str">
        <f>"0,7200"</f>
        <v>0,7200</v>
      </c>
      <c r="F26" s="73" t="s">
        <v>341</v>
      </c>
      <c r="G26" s="77" t="s">
        <v>195</v>
      </c>
      <c r="H26" s="76" t="s">
        <v>162</v>
      </c>
      <c r="I26" s="76" t="s">
        <v>80</v>
      </c>
      <c r="J26" s="82" t="s">
        <v>270</v>
      </c>
      <c r="K26" s="75"/>
      <c r="L26" s="74" t="str">
        <f>"122,5"</f>
        <v>122,5</v>
      </c>
      <c r="M26" s="198">
        <v>88.2</v>
      </c>
      <c r="N26" s="73" t="s">
        <v>332</v>
      </c>
    </row>
    <row r="27" spans="1:14" ht="12.75">
      <c r="A27" s="74" t="s">
        <v>135</v>
      </c>
      <c r="B27" s="77" t="s">
        <v>309</v>
      </c>
      <c r="C27" s="73" t="s">
        <v>573</v>
      </c>
      <c r="D27" s="143">
        <v>72.9</v>
      </c>
      <c r="E27" s="156" t="str">
        <f>"0,7271"</f>
        <v>0,7271</v>
      </c>
      <c r="F27" s="73" t="s">
        <v>179</v>
      </c>
      <c r="G27" s="77" t="s">
        <v>27</v>
      </c>
      <c r="H27" s="76" t="s">
        <v>79</v>
      </c>
      <c r="I27" s="76" t="s">
        <v>44</v>
      </c>
      <c r="J27" s="82" t="s">
        <v>80</v>
      </c>
      <c r="K27" s="75"/>
      <c r="L27" s="74" t="str">
        <f>"120,0"</f>
        <v>120,0</v>
      </c>
      <c r="M27" s="198">
        <v>87.252</v>
      </c>
      <c r="N27" s="73" t="s">
        <v>344</v>
      </c>
    </row>
    <row r="28" spans="1:14" ht="12.75">
      <c r="A28" s="74"/>
      <c r="B28" s="77" t="s">
        <v>333</v>
      </c>
      <c r="C28" s="73" t="s">
        <v>574</v>
      </c>
      <c r="D28" s="143">
        <v>74.1</v>
      </c>
      <c r="E28" s="156" t="str">
        <f>"0,7186"</f>
        <v>0,7186</v>
      </c>
      <c r="F28" s="73" t="s">
        <v>167</v>
      </c>
      <c r="G28" s="77" t="s">
        <v>27</v>
      </c>
      <c r="H28" s="82" t="s">
        <v>270</v>
      </c>
      <c r="I28" s="82" t="s">
        <v>270</v>
      </c>
      <c r="J28" s="75"/>
      <c r="K28" s="75"/>
      <c r="L28" s="74" t="s">
        <v>452</v>
      </c>
      <c r="M28" s="198"/>
      <c r="N28" s="73" t="s">
        <v>331</v>
      </c>
    </row>
    <row r="29" spans="1:14" ht="12.75">
      <c r="A29" s="74" t="s">
        <v>133</v>
      </c>
      <c r="B29" s="77" t="s">
        <v>305</v>
      </c>
      <c r="C29" s="73" t="s">
        <v>635</v>
      </c>
      <c r="D29" s="143">
        <v>72.2</v>
      </c>
      <c r="E29" s="156" t="str">
        <f>"0,7322"</f>
        <v>0,7322</v>
      </c>
      <c r="F29" s="73" t="s">
        <v>31</v>
      </c>
      <c r="G29" s="77" t="s">
        <v>32</v>
      </c>
      <c r="H29" s="76" t="s">
        <v>92</v>
      </c>
      <c r="I29" s="82" t="s">
        <v>205</v>
      </c>
      <c r="J29" s="82" t="s">
        <v>205</v>
      </c>
      <c r="K29" s="75"/>
      <c r="L29" s="74" t="str">
        <f>"130,0"</f>
        <v>130,0</v>
      </c>
      <c r="M29" s="198">
        <v>95.186</v>
      </c>
      <c r="N29" s="73" t="s">
        <v>344</v>
      </c>
    </row>
    <row r="30" spans="1:14" ht="12.75">
      <c r="A30" s="74" t="s">
        <v>134</v>
      </c>
      <c r="B30" s="77" t="s">
        <v>303</v>
      </c>
      <c r="C30" s="73" t="s">
        <v>636</v>
      </c>
      <c r="D30" s="143">
        <v>73.7</v>
      </c>
      <c r="E30" s="156" t="str">
        <f>"0,7214"</f>
        <v>0,7214</v>
      </c>
      <c r="F30" s="73" t="s">
        <v>31</v>
      </c>
      <c r="G30" s="77" t="s">
        <v>32</v>
      </c>
      <c r="H30" s="76" t="s">
        <v>92</v>
      </c>
      <c r="I30" s="82" t="s">
        <v>205</v>
      </c>
      <c r="J30" s="82" t="s">
        <v>205</v>
      </c>
      <c r="K30" s="75"/>
      <c r="L30" s="74" t="str">
        <f>"130,0"</f>
        <v>130,0</v>
      </c>
      <c r="M30" s="198">
        <v>93.782</v>
      </c>
      <c r="N30" s="73" t="s">
        <v>344</v>
      </c>
    </row>
    <row r="31" spans="1:14" ht="12.75">
      <c r="A31" s="19" t="s">
        <v>135</v>
      </c>
      <c r="B31" s="72" t="s">
        <v>211</v>
      </c>
      <c r="C31" s="9" t="s">
        <v>619</v>
      </c>
      <c r="D31" s="142">
        <v>73.8</v>
      </c>
      <c r="E31" s="155" t="str">
        <f>"0,7207"</f>
        <v>0,7207</v>
      </c>
      <c r="F31" s="9" t="s">
        <v>167</v>
      </c>
      <c r="G31" s="72" t="s">
        <v>27</v>
      </c>
      <c r="H31" s="70" t="s">
        <v>268</v>
      </c>
      <c r="I31" s="70" t="s">
        <v>162</v>
      </c>
      <c r="J31" s="71" t="s">
        <v>44</v>
      </c>
      <c r="K31" s="69"/>
      <c r="L31" s="19" t="str">
        <f>"117,5"</f>
        <v>117,5</v>
      </c>
      <c r="M31" s="199">
        <v>84.682</v>
      </c>
      <c r="N31" s="9" t="s">
        <v>344</v>
      </c>
    </row>
    <row r="33" spans="2:13" ht="15">
      <c r="B33" s="238" t="s">
        <v>585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</row>
    <row r="34" spans="1:14" ht="12.75">
      <c r="A34" s="18" t="s">
        <v>133</v>
      </c>
      <c r="B34" s="80" t="s">
        <v>307</v>
      </c>
      <c r="C34" s="8" t="s">
        <v>637</v>
      </c>
      <c r="D34" s="141">
        <v>78</v>
      </c>
      <c r="E34" s="154" t="str">
        <f>"0,6939"</f>
        <v>0,6939</v>
      </c>
      <c r="F34" s="8" t="s">
        <v>341</v>
      </c>
      <c r="G34" s="80" t="s">
        <v>32</v>
      </c>
      <c r="H34" s="79" t="s">
        <v>37</v>
      </c>
      <c r="I34" s="81" t="s">
        <v>18</v>
      </c>
      <c r="J34" s="81" t="s">
        <v>18</v>
      </c>
      <c r="K34" s="78"/>
      <c r="L34" s="18" t="str">
        <f>"165,0"</f>
        <v>165,0</v>
      </c>
      <c r="M34" s="197">
        <v>114.494</v>
      </c>
      <c r="N34" s="8" t="s">
        <v>344</v>
      </c>
    </row>
    <row r="35" spans="1:14" ht="12.75">
      <c r="A35" s="74" t="s">
        <v>134</v>
      </c>
      <c r="B35" s="77" t="s">
        <v>306</v>
      </c>
      <c r="C35" s="73" t="s">
        <v>638</v>
      </c>
      <c r="D35" s="143">
        <v>80.9</v>
      </c>
      <c r="E35" s="156" t="str">
        <f>"0,6779"</f>
        <v>0,6779</v>
      </c>
      <c r="F35" s="73" t="s">
        <v>217</v>
      </c>
      <c r="G35" s="77" t="s">
        <v>32</v>
      </c>
      <c r="H35" s="76" t="s">
        <v>22</v>
      </c>
      <c r="I35" s="76" t="s">
        <v>86</v>
      </c>
      <c r="J35" s="82" t="s">
        <v>145</v>
      </c>
      <c r="K35" s="75"/>
      <c r="L35" s="74" t="str">
        <f>"145,0"</f>
        <v>145,0</v>
      </c>
      <c r="M35" s="198">
        <v>98.296</v>
      </c>
      <c r="N35" s="73" t="s">
        <v>344</v>
      </c>
    </row>
    <row r="36" spans="1:14" ht="12.75">
      <c r="A36" s="74" t="s">
        <v>135</v>
      </c>
      <c r="B36" s="77" t="s">
        <v>299</v>
      </c>
      <c r="C36" s="73" t="s">
        <v>639</v>
      </c>
      <c r="D36" s="143">
        <v>80.9</v>
      </c>
      <c r="E36" s="156" t="str">
        <f>"0,6779"</f>
        <v>0,6779</v>
      </c>
      <c r="F36" s="73" t="s">
        <v>341</v>
      </c>
      <c r="G36" s="77" t="s">
        <v>27</v>
      </c>
      <c r="H36" s="76" t="s">
        <v>243</v>
      </c>
      <c r="I36" s="76" t="s">
        <v>205</v>
      </c>
      <c r="J36" s="82" t="s">
        <v>22</v>
      </c>
      <c r="K36" s="75"/>
      <c r="L36" s="74" t="str">
        <f>"135,0"</f>
        <v>135,0</v>
      </c>
      <c r="M36" s="198">
        <v>91.5165</v>
      </c>
      <c r="N36" s="73" t="s">
        <v>344</v>
      </c>
    </row>
    <row r="37" spans="1:14" ht="12.75">
      <c r="A37" s="74" t="s">
        <v>342</v>
      </c>
      <c r="B37" s="77" t="s">
        <v>297</v>
      </c>
      <c r="C37" s="73" t="s">
        <v>640</v>
      </c>
      <c r="D37" s="143">
        <v>79.7</v>
      </c>
      <c r="E37" s="156" t="str">
        <f>"0,6843"</f>
        <v>0,6843</v>
      </c>
      <c r="F37" s="73" t="s">
        <v>217</v>
      </c>
      <c r="G37" s="77" t="s">
        <v>32</v>
      </c>
      <c r="H37" s="76" t="s">
        <v>44</v>
      </c>
      <c r="I37" s="76" t="s">
        <v>92</v>
      </c>
      <c r="J37" s="82" t="s">
        <v>318</v>
      </c>
      <c r="K37" s="75"/>
      <c r="L37" s="74" t="str">
        <f>"130,0"</f>
        <v>130,0</v>
      </c>
      <c r="M37" s="198">
        <v>88.959</v>
      </c>
      <c r="N37" s="73" t="s">
        <v>344</v>
      </c>
    </row>
    <row r="38" spans="1:14" ht="12.75">
      <c r="A38" s="74" t="s">
        <v>351</v>
      </c>
      <c r="B38" s="77" t="s">
        <v>294</v>
      </c>
      <c r="C38" s="73" t="s">
        <v>641</v>
      </c>
      <c r="D38" s="143">
        <v>81.1</v>
      </c>
      <c r="E38" s="156" t="str">
        <f>"0,6769"</f>
        <v>0,6769</v>
      </c>
      <c r="F38" s="73" t="s">
        <v>341</v>
      </c>
      <c r="G38" s="77" t="s">
        <v>265</v>
      </c>
      <c r="H38" s="76" t="s">
        <v>44</v>
      </c>
      <c r="I38" s="76" t="s">
        <v>92</v>
      </c>
      <c r="J38" s="82" t="s">
        <v>318</v>
      </c>
      <c r="K38" s="75"/>
      <c r="L38" s="74" t="str">
        <f>"130,0"</f>
        <v>130,0</v>
      </c>
      <c r="M38" s="198">
        <v>87.997</v>
      </c>
      <c r="N38" s="73" t="s">
        <v>344</v>
      </c>
    </row>
    <row r="39" spans="1:14" ht="12.75">
      <c r="A39" s="19" t="s">
        <v>133</v>
      </c>
      <c r="B39" s="72" t="s">
        <v>289</v>
      </c>
      <c r="C39" s="9" t="s">
        <v>566</v>
      </c>
      <c r="D39" s="142">
        <v>79.8</v>
      </c>
      <c r="E39" s="155" t="str">
        <f>"0,6838"</f>
        <v>0,6838</v>
      </c>
      <c r="F39" s="9" t="s">
        <v>341</v>
      </c>
      <c r="G39" s="72" t="s">
        <v>317</v>
      </c>
      <c r="H39" s="71" t="s">
        <v>104</v>
      </c>
      <c r="I39" s="71" t="s">
        <v>70</v>
      </c>
      <c r="J39" s="70" t="s">
        <v>70</v>
      </c>
      <c r="K39" s="69"/>
      <c r="L39" s="19" t="str">
        <f>"75,0"</f>
        <v>75,0</v>
      </c>
      <c r="M39" s="199">
        <v>62.978</v>
      </c>
      <c r="N39" s="9" t="s">
        <v>344</v>
      </c>
    </row>
    <row r="41" spans="2:13" ht="15">
      <c r="B41" s="238" t="s">
        <v>14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</row>
    <row r="42" spans="1:14" ht="12.75">
      <c r="A42" s="18" t="s">
        <v>133</v>
      </c>
      <c r="B42" s="80" t="s">
        <v>157</v>
      </c>
      <c r="C42" s="8" t="s">
        <v>642</v>
      </c>
      <c r="D42" s="141">
        <v>89.2</v>
      </c>
      <c r="E42" s="154" t="str">
        <f>"0,6413"</f>
        <v>0,6413</v>
      </c>
      <c r="F42" s="8" t="s">
        <v>341</v>
      </c>
      <c r="G42" s="80" t="s">
        <v>168</v>
      </c>
      <c r="H42" s="79" t="s">
        <v>86</v>
      </c>
      <c r="I42" s="79" t="s">
        <v>145</v>
      </c>
      <c r="J42" s="81" t="s">
        <v>24</v>
      </c>
      <c r="K42" s="78"/>
      <c r="L42" s="18" t="str">
        <f>"152,5"</f>
        <v>152,5</v>
      </c>
      <c r="M42" s="197">
        <v>97.7983</v>
      </c>
      <c r="N42" s="8" t="s">
        <v>330</v>
      </c>
    </row>
    <row r="43" spans="1:14" ht="12.75">
      <c r="A43" s="74" t="s">
        <v>134</v>
      </c>
      <c r="B43" s="77" t="s">
        <v>304</v>
      </c>
      <c r="C43" s="73" t="s">
        <v>643</v>
      </c>
      <c r="D43" s="143">
        <v>85.5</v>
      </c>
      <c r="E43" s="156" t="str">
        <f>"0,6562"</f>
        <v>0,6562</v>
      </c>
      <c r="F43" s="73" t="s">
        <v>341</v>
      </c>
      <c r="G43" s="77" t="s">
        <v>583</v>
      </c>
      <c r="H43" s="76" t="s">
        <v>205</v>
      </c>
      <c r="I43" s="76" t="s">
        <v>316</v>
      </c>
      <c r="J43" s="83" t="s">
        <v>86</v>
      </c>
      <c r="K43" s="75"/>
      <c r="L43" s="74" t="str">
        <f>"145,0"</f>
        <v>145,0</v>
      </c>
      <c r="M43" s="198">
        <v>95.149</v>
      </c>
      <c r="N43" s="73" t="s">
        <v>350</v>
      </c>
    </row>
    <row r="44" spans="1:14" ht="12.75">
      <c r="A44" s="74" t="s">
        <v>135</v>
      </c>
      <c r="B44" s="77" t="s">
        <v>302</v>
      </c>
      <c r="C44" s="73" t="s">
        <v>644</v>
      </c>
      <c r="D44" s="143">
        <v>89.1</v>
      </c>
      <c r="E44" s="156" t="str">
        <f>"0,6417"</f>
        <v>0,6417</v>
      </c>
      <c r="F44" s="73" t="s">
        <v>341</v>
      </c>
      <c r="G44" s="77" t="s">
        <v>27</v>
      </c>
      <c r="H44" s="76" t="s">
        <v>92</v>
      </c>
      <c r="I44" s="76" t="s">
        <v>22</v>
      </c>
      <c r="J44" s="76" t="s">
        <v>86</v>
      </c>
      <c r="K44" s="75"/>
      <c r="L44" s="74" t="str">
        <f>"145,0"</f>
        <v>145,0</v>
      </c>
      <c r="M44" s="198">
        <v>93.0465</v>
      </c>
      <c r="N44" s="73" t="s">
        <v>344</v>
      </c>
    </row>
    <row r="45" spans="1:14" ht="12.75">
      <c r="A45" s="74" t="s">
        <v>342</v>
      </c>
      <c r="B45" s="77" t="s">
        <v>296</v>
      </c>
      <c r="C45" s="73" t="s">
        <v>645</v>
      </c>
      <c r="D45" s="143">
        <v>85.6</v>
      </c>
      <c r="E45" s="156" t="str">
        <f>"0,6557"</f>
        <v>0,6557</v>
      </c>
      <c r="F45" s="73" t="s">
        <v>62</v>
      </c>
      <c r="G45" s="77" t="s">
        <v>63</v>
      </c>
      <c r="H45" s="82" t="s">
        <v>205</v>
      </c>
      <c r="I45" s="82" t="s">
        <v>205</v>
      </c>
      <c r="J45" s="76" t="s">
        <v>205</v>
      </c>
      <c r="K45" s="75"/>
      <c r="L45" s="74" t="str">
        <f>"135,0"</f>
        <v>135,0</v>
      </c>
      <c r="M45" s="198">
        <v>88.5195</v>
      </c>
      <c r="N45" s="73" t="s">
        <v>344</v>
      </c>
    </row>
    <row r="46" spans="1:14" ht="12.75">
      <c r="A46" s="74" t="s">
        <v>351</v>
      </c>
      <c r="B46" s="77" t="s">
        <v>293</v>
      </c>
      <c r="C46" s="73" t="s">
        <v>646</v>
      </c>
      <c r="D46" s="143">
        <v>90</v>
      </c>
      <c r="E46" s="156" t="str">
        <f>"0,6384"</f>
        <v>0,6384</v>
      </c>
      <c r="F46" s="73" t="s">
        <v>341</v>
      </c>
      <c r="G46" s="77" t="s">
        <v>382</v>
      </c>
      <c r="H46" s="82" t="s">
        <v>205</v>
      </c>
      <c r="I46" s="76" t="s">
        <v>205</v>
      </c>
      <c r="J46" s="82" t="s">
        <v>86</v>
      </c>
      <c r="K46" s="75"/>
      <c r="L46" s="74" t="str">
        <f>"135,0"</f>
        <v>135,0</v>
      </c>
      <c r="M46" s="198">
        <v>86.184</v>
      </c>
      <c r="N46" s="73" t="s">
        <v>344</v>
      </c>
    </row>
    <row r="47" spans="1:14" ht="12.75">
      <c r="A47" s="74" t="s">
        <v>133</v>
      </c>
      <c r="B47" s="77" t="s">
        <v>291</v>
      </c>
      <c r="C47" s="73" t="s">
        <v>567</v>
      </c>
      <c r="D47" s="143">
        <v>89.5</v>
      </c>
      <c r="E47" s="156" t="str">
        <f>"0,6402"</f>
        <v>0,6402</v>
      </c>
      <c r="F47" s="73" t="s">
        <v>166</v>
      </c>
      <c r="G47" s="77" t="s">
        <v>315</v>
      </c>
      <c r="H47" s="76" t="s">
        <v>145</v>
      </c>
      <c r="I47" s="76" t="s">
        <v>24</v>
      </c>
      <c r="J47" s="82" t="s">
        <v>37</v>
      </c>
      <c r="K47" s="75"/>
      <c r="L47" s="74" t="str">
        <f>"160,0"</f>
        <v>160,0</v>
      </c>
      <c r="M47" s="198">
        <v>105.3</v>
      </c>
      <c r="N47" s="73" t="s">
        <v>338</v>
      </c>
    </row>
    <row r="48" spans="1:14" ht="12.75">
      <c r="A48" s="19" t="s">
        <v>134</v>
      </c>
      <c r="B48" s="72" t="s">
        <v>290</v>
      </c>
      <c r="C48" s="9" t="s">
        <v>568</v>
      </c>
      <c r="D48" s="142">
        <v>86</v>
      </c>
      <c r="E48" s="155" t="str">
        <f>"0,6540"</f>
        <v>0,6540</v>
      </c>
      <c r="F48" s="9" t="s">
        <v>341</v>
      </c>
      <c r="G48" s="72" t="s">
        <v>27</v>
      </c>
      <c r="H48" s="70" t="s">
        <v>44</v>
      </c>
      <c r="I48" s="70" t="s">
        <v>153</v>
      </c>
      <c r="J48" s="71" t="s">
        <v>243</v>
      </c>
      <c r="K48" s="69"/>
      <c r="L48" s="19" t="str">
        <f>"125,0"</f>
        <v>125,0</v>
      </c>
      <c r="M48" s="199">
        <v>81.75</v>
      </c>
      <c r="N48" s="9" t="s">
        <v>344</v>
      </c>
    </row>
    <row r="50" spans="2:13" ht="15">
      <c r="B50" s="238" t="s">
        <v>25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</row>
    <row r="51" spans="1:14" ht="12.75">
      <c r="A51" s="18" t="s">
        <v>133</v>
      </c>
      <c r="B51" s="80" t="s">
        <v>161</v>
      </c>
      <c r="C51" s="8" t="s">
        <v>575</v>
      </c>
      <c r="D51" s="141">
        <v>99.3</v>
      </c>
      <c r="E51" s="154" t="str">
        <f>"0,6103"</f>
        <v>0,6103</v>
      </c>
      <c r="F51" s="8" t="s">
        <v>167</v>
      </c>
      <c r="G51" s="80" t="s">
        <v>27</v>
      </c>
      <c r="H51" s="79" t="s">
        <v>37</v>
      </c>
      <c r="I51" s="79" t="s">
        <v>18</v>
      </c>
      <c r="J51" s="81" t="s">
        <v>47</v>
      </c>
      <c r="K51" s="78"/>
      <c r="L51" s="18" t="str">
        <f>"170,0"</f>
        <v>170,0</v>
      </c>
      <c r="M51" s="197">
        <v>103.751</v>
      </c>
      <c r="N51" s="8" t="s">
        <v>344</v>
      </c>
    </row>
    <row r="52" spans="1:14" ht="12.75">
      <c r="A52" s="74" t="s">
        <v>133</v>
      </c>
      <c r="B52" s="77" t="s">
        <v>301</v>
      </c>
      <c r="C52" s="73" t="s">
        <v>647</v>
      </c>
      <c r="D52" s="143">
        <v>96.2</v>
      </c>
      <c r="E52" s="156" t="str">
        <f>"0,6186"</f>
        <v>0,6186</v>
      </c>
      <c r="F52" s="73" t="s">
        <v>341</v>
      </c>
      <c r="G52" s="77" t="s">
        <v>27</v>
      </c>
      <c r="H52" s="76" t="s">
        <v>86</v>
      </c>
      <c r="I52" s="76" t="s">
        <v>23</v>
      </c>
      <c r="J52" s="82" t="s">
        <v>24</v>
      </c>
      <c r="K52" s="75"/>
      <c r="L52" s="74" t="str">
        <f>"150,0"</f>
        <v>150,0</v>
      </c>
      <c r="M52" s="198">
        <v>92.79</v>
      </c>
      <c r="N52" s="73" t="s">
        <v>344</v>
      </c>
    </row>
    <row r="53" spans="1:14" ht="12.75">
      <c r="A53" s="74" t="s">
        <v>134</v>
      </c>
      <c r="B53" s="77" t="s">
        <v>298</v>
      </c>
      <c r="C53" s="73" t="s">
        <v>648</v>
      </c>
      <c r="D53" s="143">
        <v>97.3</v>
      </c>
      <c r="E53" s="156" t="str">
        <f>"0,6155"</f>
        <v>0,6155</v>
      </c>
      <c r="F53" s="73" t="s">
        <v>217</v>
      </c>
      <c r="G53" s="77" t="s">
        <v>32</v>
      </c>
      <c r="H53" s="76" t="s">
        <v>263</v>
      </c>
      <c r="I53" s="82" t="s">
        <v>145</v>
      </c>
      <c r="J53" s="82" t="s">
        <v>145</v>
      </c>
      <c r="K53" s="75"/>
      <c r="L53" s="74" t="str">
        <f>"147,5"</f>
        <v>147,5</v>
      </c>
      <c r="M53" s="198">
        <v>90.786</v>
      </c>
      <c r="N53" s="73" t="s">
        <v>339</v>
      </c>
    </row>
    <row r="54" spans="1:14" ht="12.75">
      <c r="A54" s="19" t="s">
        <v>135</v>
      </c>
      <c r="B54" s="72" t="s">
        <v>292</v>
      </c>
      <c r="C54" s="9" t="s">
        <v>649</v>
      </c>
      <c r="D54" s="142">
        <v>98.1</v>
      </c>
      <c r="E54" s="155" t="str">
        <f>"0,6134"</f>
        <v>0,6134</v>
      </c>
      <c r="F54" s="9" t="s">
        <v>341</v>
      </c>
      <c r="G54" s="72" t="s">
        <v>27</v>
      </c>
      <c r="H54" s="71" t="s">
        <v>22</v>
      </c>
      <c r="I54" s="71" t="s">
        <v>22</v>
      </c>
      <c r="J54" s="70" t="s">
        <v>22</v>
      </c>
      <c r="K54" s="69"/>
      <c r="L54" s="19" t="str">
        <f>"140,0"</f>
        <v>140,0</v>
      </c>
      <c r="M54" s="199">
        <v>85.876</v>
      </c>
      <c r="N54" s="9" t="s">
        <v>344</v>
      </c>
    </row>
    <row r="56" spans="2:13" ht="15">
      <c r="B56" s="238" t="s">
        <v>29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4" ht="12.75">
      <c r="A57" s="18" t="s">
        <v>133</v>
      </c>
      <c r="B57" s="8" t="s">
        <v>160</v>
      </c>
      <c r="C57" s="8" t="s">
        <v>556</v>
      </c>
      <c r="D57" s="141">
        <v>105.5</v>
      </c>
      <c r="E57" s="154" t="str">
        <f>"0,5966"</f>
        <v>0,5966</v>
      </c>
      <c r="F57" s="8" t="s">
        <v>166</v>
      </c>
      <c r="G57" s="80" t="s">
        <v>63</v>
      </c>
      <c r="H57" s="79" t="s">
        <v>47</v>
      </c>
      <c r="I57" s="79" t="s">
        <v>239</v>
      </c>
      <c r="J57" s="79" t="s">
        <v>91</v>
      </c>
      <c r="K57" s="78"/>
      <c r="L57" s="18" t="str">
        <f>"190,0"</f>
        <v>190,0</v>
      </c>
      <c r="M57" s="197">
        <v>113.354</v>
      </c>
      <c r="N57" s="8" t="s">
        <v>344</v>
      </c>
    </row>
    <row r="58" spans="1:14" ht="12.75">
      <c r="A58" s="19"/>
      <c r="B58" s="9" t="s">
        <v>334</v>
      </c>
      <c r="C58" s="9" t="s">
        <v>569</v>
      </c>
      <c r="D58" s="142">
        <v>107.3</v>
      </c>
      <c r="E58" s="155" t="str">
        <f>"0,5932"</f>
        <v>0,5932</v>
      </c>
      <c r="F58" s="9" t="s">
        <v>341</v>
      </c>
      <c r="G58" s="72" t="s">
        <v>27</v>
      </c>
      <c r="H58" s="71" t="s">
        <v>202</v>
      </c>
      <c r="I58" s="71" t="s">
        <v>202</v>
      </c>
      <c r="J58" s="71" t="s">
        <v>202</v>
      </c>
      <c r="K58" s="69"/>
      <c r="L58" s="19" t="s">
        <v>452</v>
      </c>
      <c r="M58" s="199" t="s">
        <v>452</v>
      </c>
      <c r="N58" s="9" t="s">
        <v>344</v>
      </c>
    </row>
    <row r="60" spans="2:13" ht="15">
      <c r="B60" s="238" t="s">
        <v>164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</row>
    <row r="61" spans="1:14" ht="12.75">
      <c r="A61" s="18" t="s">
        <v>133</v>
      </c>
      <c r="B61" s="80" t="s">
        <v>158</v>
      </c>
      <c r="C61" s="8" t="s">
        <v>650</v>
      </c>
      <c r="D61" s="141">
        <v>115.5</v>
      </c>
      <c r="E61" s="154" t="str">
        <f>"0,5804"</f>
        <v>0,5804</v>
      </c>
      <c r="F61" s="8" t="s">
        <v>62</v>
      </c>
      <c r="G61" s="80" t="s">
        <v>163</v>
      </c>
      <c r="H61" s="81" t="s">
        <v>308</v>
      </c>
      <c r="I61" s="79" t="s">
        <v>308</v>
      </c>
      <c r="J61" s="81" t="s">
        <v>95</v>
      </c>
      <c r="K61" s="78"/>
      <c r="L61" s="18" t="str">
        <f>"197,5"</f>
        <v>197,5</v>
      </c>
      <c r="M61" s="197">
        <v>114.629</v>
      </c>
      <c r="N61" s="8" t="s">
        <v>344</v>
      </c>
    </row>
    <row r="62" spans="1:14" ht="12.75">
      <c r="A62" s="19" t="s">
        <v>134</v>
      </c>
      <c r="B62" s="72" t="s">
        <v>300</v>
      </c>
      <c r="C62" s="9" t="s">
        <v>651</v>
      </c>
      <c r="D62" s="142">
        <v>120.8</v>
      </c>
      <c r="E62" s="155" t="str">
        <f>"0,5740"</f>
        <v>0,5740</v>
      </c>
      <c r="F62" s="9" t="s">
        <v>341</v>
      </c>
      <c r="G62" s="72" t="s">
        <v>27</v>
      </c>
      <c r="H62" s="71" t="s">
        <v>24</v>
      </c>
      <c r="I62" s="70" t="s">
        <v>24</v>
      </c>
      <c r="J62" s="71" t="s">
        <v>18</v>
      </c>
      <c r="K62" s="69"/>
      <c r="L62" s="19" t="str">
        <f>"160,0"</f>
        <v>160,0</v>
      </c>
      <c r="M62" s="199">
        <v>91.84</v>
      </c>
      <c r="N62" s="9" t="s">
        <v>344</v>
      </c>
    </row>
    <row r="64" spans="1:7" ht="23.25">
      <c r="A64" s="105"/>
      <c r="B64" s="147" t="s">
        <v>8</v>
      </c>
      <c r="C64" s="91"/>
      <c r="D64" s="145"/>
      <c r="E64" s="91"/>
      <c r="F64" s="91"/>
      <c r="G64" s="91"/>
    </row>
    <row r="65" spans="1:7" ht="12.75">
      <c r="A65" s="105"/>
      <c r="B65" s="91"/>
      <c r="C65" s="91"/>
      <c r="D65" s="145"/>
      <c r="E65" s="91"/>
      <c r="F65" s="91"/>
      <c r="G65" s="91"/>
    </row>
    <row r="66" spans="1:7" ht="14.25">
      <c r="A66" s="105"/>
      <c r="B66" s="93"/>
      <c r="C66" s="94" t="s">
        <v>559</v>
      </c>
      <c r="D66" s="145"/>
      <c r="E66" s="91"/>
      <c r="F66" s="91"/>
      <c r="G66" s="91"/>
    </row>
    <row r="67" spans="1:7" ht="15">
      <c r="A67" s="106"/>
      <c r="B67" s="95" t="s">
        <v>49</v>
      </c>
      <c r="C67" s="95" t="s">
        <v>50</v>
      </c>
      <c r="D67" s="146" t="s">
        <v>51</v>
      </c>
      <c r="E67" s="95" t="s">
        <v>52</v>
      </c>
      <c r="F67" s="95" t="s">
        <v>53</v>
      </c>
      <c r="G67" s="91"/>
    </row>
    <row r="68" spans="1:7" ht="12.75">
      <c r="A68" s="106" t="s">
        <v>133</v>
      </c>
      <c r="B68" s="99" t="s">
        <v>158</v>
      </c>
      <c r="C68" s="158" t="s">
        <v>559</v>
      </c>
      <c r="D68" s="159" t="s">
        <v>153</v>
      </c>
      <c r="E68" s="106" t="s">
        <v>308</v>
      </c>
      <c r="F68" s="106" t="s">
        <v>481</v>
      </c>
      <c r="G68" s="91"/>
    </row>
    <row r="69" spans="1:7" ht="12.75">
      <c r="A69" s="106" t="s">
        <v>134</v>
      </c>
      <c r="B69" s="99" t="s">
        <v>307</v>
      </c>
      <c r="C69" s="158" t="s">
        <v>559</v>
      </c>
      <c r="D69" s="159" t="s">
        <v>155</v>
      </c>
      <c r="E69" s="106" t="s">
        <v>37</v>
      </c>
      <c r="F69" s="106" t="s">
        <v>482</v>
      </c>
      <c r="G69" s="91"/>
    </row>
    <row r="70" spans="1:7" ht="12.75">
      <c r="A70" s="106" t="s">
        <v>135</v>
      </c>
      <c r="B70" s="99" t="s">
        <v>160</v>
      </c>
      <c r="C70" s="158" t="s">
        <v>559</v>
      </c>
      <c r="D70" s="159" t="s">
        <v>34</v>
      </c>
      <c r="E70" s="106" t="s">
        <v>91</v>
      </c>
      <c r="F70" s="106" t="s">
        <v>483</v>
      </c>
      <c r="G70" s="91"/>
    </row>
    <row r="71" spans="1:7" ht="12.75">
      <c r="A71" s="105"/>
      <c r="B71" s="91"/>
      <c r="C71" s="91"/>
      <c r="D71" s="145"/>
      <c r="E71" s="91"/>
      <c r="F71" s="91"/>
      <c r="G71" s="91"/>
    </row>
  </sheetData>
  <sheetProtection/>
  <mergeCells count="24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1:M11"/>
    <mergeCell ref="B50:M50"/>
    <mergeCell ref="B56:M56"/>
    <mergeCell ref="B60:M60"/>
    <mergeCell ref="B14:M14"/>
    <mergeCell ref="B17:M17"/>
    <mergeCell ref="B20:M20"/>
    <mergeCell ref="B24:M24"/>
    <mergeCell ref="B33:M33"/>
    <mergeCell ref="B41:M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1">
      <selection activeCell="C35" sqref="C35"/>
    </sheetView>
  </sheetViews>
  <sheetFormatPr defaultColWidth="9.00390625" defaultRowHeight="12.75"/>
  <cols>
    <col min="1" max="1" width="9.125" style="3" customWidth="1"/>
    <col min="2" max="2" width="26.00390625" style="5" bestFit="1" customWidth="1"/>
    <col min="3" max="3" width="27.8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2.375" style="5" customWidth="1"/>
    <col min="8" max="10" width="5.625" style="4" bestFit="1" customWidth="1"/>
    <col min="11" max="11" width="4.875" style="4" bestFit="1" customWidth="1"/>
    <col min="12" max="12" width="12.625" style="181" customWidth="1"/>
    <col min="13" max="13" width="8.625" style="4" bestFit="1" customWidth="1"/>
    <col min="14" max="14" width="16.875" style="5" bestFit="1" customWidth="1"/>
    <col min="15" max="16384" width="9.125" style="4" customWidth="1"/>
  </cols>
  <sheetData>
    <row r="1" spans="1:14" s="3" customFormat="1" ht="28.5" customHeight="1">
      <c r="A1" s="265" t="s">
        <v>536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</row>
    <row r="2" spans="1:14" s="3" customFormat="1" ht="61.5" customHeight="1" thickBo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4" s="1" customFormat="1" ht="12.75" customHeight="1">
      <c r="A3" s="260" t="s">
        <v>127</v>
      </c>
      <c r="B3" s="258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1</v>
      </c>
      <c r="I3" s="239"/>
      <c r="J3" s="239"/>
      <c r="K3" s="239"/>
      <c r="L3" s="267" t="s">
        <v>96</v>
      </c>
      <c r="M3" s="239" t="s">
        <v>4</v>
      </c>
      <c r="N3" s="235" t="s">
        <v>3</v>
      </c>
    </row>
    <row r="4" spans="1:14" s="1" customFormat="1" ht="21" customHeight="1" thickBot="1">
      <c r="A4" s="264"/>
      <c r="B4" s="259"/>
      <c r="C4" s="242"/>
      <c r="D4" s="242"/>
      <c r="E4" s="242"/>
      <c r="F4" s="242"/>
      <c r="G4" s="242"/>
      <c r="H4" s="151">
        <v>1</v>
      </c>
      <c r="I4" s="151">
        <v>2</v>
      </c>
      <c r="J4" s="151">
        <v>3</v>
      </c>
      <c r="K4" s="151" t="s">
        <v>6</v>
      </c>
      <c r="L4" s="268"/>
      <c r="M4" s="242"/>
      <c r="N4" s="236"/>
    </row>
    <row r="5" spans="2:13" ht="15">
      <c r="B5" s="237" t="s">
        <v>65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4" ht="12.75">
      <c r="A6" s="20" t="s">
        <v>133</v>
      </c>
      <c r="B6" s="66" t="s">
        <v>327</v>
      </c>
      <c r="C6" s="10" t="s">
        <v>605</v>
      </c>
      <c r="D6" s="10" t="s">
        <v>76</v>
      </c>
      <c r="E6" s="10" t="str">
        <f>"1,1149"</f>
        <v>1,1149</v>
      </c>
      <c r="F6" s="10" t="s">
        <v>179</v>
      </c>
      <c r="G6" s="10" t="s">
        <v>27</v>
      </c>
      <c r="H6" s="84" t="s">
        <v>67</v>
      </c>
      <c r="I6" s="84" t="s">
        <v>67</v>
      </c>
      <c r="J6" s="65" t="s">
        <v>67</v>
      </c>
      <c r="K6" s="64"/>
      <c r="L6" s="175">
        <v>45</v>
      </c>
      <c r="M6" s="174">
        <v>50.1705</v>
      </c>
      <c r="N6" s="10" t="s">
        <v>344</v>
      </c>
    </row>
    <row r="8" spans="2:13" ht="15">
      <c r="B8" s="238" t="s">
        <v>584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4" ht="12.75">
      <c r="A9" s="20" t="s">
        <v>133</v>
      </c>
      <c r="B9" s="66" t="s">
        <v>175</v>
      </c>
      <c r="C9" s="10" t="s">
        <v>652</v>
      </c>
      <c r="D9" s="10" t="s">
        <v>381</v>
      </c>
      <c r="E9" s="10" t="str">
        <f>"0,7775"</f>
        <v>0,7775</v>
      </c>
      <c r="F9" s="10" t="s">
        <v>341</v>
      </c>
      <c r="G9" s="10" t="s">
        <v>63</v>
      </c>
      <c r="H9" s="65" t="s">
        <v>162</v>
      </c>
      <c r="I9" s="65" t="s">
        <v>80</v>
      </c>
      <c r="J9" s="65" t="s">
        <v>270</v>
      </c>
      <c r="K9" s="64"/>
      <c r="L9" s="175">
        <v>127.5</v>
      </c>
      <c r="M9" s="20" t="s">
        <v>484</v>
      </c>
      <c r="N9" s="10" t="s">
        <v>344</v>
      </c>
    </row>
    <row r="11" spans="2:13" ht="15">
      <c r="B11" s="238" t="s">
        <v>14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</row>
    <row r="12" spans="1:14" ht="12.75">
      <c r="A12" s="18" t="s">
        <v>133</v>
      </c>
      <c r="B12" s="80" t="s">
        <v>174</v>
      </c>
      <c r="C12" s="8" t="s">
        <v>653</v>
      </c>
      <c r="D12" s="8" t="s">
        <v>380</v>
      </c>
      <c r="E12" s="154" t="str">
        <f>"0,6398"</f>
        <v>0,6398</v>
      </c>
      <c r="F12" s="8" t="s">
        <v>341</v>
      </c>
      <c r="G12" s="80" t="s">
        <v>27</v>
      </c>
      <c r="H12" s="79" t="s">
        <v>18</v>
      </c>
      <c r="I12" s="85" t="s">
        <v>19</v>
      </c>
      <c r="J12" s="85" t="s">
        <v>19</v>
      </c>
      <c r="K12" s="78"/>
      <c r="L12" s="178">
        <v>170</v>
      </c>
      <c r="M12" s="149" t="s">
        <v>485</v>
      </c>
      <c r="N12" s="8" t="s">
        <v>344</v>
      </c>
    </row>
    <row r="13" spans="1:14" ht="12.75">
      <c r="A13" s="74" t="s">
        <v>134</v>
      </c>
      <c r="B13" s="77" t="s">
        <v>321</v>
      </c>
      <c r="C13" s="73" t="s">
        <v>654</v>
      </c>
      <c r="D13" s="73" t="s">
        <v>379</v>
      </c>
      <c r="E13" s="156" t="str">
        <f>"0,6447"</f>
        <v>0,6447</v>
      </c>
      <c r="F13" s="73" t="s">
        <v>31</v>
      </c>
      <c r="G13" s="77" t="s">
        <v>32</v>
      </c>
      <c r="H13" s="76" t="s">
        <v>86</v>
      </c>
      <c r="I13" s="76" t="s">
        <v>23</v>
      </c>
      <c r="J13" s="88" t="s">
        <v>145</v>
      </c>
      <c r="K13" s="75"/>
      <c r="L13" s="179">
        <v>150</v>
      </c>
      <c r="M13" s="157" t="s">
        <v>486</v>
      </c>
      <c r="N13" s="73" t="s">
        <v>344</v>
      </c>
    </row>
    <row r="14" spans="1:14" ht="12.75">
      <c r="A14" s="19"/>
      <c r="B14" s="72" t="s">
        <v>219</v>
      </c>
      <c r="C14" s="9" t="s">
        <v>612</v>
      </c>
      <c r="D14" s="9" t="s">
        <v>361</v>
      </c>
      <c r="E14" s="155" t="str">
        <f>"0,6395"</f>
        <v>0,6395</v>
      </c>
      <c r="F14" s="9" t="s">
        <v>62</v>
      </c>
      <c r="G14" s="72" t="s">
        <v>230</v>
      </c>
      <c r="H14" s="86" t="s">
        <v>18</v>
      </c>
      <c r="I14" s="69"/>
      <c r="J14" s="69"/>
      <c r="K14" s="69"/>
      <c r="L14" s="23">
        <v>0</v>
      </c>
      <c r="M14" s="186">
        <v>0</v>
      </c>
      <c r="N14" s="9" t="s">
        <v>128</v>
      </c>
    </row>
    <row r="16" spans="2:13" ht="15">
      <c r="B16" s="238" t="s">
        <v>25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4" ht="12.75">
      <c r="A17" s="20" t="s">
        <v>133</v>
      </c>
      <c r="B17" s="66" t="s">
        <v>109</v>
      </c>
      <c r="C17" s="10" t="s">
        <v>655</v>
      </c>
      <c r="D17" s="10" t="s">
        <v>378</v>
      </c>
      <c r="E17" s="10" t="str">
        <f>"0,6266"</f>
        <v>0,6266</v>
      </c>
      <c r="F17" s="10" t="s">
        <v>16</v>
      </c>
      <c r="G17" s="10" t="s">
        <v>17</v>
      </c>
      <c r="H17" s="65" t="s">
        <v>33</v>
      </c>
      <c r="I17" s="65" t="s">
        <v>91</v>
      </c>
      <c r="J17" s="65" t="s">
        <v>262</v>
      </c>
      <c r="K17" s="64"/>
      <c r="L17" s="175">
        <v>195</v>
      </c>
      <c r="M17" s="20" t="s">
        <v>325</v>
      </c>
      <c r="N17" s="10" t="s">
        <v>344</v>
      </c>
    </row>
    <row r="19" spans="2:13" ht="15">
      <c r="B19" s="238" t="s">
        <v>29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</row>
    <row r="20" spans="1:14" ht="12.75">
      <c r="A20" s="18" t="s">
        <v>133</v>
      </c>
      <c r="B20" s="80" t="s">
        <v>324</v>
      </c>
      <c r="C20" s="8" t="s">
        <v>679</v>
      </c>
      <c r="D20" s="8" t="s">
        <v>377</v>
      </c>
      <c r="E20" s="8" t="str">
        <f>"0,5943"</f>
        <v>0,5943</v>
      </c>
      <c r="F20" s="8" t="s">
        <v>31</v>
      </c>
      <c r="G20" s="8" t="s">
        <v>32</v>
      </c>
      <c r="H20" s="79" t="s">
        <v>262</v>
      </c>
      <c r="I20" s="79" t="s">
        <v>242</v>
      </c>
      <c r="J20" s="85" t="s">
        <v>59</v>
      </c>
      <c r="K20" s="78"/>
      <c r="L20" s="178">
        <v>205</v>
      </c>
      <c r="M20" s="149" t="s">
        <v>323</v>
      </c>
      <c r="N20" s="8" t="s">
        <v>352</v>
      </c>
    </row>
    <row r="21" spans="1:14" ht="12.75">
      <c r="A21" s="19" t="s">
        <v>134</v>
      </c>
      <c r="B21" s="72" t="s">
        <v>322</v>
      </c>
      <c r="C21" s="9" t="s">
        <v>656</v>
      </c>
      <c r="D21" s="9" t="s">
        <v>376</v>
      </c>
      <c r="E21" s="9" t="str">
        <f>"0,5970"</f>
        <v>0,5970</v>
      </c>
      <c r="F21" s="9" t="s">
        <v>16</v>
      </c>
      <c r="G21" s="9" t="s">
        <v>27</v>
      </c>
      <c r="H21" s="86" t="s">
        <v>19</v>
      </c>
      <c r="I21" s="70" t="s">
        <v>19</v>
      </c>
      <c r="J21" s="86" t="s">
        <v>110</v>
      </c>
      <c r="K21" s="69"/>
      <c r="L21" s="180">
        <v>175</v>
      </c>
      <c r="M21" s="150" t="s">
        <v>487</v>
      </c>
      <c r="N21" s="9" t="s">
        <v>344</v>
      </c>
    </row>
    <row r="23" spans="2:13" ht="15">
      <c r="B23" s="238" t="s">
        <v>164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</row>
    <row r="24" spans="1:14" ht="12.75">
      <c r="A24" s="20" t="s">
        <v>133</v>
      </c>
      <c r="B24" s="66" t="s">
        <v>40</v>
      </c>
      <c r="C24" s="10" t="s">
        <v>657</v>
      </c>
      <c r="D24" s="10" t="s">
        <v>375</v>
      </c>
      <c r="E24" s="10" t="str">
        <f>"0,5826"</f>
        <v>0,5826</v>
      </c>
      <c r="F24" s="10" t="s">
        <v>16</v>
      </c>
      <c r="G24" s="10" t="s">
        <v>17</v>
      </c>
      <c r="H24" s="65" t="s">
        <v>41</v>
      </c>
      <c r="I24" s="65" t="s">
        <v>42</v>
      </c>
      <c r="J24" s="64"/>
      <c r="K24" s="64"/>
      <c r="L24" s="175">
        <v>230</v>
      </c>
      <c r="M24" s="20" t="s">
        <v>326</v>
      </c>
      <c r="N24" s="10" t="s">
        <v>344</v>
      </c>
    </row>
    <row r="26" spans="1:7" ht="18">
      <c r="A26" s="105"/>
      <c r="B26" s="90" t="s">
        <v>8</v>
      </c>
      <c r="C26" s="90"/>
      <c r="D26" s="91"/>
      <c r="E26" s="91"/>
      <c r="F26" s="91"/>
      <c r="G26" s="91"/>
    </row>
    <row r="27" spans="2:3" ht="15">
      <c r="B27" s="12" t="s">
        <v>48</v>
      </c>
      <c r="C27" s="12"/>
    </row>
    <row r="28" spans="2:3" ht="14.25">
      <c r="B28" s="13"/>
      <c r="C28" s="14" t="s">
        <v>559</v>
      </c>
    </row>
    <row r="29" spans="1:6" ht="15">
      <c r="A29" s="20"/>
      <c r="B29" s="15" t="s">
        <v>49</v>
      </c>
      <c r="C29" s="15" t="s">
        <v>50</v>
      </c>
      <c r="D29" s="15" t="s">
        <v>51</v>
      </c>
      <c r="E29" s="15" t="s">
        <v>52</v>
      </c>
      <c r="F29" s="15" t="s">
        <v>53</v>
      </c>
    </row>
    <row r="30" spans="1:6" ht="12.75">
      <c r="A30" s="20" t="s">
        <v>133</v>
      </c>
      <c r="B30" s="24" t="s">
        <v>40</v>
      </c>
      <c r="C30" s="11" t="s">
        <v>559</v>
      </c>
      <c r="D30" s="20" t="s">
        <v>153</v>
      </c>
      <c r="E30" s="20" t="s">
        <v>42</v>
      </c>
      <c r="F30" s="168">
        <v>133.998</v>
      </c>
    </row>
    <row r="31" spans="1:6" ht="12.75">
      <c r="A31" s="20" t="s">
        <v>134</v>
      </c>
      <c r="B31" s="24" t="s">
        <v>109</v>
      </c>
      <c r="C31" s="11" t="s">
        <v>559</v>
      </c>
      <c r="D31" s="20" t="s">
        <v>28</v>
      </c>
      <c r="E31" s="20" t="s">
        <v>262</v>
      </c>
      <c r="F31" s="168">
        <v>122.187</v>
      </c>
    </row>
    <row r="32" spans="1:6" ht="13.5" customHeight="1">
      <c r="A32" s="20" t="s">
        <v>135</v>
      </c>
      <c r="B32" s="24" t="s">
        <v>324</v>
      </c>
      <c r="C32" s="11" t="s">
        <v>559</v>
      </c>
      <c r="D32" s="20" t="s">
        <v>34</v>
      </c>
      <c r="E32" s="20" t="s">
        <v>242</v>
      </c>
      <c r="F32" s="168">
        <v>121.832</v>
      </c>
    </row>
  </sheetData>
  <sheetProtection/>
  <mergeCells count="18">
    <mergeCell ref="B11:M11"/>
    <mergeCell ref="H3:K3"/>
    <mergeCell ref="B3:B4"/>
    <mergeCell ref="C3:C4"/>
    <mergeCell ref="D3:D4"/>
    <mergeCell ref="N3:N4"/>
    <mergeCell ref="G3:G4"/>
    <mergeCell ref="F3:F4"/>
    <mergeCell ref="A3:A4"/>
    <mergeCell ref="A1:N2"/>
    <mergeCell ref="B16:M16"/>
    <mergeCell ref="B19:M19"/>
    <mergeCell ref="B23:M23"/>
    <mergeCell ref="E3:E4"/>
    <mergeCell ref="L3:L4"/>
    <mergeCell ref="M3:M4"/>
    <mergeCell ref="B5:M5"/>
    <mergeCell ref="B8:M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C9" sqref="C9"/>
    </sheetView>
  </sheetViews>
  <sheetFormatPr defaultColWidth="9.00390625" defaultRowHeight="12.75"/>
  <cols>
    <col min="1" max="1" width="9.125" style="4" customWidth="1"/>
    <col min="2" max="2" width="26.00390625" style="5" bestFit="1" customWidth="1"/>
    <col min="3" max="3" width="29.375" style="5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1.875" style="5" customWidth="1"/>
    <col min="8" max="10" width="5.625" style="4" bestFit="1" customWidth="1"/>
    <col min="11" max="11" width="4.875" style="4" bestFit="1" customWidth="1"/>
    <col min="12" max="12" width="13.625" style="4" customWidth="1"/>
    <col min="13" max="13" width="8.625" style="4" bestFit="1" customWidth="1"/>
    <col min="14" max="14" width="17.625" style="5" customWidth="1"/>
    <col min="15" max="16384" width="9.125" style="4" customWidth="1"/>
  </cols>
  <sheetData>
    <row r="1" spans="1:14" s="3" customFormat="1" ht="28.5" customHeight="1">
      <c r="A1" s="252" t="s">
        <v>537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</row>
    <row r="2" spans="1:14" s="3" customFormat="1" ht="61.5" customHeight="1" thickBot="1">
      <c r="A2" s="271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</row>
    <row r="3" spans="1:14" s="1" customFormat="1" ht="12.75" customHeight="1">
      <c r="A3" s="269" t="s">
        <v>127</v>
      </c>
      <c r="B3" s="247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200</v>
      </c>
      <c r="I3" s="239"/>
      <c r="J3" s="239"/>
      <c r="K3" s="239"/>
      <c r="L3" s="239" t="s">
        <v>96</v>
      </c>
      <c r="M3" s="239" t="s">
        <v>4</v>
      </c>
      <c r="N3" s="235" t="s">
        <v>3</v>
      </c>
    </row>
    <row r="4" spans="1:14" s="1" customFormat="1" ht="21" customHeight="1" thickBot="1">
      <c r="A4" s="270"/>
      <c r="B4" s="248"/>
      <c r="C4" s="242"/>
      <c r="D4" s="242"/>
      <c r="E4" s="242"/>
      <c r="F4" s="242"/>
      <c r="G4" s="242"/>
      <c r="H4" s="151">
        <v>1</v>
      </c>
      <c r="I4" s="151">
        <v>2</v>
      </c>
      <c r="J4" s="151">
        <v>3</v>
      </c>
      <c r="K4" s="151" t="s">
        <v>6</v>
      </c>
      <c r="L4" s="242"/>
      <c r="M4" s="242"/>
      <c r="N4" s="236"/>
    </row>
    <row r="5" spans="2:13" ht="15">
      <c r="B5" s="238" t="s">
        <v>170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4" ht="12.75">
      <c r="A6" s="20" t="s">
        <v>133</v>
      </c>
      <c r="B6" s="66" t="s">
        <v>199</v>
      </c>
      <c r="C6" s="10" t="s">
        <v>658</v>
      </c>
      <c r="D6" s="10" t="s">
        <v>359</v>
      </c>
      <c r="E6" s="10" t="str">
        <f>"0,7207"</f>
        <v>0,7207</v>
      </c>
      <c r="F6" s="10" t="s">
        <v>167</v>
      </c>
      <c r="G6" s="10" t="s">
        <v>27</v>
      </c>
      <c r="H6" s="67" t="s">
        <v>22</v>
      </c>
      <c r="I6" s="65" t="s">
        <v>22</v>
      </c>
      <c r="J6" s="67" t="s">
        <v>83</v>
      </c>
      <c r="K6" s="64"/>
      <c r="L6" s="20" t="str">
        <f>"140,0"</f>
        <v>140,0</v>
      </c>
      <c r="M6" s="174">
        <v>100.898</v>
      </c>
      <c r="N6" s="10" t="s">
        <v>198</v>
      </c>
    </row>
    <row r="8" spans="2:13" ht="15">
      <c r="B8" s="238" t="s">
        <v>585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4" ht="12.75">
      <c r="A9" s="20" t="s">
        <v>133</v>
      </c>
      <c r="B9" s="66" t="s">
        <v>197</v>
      </c>
      <c r="C9" s="10" t="s">
        <v>624</v>
      </c>
      <c r="D9" s="10" t="s">
        <v>374</v>
      </c>
      <c r="E9" s="10" t="str">
        <f>"0,6774"</f>
        <v>0,6774</v>
      </c>
      <c r="F9" s="10" t="s">
        <v>31</v>
      </c>
      <c r="G9" s="10" t="s">
        <v>32</v>
      </c>
      <c r="H9" s="65" t="s">
        <v>91</v>
      </c>
      <c r="I9" s="67" t="s">
        <v>242</v>
      </c>
      <c r="J9" s="67" t="s">
        <v>288</v>
      </c>
      <c r="K9" s="64"/>
      <c r="L9" s="20" t="str">
        <f>"190,0"</f>
        <v>190,0</v>
      </c>
      <c r="M9" s="174">
        <v>128.706</v>
      </c>
      <c r="N9" s="10" t="s">
        <v>344</v>
      </c>
    </row>
    <row r="11" ht="15">
      <c r="F11" s="6"/>
    </row>
    <row r="12" ht="15">
      <c r="F12" s="6"/>
    </row>
    <row r="13" ht="15">
      <c r="F13" s="6"/>
    </row>
    <row r="14" ht="15">
      <c r="F14" s="6"/>
    </row>
    <row r="15" ht="15">
      <c r="F15" s="6"/>
    </row>
    <row r="16" ht="15">
      <c r="F16" s="6"/>
    </row>
    <row r="17" ht="15">
      <c r="F17" s="6"/>
    </row>
    <row r="19" spans="2:3" ht="18">
      <c r="B19" s="7"/>
      <c r="C19" s="7"/>
    </row>
    <row r="20" spans="2:3" ht="15">
      <c r="B20" s="12"/>
      <c r="C20" s="12"/>
    </row>
    <row r="21" spans="2:3" ht="14.25">
      <c r="B21" s="13"/>
      <c r="C21" s="14"/>
    </row>
    <row r="22" spans="2:6" ht="15">
      <c r="B22" s="1"/>
      <c r="C22" s="1"/>
      <c r="D22" s="1"/>
      <c r="E22" s="1"/>
      <c r="F22" s="1"/>
    </row>
    <row r="23" spans="2:6" ht="12.75">
      <c r="B23" s="63"/>
      <c r="F23" s="62"/>
    </row>
    <row r="24" spans="2:6" ht="12.75">
      <c r="B24" s="63"/>
      <c r="F24" s="62"/>
    </row>
  </sheetData>
  <sheetProtection/>
  <mergeCells count="14">
    <mergeCell ref="A3:A4"/>
    <mergeCell ref="L3:L4"/>
    <mergeCell ref="M3:M4"/>
    <mergeCell ref="A1:N2"/>
    <mergeCell ref="N3:N4"/>
    <mergeCell ref="B5:M5"/>
    <mergeCell ref="B8:M8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zoomScalePageLayoutView="0" workbookViewId="0" topLeftCell="A1">
      <selection activeCell="C12" sqref="C12"/>
    </sheetView>
  </sheetViews>
  <sheetFormatPr defaultColWidth="9.00390625" defaultRowHeight="12.75"/>
  <cols>
    <col min="1" max="1" width="9.125" style="3" customWidth="1"/>
    <col min="2" max="2" width="26.00390625" style="5" bestFit="1" customWidth="1"/>
    <col min="3" max="3" width="26.75390625" style="5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7.00390625" style="5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6" width="7.875" style="4" bestFit="1" customWidth="1"/>
    <col min="17" max="17" width="8.625" style="187" bestFit="1" customWidth="1"/>
    <col min="18" max="18" width="16.625" style="5" bestFit="1" customWidth="1"/>
    <col min="19" max="16384" width="9.125" style="4" customWidth="1"/>
  </cols>
  <sheetData>
    <row r="1" spans="1:18" s="3" customFormat="1" ht="28.5" customHeight="1">
      <c r="A1" s="240" t="s">
        <v>606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s="3" customFormat="1" ht="61.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</row>
    <row r="3" spans="1:18" s="1" customFormat="1" ht="12.75" customHeight="1">
      <c r="A3" s="245" t="s">
        <v>127</v>
      </c>
      <c r="B3" s="247" t="s">
        <v>0</v>
      </c>
      <c r="C3" s="249" t="s">
        <v>450</v>
      </c>
      <c r="D3" s="249" t="s">
        <v>451</v>
      </c>
      <c r="E3" s="239" t="s">
        <v>13</v>
      </c>
      <c r="F3" s="239" t="s">
        <v>5</v>
      </c>
      <c r="G3" s="239" t="s">
        <v>7</v>
      </c>
      <c r="H3" s="239" t="s">
        <v>1</v>
      </c>
      <c r="I3" s="239"/>
      <c r="J3" s="239"/>
      <c r="K3" s="239"/>
      <c r="L3" s="239" t="s">
        <v>207</v>
      </c>
      <c r="M3" s="239"/>
      <c r="N3" s="239"/>
      <c r="O3" s="239"/>
      <c r="P3" s="239" t="s">
        <v>2</v>
      </c>
      <c r="Q3" s="272" t="s">
        <v>4</v>
      </c>
      <c r="R3" s="235" t="s">
        <v>3</v>
      </c>
    </row>
    <row r="4" spans="1:18" s="1" customFormat="1" ht="21" customHeight="1" thickBot="1">
      <c r="A4" s="246"/>
      <c r="B4" s="248"/>
      <c r="C4" s="242"/>
      <c r="D4" s="242"/>
      <c r="E4" s="242"/>
      <c r="F4" s="242"/>
      <c r="G4" s="242"/>
      <c r="H4" s="2">
        <v>1</v>
      </c>
      <c r="I4" s="2">
        <v>2</v>
      </c>
      <c r="J4" s="2">
        <v>3</v>
      </c>
      <c r="K4" s="2" t="s">
        <v>6</v>
      </c>
      <c r="L4" s="2">
        <v>1</v>
      </c>
      <c r="M4" s="2">
        <v>2</v>
      </c>
      <c r="N4" s="2">
        <v>3</v>
      </c>
      <c r="O4" s="2" t="s">
        <v>6</v>
      </c>
      <c r="P4" s="242"/>
      <c r="Q4" s="273"/>
      <c r="R4" s="236"/>
    </row>
    <row r="5" spans="2:17" ht="15">
      <c r="B5" s="237" t="s">
        <v>585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8" ht="12.75">
      <c r="A6" s="20" t="s">
        <v>133</v>
      </c>
      <c r="B6" s="66" t="s">
        <v>206</v>
      </c>
      <c r="C6" s="10" t="s">
        <v>659</v>
      </c>
      <c r="D6" s="10" t="s">
        <v>369</v>
      </c>
      <c r="E6" s="10" t="str">
        <f>"0,6816"</f>
        <v>0,6816</v>
      </c>
      <c r="F6" s="10" t="s">
        <v>166</v>
      </c>
      <c r="G6" s="10" t="s">
        <v>63</v>
      </c>
      <c r="H6" s="67" t="s">
        <v>153</v>
      </c>
      <c r="I6" s="65" t="s">
        <v>92</v>
      </c>
      <c r="J6" s="67" t="s">
        <v>205</v>
      </c>
      <c r="K6" s="64"/>
      <c r="L6" s="65" t="s">
        <v>41</v>
      </c>
      <c r="M6" s="65" t="s">
        <v>42</v>
      </c>
      <c r="N6" s="65" t="s">
        <v>43</v>
      </c>
      <c r="O6" s="64"/>
      <c r="P6" s="20" t="str">
        <f>"365,0"</f>
        <v>365,0</v>
      </c>
      <c r="Q6" s="174">
        <v>248.784</v>
      </c>
      <c r="R6" s="10" t="s">
        <v>344</v>
      </c>
    </row>
    <row r="8" spans="2:17" ht="15">
      <c r="B8" s="238" t="s">
        <v>25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</row>
    <row r="9" spans="1:18" ht="12.75">
      <c r="A9" s="20" t="s">
        <v>133</v>
      </c>
      <c r="B9" s="66" t="s">
        <v>204</v>
      </c>
      <c r="C9" s="10" t="s">
        <v>623</v>
      </c>
      <c r="D9" s="10" t="s">
        <v>366</v>
      </c>
      <c r="E9" s="10" t="str">
        <f>"0,6269"</f>
        <v>0,6269</v>
      </c>
      <c r="F9" s="10" t="s">
        <v>89</v>
      </c>
      <c r="G9" s="10" t="s">
        <v>405</v>
      </c>
      <c r="H9" s="65" t="s">
        <v>34</v>
      </c>
      <c r="I9" s="67" t="s">
        <v>448</v>
      </c>
      <c r="J9" s="65" t="s">
        <v>448</v>
      </c>
      <c r="K9" s="64"/>
      <c r="L9" s="65" t="s">
        <v>33</v>
      </c>
      <c r="M9" s="65" t="s">
        <v>95</v>
      </c>
      <c r="N9" s="65" t="s">
        <v>41</v>
      </c>
      <c r="O9" s="64"/>
      <c r="P9" s="20" t="s">
        <v>449</v>
      </c>
      <c r="Q9" s="174">
        <v>214.7133</v>
      </c>
      <c r="R9" s="10" t="s">
        <v>329</v>
      </c>
    </row>
    <row r="11" spans="2:17" ht="15">
      <c r="B11" s="238" t="s">
        <v>29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</row>
    <row r="12" spans="1:18" ht="12.75">
      <c r="A12" s="20"/>
      <c r="B12" s="66" t="s">
        <v>203</v>
      </c>
      <c r="C12" s="10" t="s">
        <v>660</v>
      </c>
      <c r="D12" s="10" t="s">
        <v>364</v>
      </c>
      <c r="E12" s="10" t="str">
        <f>"0,5893"</f>
        <v>0,5893</v>
      </c>
      <c r="F12" s="10" t="s">
        <v>341</v>
      </c>
      <c r="G12" s="10" t="s">
        <v>168</v>
      </c>
      <c r="H12" s="67" t="s">
        <v>24</v>
      </c>
      <c r="I12" s="67" t="s">
        <v>202</v>
      </c>
      <c r="J12" s="67" t="s">
        <v>202</v>
      </c>
      <c r="K12" s="64"/>
      <c r="L12" s="106"/>
      <c r="M12" s="106"/>
      <c r="N12" s="209"/>
      <c r="O12" s="64"/>
      <c r="P12" s="20" t="s">
        <v>452</v>
      </c>
      <c r="Q12" s="185" t="s">
        <v>452</v>
      </c>
      <c r="R12" s="10" t="s">
        <v>353</v>
      </c>
    </row>
    <row r="14" ht="15">
      <c r="F14" s="6"/>
    </row>
    <row r="15" ht="15">
      <c r="F15" s="6"/>
    </row>
    <row r="16" ht="15">
      <c r="F16" s="6"/>
    </row>
    <row r="17" ht="15">
      <c r="F17" s="6"/>
    </row>
    <row r="18" ht="15">
      <c r="F18" s="6"/>
    </row>
    <row r="19" ht="15">
      <c r="F19" s="6"/>
    </row>
    <row r="20" ht="15">
      <c r="F20" s="6"/>
    </row>
    <row r="22" spans="2:3" ht="18">
      <c r="B22" s="7"/>
      <c r="C22" s="7"/>
    </row>
    <row r="23" spans="2:3" ht="15">
      <c r="B23" s="12"/>
      <c r="C23" s="12"/>
    </row>
    <row r="24" spans="2:3" ht="14.25">
      <c r="B24" s="13"/>
      <c r="C24" s="14"/>
    </row>
    <row r="25" spans="2:6" ht="15">
      <c r="B25" s="1"/>
      <c r="C25" s="1"/>
      <c r="D25" s="1"/>
      <c r="E25" s="1"/>
      <c r="F25" s="1"/>
    </row>
    <row r="26" spans="2:6" ht="12.75">
      <c r="B26" s="63"/>
      <c r="F26" s="62"/>
    </row>
  </sheetData>
  <sheetProtection/>
  <mergeCells count="16">
    <mergeCell ref="A1:R2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  <mergeCell ref="B5:Q5"/>
    <mergeCell ref="B8:Q8"/>
    <mergeCell ref="B11:Q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Пользователь</cp:lastModifiedBy>
  <cp:lastPrinted>2015-07-16T19:10:53Z</cp:lastPrinted>
  <dcterms:created xsi:type="dcterms:W3CDTF">2002-06-16T13:36:44Z</dcterms:created>
  <dcterms:modified xsi:type="dcterms:W3CDTF">2017-03-07T11:57:40Z</dcterms:modified>
  <cp:category/>
  <cp:version/>
  <cp:contentType/>
  <cp:contentStatus/>
</cp:coreProperties>
</file>